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idahopowercompany-my.sharepoint.com/personal/kyi_idahopower_com/Documents/Year_01/TRM-MF/"/>
    </mc:Choice>
  </mc:AlternateContent>
  <xr:revisionPtr revIDLastSave="37" documentId="8_{E36E0A53-39F7-4221-B3B6-983E45BA3E57}" xr6:coauthVersionLast="47" xr6:coauthVersionMax="47" xr10:uidLastSave="{8E43D5AB-FDD7-4C82-8808-BA84731B7086}"/>
  <bookViews>
    <workbookView xWindow="-28920" yWindow="-120" windowWidth="29040" windowHeight="15990" firstSheet="2" activeTab="2" xr2:uid="{EB02CFC4-85B4-40C8-82CF-F42D2CB59CBC}"/>
  </bookViews>
  <sheets>
    <sheet name="Letter" sheetId="44" state="hidden" r:id="rId1"/>
    <sheet name="Letter_Background" sheetId="45" state="hidden" r:id="rId2"/>
    <sheet name="Welcome" sheetId="32" r:id="rId3"/>
    <sheet name="Preliminary Application" sheetId="21" r:id="rId4"/>
    <sheet name="Final Application" sheetId="23" r:id="rId5"/>
    <sheet name="Dataline Changes" sheetId="51" state="hidden" r:id="rId6"/>
    <sheet name="NC and Major Reno" sheetId="52" r:id="rId7"/>
    <sheet name="NC HVAC Worksheet" sheetId="5" r:id="rId8"/>
    <sheet name="Retrofits" sheetId="53" r:id="rId9"/>
    <sheet name="Retro HVAC Worksheet" sheetId="54" r:id="rId10"/>
    <sheet name="HVAC Efficiency Tables" sheetId="18" state="hidden" r:id="rId11"/>
    <sheet name="Specific Qualifications" sheetId="42" r:id="rId12"/>
    <sheet name="Terms &amp; Conditions" sheetId="49" r:id="rId13"/>
    <sheet name="Lists" sheetId="20" state="hidden" r:id="rId14"/>
  </sheets>
  <externalReferences>
    <externalReference r:id="rId15"/>
  </externalReferences>
  <definedNames>
    <definedName name="_xlnm._FilterDatabase" localSheetId="5" hidden="1">'Dataline Changes'!$A$1:$J$1101</definedName>
    <definedName name="_xlnm._FilterDatabase" localSheetId="13" hidden="1">Lists!$A$2:$O$184</definedName>
    <definedName name="_oo13">[1]Data!$AB$14,[1]Data!$AC$14,[1]Data!$AH$14,[1]Data!$AI$14,[1]Data!$AB$18,[1]Data!$AC$18,[1]Data!$AH$18,[1]Data!$AI$18,[1]Data!$AH$33,[1]Data!$AI$33,[1]Data!$AH$37,[1]Data!$AI$37,[1]Data!$AH$41,[1]Data!$AI$41,[1]Data!$AB$62,[1]Data!$AC$62,[1]Data!$AH$62,[1]Data!$AI$62,[1]Data!$AP$8,[1]Data!$AR$8,[1]Data!$AP$10,[1]Data!$AR$10,[1]Data!$AP$58,[1]Data!$AR$58</definedName>
    <definedName name="ACEquipmentType">Lists!$I$8:$I$11</definedName>
    <definedName name="ACEquipmentTypeWater">Lists!$I$13:$I$14</definedName>
    <definedName name="Admin_Address_1">Lists!$F$42</definedName>
    <definedName name="Admin_Address_2">Lists!$F$43</definedName>
    <definedName name="Admin_Address_3">Lists!$F$44</definedName>
    <definedName name="Admin_Address_4">Lists!$F$45</definedName>
    <definedName name="Admin_Address_5">Lists!$F$46</definedName>
    <definedName name="Admin_Comments_1">Lists!$F$38</definedName>
    <definedName name="Admin_Comments_2">Lists!$F$39</definedName>
    <definedName name="Admin_Comments_3">Lists!$F$40</definedName>
    <definedName name="Admin_Comments_4">Lists!$F$41</definedName>
    <definedName name="Admin_Data">Lists!$G$29:$G$46</definedName>
    <definedName name="Admin_Mail_to_Cust">Lists!$F$35</definedName>
    <definedName name="Admin_Note_to_Payroll">Lists!$F$37</definedName>
    <definedName name="Admin_Send_to_IPCO">Lists!$F$36</definedName>
    <definedName name="AllStates">Lists!$C$2:$D$52</definedName>
    <definedName name="AllStatesInitials">Lists!$C$2:$C$52</definedName>
    <definedName name="ApplicantStatus">Lists!$I$2:$I$6</definedName>
    <definedName name="BuildingHours">Lists!$E$2:$F$27</definedName>
    <definedName name="BuildingType">Lists!$E$2:$E$27</definedName>
    <definedName name="ButtonFinal">Lists!$F$30</definedName>
    <definedName name="ButtonPreliminary">Lists!$F$29</definedName>
    <definedName name="cc_List">Lists!$E$48:$E$55</definedName>
    <definedName name="ChillerType">Lists!$I$16:$I$18</definedName>
    <definedName name="ComboBoxRep">Lists!$F$34</definedName>
    <definedName name="CoolingHours">Lists!$E$2:$G$27</definedName>
    <definedName name="CustomerRepLocations">Lists!$H$28:$I$52</definedName>
    <definedName name="CustomerReps">Lists!$H$29:$H$56</definedName>
    <definedName name="EMCSSystemTypes">Lists!$J$15:$J$22</definedName>
    <definedName name="exteriorNLC">Lists!$J$30:$J$32</definedName>
    <definedName name="Facility_Name">Lists!$I$23:$I$24</definedName>
    <definedName name="FacilityState">Lists!$H$15:$H$16</definedName>
    <definedName name="Form_Data">Lists!$F$29:$F$46</definedName>
    <definedName name="GroupA">'HVAC Efficiency Tables'!$F$3:$M$7</definedName>
    <definedName name="GroupB">'HVAC Efficiency Tables'!$F$13:$M$13</definedName>
    <definedName name="GroupD">'HVAC Efficiency Tables'!$F$14:$M$18</definedName>
    <definedName name="GroupE">'HVAC Efficiency Tables'!$F$19:$M$19</definedName>
    <definedName name="GroupF">'HVAC Efficiency Tables'!$F$24:$M$26</definedName>
    <definedName name="GroupG">'HVAC Efficiency Tables'!$F$27:$M$32</definedName>
    <definedName name="GroupH">'HVAC Efficiency Tables'!$F$33:$M$37</definedName>
    <definedName name="Handling">Lists!$I$20</definedName>
    <definedName name="Handling_Admin">Lists!$G$37</definedName>
    <definedName name="Handling_Instructions">Lists!$I$20:$I$21</definedName>
    <definedName name="HandlingInstructions">#REF!</definedName>
    <definedName name="HeatingFuel">Lists!$J$46:$J$49</definedName>
    <definedName name="HeatingSystem">Lists!$J$51:$J$52</definedName>
    <definedName name="HVACEfficiencies">'HVAC Efficiency Tables'!$E$47:$R$149</definedName>
    <definedName name="HVACEfficiencyTables">'HVAC Efficiency Tables'!$A$1:$K$37</definedName>
    <definedName name="HVACEfficiencyTablesCode">'HVAC Efficiency Tables'!$A$1:$M$37</definedName>
    <definedName name="HVACEffLookUps">'HVAC Efficiency Tables'!$E$46:$K$149</definedName>
    <definedName name="interiorNLC">Lists!$J$24:$J$28</definedName>
    <definedName name="MFRSplitorSingle01">'HVAC Efficiency Tables'!$AI$148:$AI$150</definedName>
    <definedName name="MFRSplitorSingle02">'HVAC Efficiency Tables'!$AI$151:$AI$153</definedName>
    <definedName name="MFRSplitorSingle03">'HVAC Efficiency Tables'!$AI$154:$AI$156</definedName>
    <definedName name="MFRSplitorSingle04">'HVAC Efficiency Tables'!$AI$157:$AI$159</definedName>
    <definedName name="MFRSplitorSingle05">'HVAC Efficiency Tables'!$AI$160:$AI$162</definedName>
    <definedName name="MFRSplitorSingle06">'HVAC Efficiency Tables'!$AI$163:$AI$165</definedName>
    <definedName name="MFRSplitorSingle07">'HVAC Efficiency Tables'!$AI$166:$AI$168</definedName>
    <definedName name="MFRSplitorSingle08">'HVAC Efficiency Tables'!$AI$169:$AI$171</definedName>
    <definedName name="MFRSplitorSingle09">'HVAC Efficiency Tables'!$AI$172:$AI$174</definedName>
    <definedName name="MFRSplitorSingle10">'HVAC Efficiency Tables'!$AI$175:$AI$177</definedName>
    <definedName name="MFSplitorSingle01">'HVAC Efficiency Tables'!$Z$148:$Z$150</definedName>
    <definedName name="MFSplitorSingle02">'HVAC Efficiency Tables'!$Z$151:$Z$153</definedName>
    <definedName name="MFSplitorSingle03">'HVAC Efficiency Tables'!$Z$154:$Z$156</definedName>
    <definedName name="MFSplitorSingle04">'HVAC Efficiency Tables'!$Z$157:$Z$159</definedName>
    <definedName name="MFSplitorSingle05">'HVAC Efficiency Tables'!$Z$160:$Z$162</definedName>
    <definedName name="MFSplitorSingle06">'HVAC Efficiency Tables'!$Z$163:$Z$165</definedName>
    <definedName name="MFSplitorSingle07">'HVAC Efficiency Tables'!$Z$166:$Z$168</definedName>
    <definedName name="MFSplitorSingle08">'HVAC Efficiency Tables'!$Z$169:$Z$171</definedName>
    <definedName name="MFSplitorSingle09">'HVAC Efficiency Tables'!$Z$172:$Z$174</definedName>
    <definedName name="MFSplitorSingle10">'HVAC Efficiency Tables'!$Z$175:$Z$177</definedName>
    <definedName name="PayableTo">Lists!$J$38:$J$40</definedName>
    <definedName name="_xlnm.Print_Area" localSheetId="4">'Final Application'!$A$226:$AJ$314</definedName>
    <definedName name="_xlnm.Print_Area" localSheetId="0">Letter!$B$1:$E$35</definedName>
    <definedName name="_xlnm.Print_Area" localSheetId="6">'NC and Major Reno'!$A$216:$AJ$331</definedName>
    <definedName name="_xlnm.Print_Area" localSheetId="7">'NC HVAC Worksheet'!$A$271:$BJ$403</definedName>
    <definedName name="_xlnm.Print_Area" localSheetId="3">'Preliminary Application'!$A$205:$AJ$266</definedName>
    <definedName name="_xlnm.Print_Area" localSheetId="9">'Retro HVAC Worksheet'!$A$270:$BJ$403</definedName>
    <definedName name="_xlnm.Print_Area" localSheetId="8">Retrofits!$A$217:$AJ$333</definedName>
    <definedName name="_xlnm.Print_Area" localSheetId="11">'Specific Qualifications'!$AA$26:$AC$49</definedName>
    <definedName name="_xlnm.Print_Area" localSheetId="12">'Terms &amp; Conditions'!$AA$26:$AC$49</definedName>
    <definedName name="_xlnm.Print_Area" localSheetId="2">Welcome!$Z$66:$AA$132</definedName>
    <definedName name="ProjectType">Lists!$H$10:$H$13</definedName>
    <definedName name="RegionLookUp">Lists!$L$1:$O$184</definedName>
    <definedName name="Regions">Lists!$H$18:$H$22</definedName>
    <definedName name="ResistanceType01">'HVAC Efficiency Tables'!$Y$11:$Y$13</definedName>
    <definedName name="ResistanceType02">'HVAC Efficiency Tables'!$Y$14:$Y$16</definedName>
    <definedName name="ResistanceType03">'HVAC Efficiency Tables'!$Y$17:$Y$19</definedName>
    <definedName name="ResistanceType04">'HVAC Efficiency Tables'!$Y$20:$Y$22</definedName>
    <definedName name="ResistanceType05">'HVAC Efficiency Tables'!$Y$23:$Y$25</definedName>
    <definedName name="ResistanceType06">'HVAC Efficiency Tables'!$Y$26:$Y$28</definedName>
    <definedName name="ResistanceType07">'HVAC Efficiency Tables'!$Y$29:$Y$31</definedName>
    <definedName name="ResistanceType08">'HVAC Efficiency Tables'!$Y$32:$Y$34</definedName>
    <definedName name="ResistanceType09">'HVAC Efficiency Tables'!$Y$35:$Y$37</definedName>
    <definedName name="ResistanceType10">'HVAC Efficiency Tables'!$Y$38:$Y$40</definedName>
    <definedName name="ResistanceType11">'HVAC Efficiency Tables'!$Y$41:$Y$43</definedName>
    <definedName name="ResistanceType12">'HVAC Efficiency Tables'!$Y$44:$Y$46</definedName>
    <definedName name="ResistanceType13">'HVAC Efficiency Tables'!$Y$47:$Y$49</definedName>
    <definedName name="ResistanceType14">'HVAC Efficiency Tables'!$Y$50:$Y$52</definedName>
    <definedName name="ResistanceType15">'HVAC Efficiency Tables'!$Y$53:$Y$55</definedName>
    <definedName name="ResistanceType16">'HVAC Efficiency Tables'!$Y$58:$Y$60</definedName>
    <definedName name="ResistanceType17">'HVAC Efficiency Tables'!$Y$61:$Y$63</definedName>
    <definedName name="ResistanceType18">'HVAC Efficiency Tables'!$Y$64:$Y$66</definedName>
    <definedName name="ResistanceType19">'HVAC Efficiency Tables'!$Y$67:$Y$69</definedName>
    <definedName name="ResistanceType20">'HVAC Efficiency Tables'!$Y$70:$Y$72</definedName>
    <definedName name="ResistanceType21">'HVAC Efficiency Tables'!$Y$73:$Y$75</definedName>
    <definedName name="ResistanceType22">'HVAC Efficiency Tables'!$Y$76:$Y$78</definedName>
    <definedName name="ResistanceType23">'HVAC Efficiency Tables'!$Y$79:$Y$81</definedName>
    <definedName name="ResistanceType24">'HVAC Efficiency Tables'!$Y$82:$Y$84</definedName>
    <definedName name="ResistanceType25">'HVAC Efficiency Tables'!$Y$85:$Y$87</definedName>
    <definedName name="ResistanceTypeA201">'HVAC Efficiency Tables'!$Y$90:$Y$92</definedName>
    <definedName name="ResistanceTypeA202">'HVAC Efficiency Tables'!$Y$93:$Y$95</definedName>
    <definedName name="ResistanceTypeA203">'HVAC Efficiency Tables'!$Y$96:$Y$98</definedName>
    <definedName name="ResistanceTypeA204">'HVAC Efficiency Tables'!$Y$99:$Y$101</definedName>
    <definedName name="ResistanceTypeA205">'HVAC Efficiency Tables'!$Y$102:$Y$104</definedName>
    <definedName name="ResistanceTypes">Lists!$I$26:$I$27</definedName>
    <definedName name="RResistanceType01">'HVAC Efficiency Tables'!$AH$11:$AH$13</definedName>
    <definedName name="RResistanceType02">'HVAC Efficiency Tables'!$AH$14:$AH$16</definedName>
    <definedName name="RResistanceType03">'HVAC Efficiency Tables'!$AH$17:$AH$19</definedName>
    <definedName name="RResistanceType04">'HVAC Efficiency Tables'!$AH$20:$AH$22</definedName>
    <definedName name="RResistanceType05">'HVAC Efficiency Tables'!$AH$23:$AH$25</definedName>
    <definedName name="RResistanceType06">'HVAC Efficiency Tables'!$AH$26:$AH$28</definedName>
    <definedName name="RResistanceType07">'HVAC Efficiency Tables'!$AH$29:$AH$31</definedName>
    <definedName name="RResistanceType08">'HVAC Efficiency Tables'!$AH$32:$AH$34</definedName>
    <definedName name="RResistanceType09">'HVAC Efficiency Tables'!$AH$35:$AH$37</definedName>
    <definedName name="RResistanceType10">'HVAC Efficiency Tables'!$AH$38:$AH$40</definedName>
    <definedName name="RResistanceType11">'HVAC Efficiency Tables'!$AH$41:$AH$43</definedName>
    <definedName name="RResistanceType12">'HVAC Efficiency Tables'!$AH$44:$AH$46</definedName>
    <definedName name="RResistanceType13">'HVAC Efficiency Tables'!$AH$47:$AH$49</definedName>
    <definedName name="RResistanceType14">'HVAC Efficiency Tables'!$AH$50:$AH$52</definedName>
    <definedName name="RResistanceType15">'HVAC Efficiency Tables'!$AH$53:$AH$55</definedName>
    <definedName name="RSplitorSingle01">'HVAC Efficiency Tables'!$AI$11:$AI$13</definedName>
    <definedName name="RSplitorSingle02">'HVAC Efficiency Tables'!$AI$14:$AI$16</definedName>
    <definedName name="RSplitorSingle03">'HVAC Efficiency Tables'!$AI$17:$AI$19</definedName>
    <definedName name="RSplitorSingle04">'HVAC Efficiency Tables'!$AI$20:$AI$22</definedName>
    <definedName name="RSplitorSingle05">'HVAC Efficiency Tables'!$AI$23:$AI$25</definedName>
    <definedName name="RSplitorSingle06">'HVAC Efficiency Tables'!$AI$26:$AI$28</definedName>
    <definedName name="RSplitorSingle07">'HVAC Efficiency Tables'!$AI$29:$AI$31</definedName>
    <definedName name="RSplitorSingle08">'HVAC Efficiency Tables'!$AI$32:$AI$34</definedName>
    <definedName name="RSplitorSingle09">'HVAC Efficiency Tables'!$AI$35:$AI$37</definedName>
    <definedName name="RSplitorSingle10">'HVAC Efficiency Tables'!$AI$38:$AI$40</definedName>
    <definedName name="RSplitorSingle11">'HVAC Efficiency Tables'!$AI$41:$AI$43</definedName>
    <definedName name="RSplitorSingle12">'HVAC Efficiency Tables'!$AI$44:$AI$46</definedName>
    <definedName name="RSplitorSingle13">'HVAC Efficiency Tables'!$AI$47:$AI$49</definedName>
    <definedName name="RSplitorSingle14">'HVAC Efficiency Tables'!$AI$50:$AI$52</definedName>
    <definedName name="RSplitorSingle15">'HVAC Efficiency Tables'!$AI$53:$AI$55</definedName>
    <definedName name="SplitorSingle">Lists!$J$8:$J$9</definedName>
    <definedName name="SplitorSingle01">'HVAC Efficiency Tables'!$Z$11:$Z$13</definedName>
    <definedName name="SplitorSingle02">'HVAC Efficiency Tables'!$Z$14:$Z$16</definedName>
    <definedName name="SplitorSingle03">'HVAC Efficiency Tables'!$Z$17:$Z$19</definedName>
    <definedName name="SplitorSingle04">'HVAC Efficiency Tables'!$Z$20:$Z$22</definedName>
    <definedName name="SplitorSingle05">'HVAC Efficiency Tables'!$Z$23:$Z$25</definedName>
    <definedName name="SplitorSingle06">'HVAC Efficiency Tables'!$Z$26:$Z$28</definedName>
    <definedName name="SplitorSingle07">'HVAC Efficiency Tables'!$Z$29:$Z$31</definedName>
    <definedName name="SplitorSingle08">'HVAC Efficiency Tables'!$Z$32:$Z$34</definedName>
    <definedName name="SplitorSingle09">'HVAC Efficiency Tables'!$Z$35:$Z$37</definedName>
    <definedName name="SplitorSingle10">'HVAC Efficiency Tables'!$Z$38:$Z$40</definedName>
    <definedName name="SplitorSingle11">'HVAC Efficiency Tables'!$Z$41:$Z$43</definedName>
    <definedName name="SplitorSingle12">'HVAC Efficiency Tables'!$Z$44:$Z$46</definedName>
    <definedName name="SplitorSingle13">'HVAC Efficiency Tables'!$Z$47:$Z$49</definedName>
    <definedName name="SplitorSingle14">'HVAC Efficiency Tables'!$Z$50:$Z$52</definedName>
    <definedName name="SplitorSingle15">'HVAC Efficiency Tables'!$Z$53:$Z$55</definedName>
    <definedName name="SplitorSingle16">'HVAC Efficiency Tables'!$Z$58:$Z$60</definedName>
    <definedName name="SplitorSingle17">'HVAC Efficiency Tables'!$Z$61:$Z$63</definedName>
    <definedName name="SplitorSingle18">'HVAC Efficiency Tables'!$Z$64:$Z$66</definedName>
    <definedName name="SplitorSingle19">'HVAC Efficiency Tables'!$Z$67:$Z$69</definedName>
    <definedName name="SplitorSingle20">'HVAC Efficiency Tables'!$Z$70:$Z$72</definedName>
    <definedName name="SplitorSingle21">'HVAC Efficiency Tables'!$Z$73:$Z$75</definedName>
    <definedName name="SplitorSingle22">'HVAC Efficiency Tables'!$Z$77:$Z$78</definedName>
    <definedName name="SplitorSingle23">'HVAC Efficiency Tables'!$Z$79:$Z$81</definedName>
    <definedName name="SplitorSingle24">'HVAC Efficiency Tables'!$Z$82:$Z$84</definedName>
    <definedName name="SplitorSingle25">'HVAC Efficiency Tables'!$Z$85:$Z$87</definedName>
    <definedName name="StackingEffects">Lists!$P$1:$Q$21</definedName>
    <definedName name="Subcategory01">'HVAC Efficiency Tables'!$Z$90:$Z$92</definedName>
    <definedName name="Subcategory02">'HVAC Efficiency Tables'!$Z$93:$Z$95</definedName>
    <definedName name="Subcategory03">'HVAC Efficiency Tables'!$Z$96:$Z$98</definedName>
    <definedName name="Subcategory04">'HVAC Efficiency Tables'!$Z$99:$Z$101</definedName>
    <definedName name="Subcategory05">'HVAC Efficiency Tables'!$Z$102:$Z$104</definedName>
    <definedName name="TaxStatus">Lists!$H$2:$H$8</definedName>
    <definedName name="TextBoxAppNo1">Lists!$F$31</definedName>
    <definedName name="TextBoxAppNo2">Lists!$F$32</definedName>
    <definedName name="TextBoxDate">Lists!$F$33</definedName>
    <definedName name="Version">Welcome!$B$58</definedName>
    <definedName name="VRFType">Lists!$J$11:$J$13</definedName>
    <definedName name="VSDMotorTypeIncentives">Lists!$J$2:$K$6</definedName>
    <definedName name="VSDMotorTypes">Lists!$J$2:$J$6</definedName>
    <definedName name="VSDWaterPump">Lists!$J$2:$J$6</definedName>
    <definedName name="YesNo">Lists!$J$42:$J$44</definedName>
    <definedName name="ZipCodes">Lists!$A$2:$B$170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6" i="5" l="1"/>
  <c r="W35" i="5"/>
  <c r="W34" i="5"/>
  <c r="W33" i="5"/>
  <c r="W32" i="5"/>
  <c r="W31" i="5"/>
  <c r="W30" i="5"/>
  <c r="W29" i="5"/>
  <c r="W28" i="5"/>
  <c r="AW28" i="54"/>
  <c r="AW29" i="54"/>
  <c r="AW30" i="54"/>
  <c r="AW31" i="54"/>
  <c r="AW32" i="54"/>
  <c r="AW33" i="54"/>
  <c r="AW34" i="54"/>
  <c r="AW35" i="54"/>
  <c r="AW36" i="54"/>
  <c r="AW27" i="54"/>
  <c r="BB338" i="54"/>
  <c r="BA338" i="54"/>
  <c r="BB337" i="54"/>
  <c r="BA337" i="54"/>
  <c r="BB336" i="54"/>
  <c r="BA336" i="54"/>
  <c r="BB335" i="54"/>
  <c r="BA335" i="54"/>
  <c r="BB334" i="54"/>
  <c r="BA334" i="54"/>
  <c r="BB333" i="54"/>
  <c r="BA333" i="54"/>
  <c r="BB332" i="54"/>
  <c r="BA332" i="54"/>
  <c r="BB331" i="54"/>
  <c r="BA331" i="54"/>
  <c r="BB330" i="54"/>
  <c r="BA330" i="54"/>
  <c r="AS338" i="54"/>
  <c r="AR338" i="54"/>
  <c r="AS337" i="54"/>
  <c r="AR337" i="54"/>
  <c r="AS336" i="54"/>
  <c r="AR336" i="54"/>
  <c r="AS335" i="54"/>
  <c r="AR335" i="54"/>
  <c r="AS334" i="54"/>
  <c r="AR334" i="54"/>
  <c r="AS333" i="54"/>
  <c r="AR333" i="54"/>
  <c r="AS332" i="54"/>
  <c r="AR332" i="54"/>
  <c r="AS331" i="54"/>
  <c r="AR331" i="54"/>
  <c r="AS330" i="54"/>
  <c r="AR330" i="54"/>
  <c r="BD306" i="54"/>
  <c r="BC306" i="54"/>
  <c r="BD305" i="54"/>
  <c r="BC305" i="54"/>
  <c r="BD304" i="54"/>
  <c r="BC304" i="54"/>
  <c r="BD303" i="54"/>
  <c r="BC303" i="54"/>
  <c r="BD302" i="54"/>
  <c r="BC302" i="54"/>
  <c r="BD301" i="54"/>
  <c r="BC301" i="54"/>
  <c r="BD300" i="54"/>
  <c r="BC300" i="54"/>
  <c r="BD299" i="54"/>
  <c r="BC299" i="54"/>
  <c r="BD298" i="54"/>
  <c r="BC298" i="54"/>
  <c r="BD297" i="54"/>
  <c r="BC297" i="54"/>
  <c r="AU306" i="54"/>
  <c r="AT306" i="54"/>
  <c r="AU305" i="54"/>
  <c r="AT305" i="54"/>
  <c r="AU304" i="54"/>
  <c r="AT304" i="54"/>
  <c r="AU303" i="54"/>
  <c r="AT303" i="54"/>
  <c r="AU302" i="54"/>
  <c r="AT302" i="54"/>
  <c r="AU301" i="54"/>
  <c r="AT301" i="54"/>
  <c r="AU300" i="54"/>
  <c r="AT300" i="54"/>
  <c r="AU299" i="54"/>
  <c r="AT299" i="54"/>
  <c r="AU298" i="54"/>
  <c r="AT298" i="54"/>
  <c r="AU297" i="54"/>
  <c r="AT297" i="54"/>
  <c r="AK338" i="54"/>
  <c r="AK337" i="54"/>
  <c r="AK336" i="54"/>
  <c r="AK335" i="54"/>
  <c r="AK334" i="54"/>
  <c r="AK333" i="54"/>
  <c r="AK332" i="54"/>
  <c r="AK331" i="54"/>
  <c r="AK330" i="54"/>
  <c r="AK329" i="54"/>
  <c r="AK328" i="54"/>
  <c r="AK327" i="54"/>
  <c r="AM306" i="54"/>
  <c r="AM305" i="54"/>
  <c r="AM304" i="54"/>
  <c r="AM303" i="54"/>
  <c r="AM302" i="54"/>
  <c r="AM301" i="54"/>
  <c r="AM300" i="54"/>
  <c r="AM299" i="54"/>
  <c r="AM298" i="54"/>
  <c r="AM297" i="54"/>
  <c r="AM296" i="54"/>
  <c r="AM295" i="54"/>
  <c r="BA60" i="54"/>
  <c r="BB60" i="54" s="1"/>
  <c r="BA61" i="54"/>
  <c r="BA62" i="54"/>
  <c r="BA63" i="54"/>
  <c r="BA64" i="54"/>
  <c r="BA65" i="54"/>
  <c r="BA66" i="54"/>
  <c r="BA67" i="54"/>
  <c r="BB67" i="54" s="1"/>
  <c r="BA68" i="54"/>
  <c r="BB68" i="54" s="1"/>
  <c r="AR60" i="54"/>
  <c r="AS60" i="54" s="1"/>
  <c r="AR61" i="54"/>
  <c r="AR62" i="54"/>
  <c r="AR63" i="54"/>
  <c r="AR64" i="54"/>
  <c r="AS64" i="54" s="1"/>
  <c r="AR65" i="54"/>
  <c r="AS65" i="54" s="1"/>
  <c r="AR66" i="54"/>
  <c r="AR67" i="54"/>
  <c r="AS67" i="54" s="1"/>
  <c r="AR68" i="54"/>
  <c r="AS68" i="54" s="1"/>
  <c r="BB66" i="54"/>
  <c r="BB65" i="54"/>
  <c r="BB64" i="54"/>
  <c r="BB63" i="54"/>
  <c r="BB62" i="54"/>
  <c r="BB61" i="54"/>
  <c r="AS66" i="54"/>
  <c r="AS63" i="54"/>
  <c r="AS62" i="54"/>
  <c r="AS61" i="54"/>
  <c r="AL60" i="54"/>
  <c r="AL61" i="54"/>
  <c r="AL62" i="54"/>
  <c r="AL63" i="54"/>
  <c r="AL64" i="54"/>
  <c r="AL65" i="54"/>
  <c r="AL66" i="54"/>
  <c r="AL67" i="54"/>
  <c r="AL68" i="54"/>
  <c r="W36" i="54"/>
  <c r="W35" i="54"/>
  <c r="W34" i="54"/>
  <c r="AT34" i="54" s="1"/>
  <c r="AU34" i="54" s="1"/>
  <c r="W33" i="54"/>
  <c r="W32" i="54"/>
  <c r="W31" i="54"/>
  <c r="AT31" i="54" s="1"/>
  <c r="AU31" i="54" s="1"/>
  <c r="W30" i="54"/>
  <c r="W29" i="54"/>
  <c r="BC29" i="54" s="1"/>
  <c r="BD29" i="54" s="1"/>
  <c r="W28" i="54"/>
  <c r="BC28" i="54"/>
  <c r="BD28" i="54" s="1"/>
  <c r="BC30" i="54"/>
  <c r="BD30" i="54" s="1"/>
  <c r="BC31" i="54"/>
  <c r="BD31" i="54" s="1"/>
  <c r="BC32" i="54"/>
  <c r="BC33" i="54"/>
  <c r="BC34" i="54"/>
  <c r="BD34" i="54" s="1"/>
  <c r="BC35" i="54"/>
  <c r="BD35" i="54" s="1"/>
  <c r="BC36" i="54"/>
  <c r="BD36" i="54" s="1"/>
  <c r="AT28" i="54"/>
  <c r="AU28" i="54" s="1"/>
  <c r="AT29" i="54"/>
  <c r="AU29" i="54" s="1"/>
  <c r="AT30" i="54"/>
  <c r="AT32" i="54"/>
  <c r="AU32" i="54" s="1"/>
  <c r="AT33" i="54"/>
  <c r="AU33" i="54" s="1"/>
  <c r="AT35" i="54"/>
  <c r="AU35" i="54" s="1"/>
  <c r="AT36" i="54"/>
  <c r="AU36" i="54" s="1"/>
  <c r="BD33" i="54"/>
  <c r="BD32" i="54"/>
  <c r="AU30" i="54"/>
  <c r="AW20" i="5"/>
  <c r="BA330" i="5"/>
  <c r="BA331" i="5"/>
  <c r="BA332" i="5"/>
  <c r="BA333" i="5"/>
  <c r="BA334" i="5"/>
  <c r="BA335" i="5"/>
  <c r="BA336" i="5"/>
  <c r="BA337" i="5"/>
  <c r="BA338" i="5"/>
  <c r="AR330" i="5"/>
  <c r="AR331" i="5"/>
  <c r="AR332" i="5"/>
  <c r="AR333" i="5"/>
  <c r="AR334" i="5"/>
  <c r="AR335" i="5"/>
  <c r="AR336" i="5"/>
  <c r="AR337" i="5"/>
  <c r="AR338" i="5"/>
  <c r="AK328" i="5"/>
  <c r="AK327" i="5"/>
  <c r="AK338" i="5"/>
  <c r="AK337" i="5"/>
  <c r="AK336" i="5"/>
  <c r="AK335" i="5"/>
  <c r="AK334" i="5"/>
  <c r="AK333" i="5"/>
  <c r="AK332" i="5"/>
  <c r="AK331" i="5"/>
  <c r="AK330" i="5"/>
  <c r="AK329" i="5"/>
  <c r="AM306" i="5"/>
  <c r="AM305" i="5"/>
  <c r="AM304" i="5"/>
  <c r="AM303" i="5"/>
  <c r="AM302" i="5"/>
  <c r="AM301" i="5"/>
  <c r="AM300" i="5"/>
  <c r="AM299" i="5"/>
  <c r="AM298" i="5"/>
  <c r="AM297" i="5"/>
  <c r="AM296" i="5"/>
  <c r="AM295" i="5"/>
  <c r="BE60" i="5"/>
  <c r="BE61" i="5"/>
  <c r="BE62" i="5"/>
  <c r="BE63" i="5"/>
  <c r="BE64" i="5"/>
  <c r="BE65" i="5"/>
  <c r="BE66" i="5"/>
  <c r="BE67" i="5"/>
  <c r="BE68" i="5"/>
  <c r="BA60" i="5"/>
  <c r="BB60" i="5" s="1"/>
  <c r="BA61" i="5"/>
  <c r="BB61" i="5" s="1"/>
  <c r="BA62" i="5"/>
  <c r="BB62" i="5" s="1"/>
  <c r="BA63" i="5"/>
  <c r="BB63" i="5" s="1"/>
  <c r="BA64" i="5"/>
  <c r="BB64" i="5" s="1"/>
  <c r="BA65" i="5"/>
  <c r="BB65" i="5" s="1"/>
  <c r="BA66" i="5"/>
  <c r="BA67" i="5"/>
  <c r="BB67" i="5" s="1"/>
  <c r="BA68" i="5"/>
  <c r="BB68" i="5" s="1"/>
  <c r="AR60" i="5"/>
  <c r="AS60" i="5" s="1"/>
  <c r="AR61" i="5"/>
  <c r="AR62" i="5"/>
  <c r="AR63" i="5"/>
  <c r="AS63" i="5" s="1"/>
  <c r="AR64" i="5"/>
  <c r="AS64" i="5" s="1"/>
  <c r="AR65" i="5"/>
  <c r="AS65" i="5" s="1"/>
  <c r="AR66" i="5"/>
  <c r="AR67" i="5"/>
  <c r="AS67" i="5" s="1"/>
  <c r="AR68" i="5"/>
  <c r="AS68" i="5" s="1"/>
  <c r="BB66" i="5"/>
  <c r="AS61" i="5"/>
  <c r="AS62" i="5"/>
  <c r="AS66" i="5"/>
  <c r="AD233" i="23"/>
  <c r="Z233" i="23"/>
  <c r="AD234" i="23"/>
  <c r="AD9" i="23"/>
  <c r="Z9" i="23"/>
  <c r="AD213" i="21"/>
  <c r="AD212" i="21"/>
  <c r="Y212" i="21"/>
  <c r="AG330" i="53"/>
  <c r="AE328" i="53"/>
  <c r="AD328" i="53"/>
  <c r="Y328" i="53"/>
  <c r="W328" i="53"/>
  <c r="V328" i="53"/>
  <c r="N328" i="53"/>
  <c r="AL113" i="53"/>
  <c r="AL112" i="53"/>
  <c r="AK113" i="53"/>
  <c r="AK112" i="53"/>
  <c r="M112" i="53"/>
  <c r="M328" i="53" s="1"/>
  <c r="M111" i="53"/>
  <c r="M327" i="53" s="1"/>
  <c r="B21" i="23"/>
  <c r="M21" i="23"/>
  <c r="B19" i="23"/>
  <c r="B17" i="23"/>
  <c r="M17" i="23"/>
  <c r="T17" i="23"/>
  <c r="Z17" i="23"/>
  <c r="B15" i="23"/>
  <c r="M15" i="23"/>
  <c r="T15" i="23"/>
  <c r="Z15" i="23"/>
  <c r="B13" i="23"/>
  <c r="T13" i="23"/>
  <c r="AD13" i="23"/>
  <c r="AF13" i="23"/>
  <c r="BS127" i="54"/>
  <c r="BS129" i="54"/>
  <c r="BS130" i="54"/>
  <c r="BS126" i="54"/>
  <c r="BR128" i="54"/>
  <c r="BR129" i="54"/>
  <c r="BR130" i="54"/>
  <c r="BR126" i="54"/>
  <c r="BQ127" i="54"/>
  <c r="BQ128" i="54"/>
  <c r="BQ129" i="54"/>
  <c r="BQ130" i="54"/>
  <c r="BT79" i="54"/>
  <c r="BT80" i="54"/>
  <c r="BT82" i="54"/>
  <c r="BT83" i="54"/>
  <c r="BT84" i="54"/>
  <c r="BT85" i="54"/>
  <c r="BT86" i="54"/>
  <c r="BT87" i="54"/>
  <c r="BT88" i="54"/>
  <c r="BT89" i="54"/>
  <c r="BT90" i="54"/>
  <c r="BT91" i="54"/>
  <c r="BT92" i="54"/>
  <c r="BT78" i="54"/>
  <c r="BS79" i="54"/>
  <c r="BS81" i="54"/>
  <c r="BS82" i="54"/>
  <c r="BS83" i="54"/>
  <c r="BS84" i="54"/>
  <c r="BS85" i="54"/>
  <c r="BS86" i="54"/>
  <c r="BS87" i="54"/>
  <c r="BS88" i="54"/>
  <c r="BS89" i="54"/>
  <c r="BS90" i="54"/>
  <c r="BS91" i="54"/>
  <c r="BS92" i="54"/>
  <c r="BS78" i="54"/>
  <c r="BR80" i="54"/>
  <c r="BR81" i="54"/>
  <c r="BR82" i="54"/>
  <c r="BR83" i="54"/>
  <c r="BR84" i="54"/>
  <c r="BR85" i="54"/>
  <c r="BR86" i="54"/>
  <c r="BR87" i="54"/>
  <c r="BR88" i="54"/>
  <c r="BR89" i="54"/>
  <c r="BR90" i="54"/>
  <c r="BR91" i="54"/>
  <c r="BR92" i="54"/>
  <c r="BR78" i="54"/>
  <c r="BQ79" i="54"/>
  <c r="BQ80" i="54"/>
  <c r="BQ81" i="54"/>
  <c r="BQ82" i="54"/>
  <c r="BQ83" i="54"/>
  <c r="BQ84" i="54"/>
  <c r="BQ85" i="54"/>
  <c r="BQ86" i="54"/>
  <c r="BQ87" i="54"/>
  <c r="BQ88" i="54"/>
  <c r="BQ89" i="54"/>
  <c r="BQ90" i="54"/>
  <c r="BQ91" i="54"/>
  <c r="BQ92" i="54"/>
  <c r="AI344" i="54"/>
  <c r="AD344" i="54"/>
  <c r="AB344" i="54"/>
  <c r="AI343" i="54"/>
  <c r="AD343" i="54"/>
  <c r="AB343" i="54"/>
  <c r="AI277" i="54"/>
  <c r="AI276" i="54"/>
  <c r="AD277" i="54"/>
  <c r="AD276" i="54"/>
  <c r="AB277" i="54"/>
  <c r="AB276" i="54"/>
  <c r="AF293" i="52"/>
  <c r="Q268" i="53"/>
  <c r="O268" i="53"/>
  <c r="N268" i="53"/>
  <c r="AF111" i="53" l="1"/>
  <c r="AO111" i="53" s="1"/>
  <c r="AF112" i="53"/>
  <c r="AP15" i="52"/>
  <c r="AP14" i="52"/>
  <c r="AF52" i="53" l="1"/>
  <c r="AF18" i="53"/>
  <c r="AP126" i="54"/>
  <c r="AF108" i="18"/>
  <c r="AF109" i="18"/>
  <c r="AF110" i="18"/>
  <c r="AF111" i="18"/>
  <c r="AF112" i="18"/>
  <c r="AF113" i="18"/>
  <c r="AF114" i="18"/>
  <c r="AF115" i="18"/>
  <c r="AF116" i="18"/>
  <c r="AF117" i="18"/>
  <c r="AF118" i="18"/>
  <c r="AF119" i="18"/>
  <c r="AF120" i="18"/>
  <c r="AF121" i="18"/>
  <c r="AE108" i="18"/>
  <c r="AE109" i="18"/>
  <c r="AE110" i="18"/>
  <c r="AE111" i="18"/>
  <c r="AE112" i="18"/>
  <c r="AE113" i="18"/>
  <c r="AE114" i="18"/>
  <c r="AE115" i="18"/>
  <c r="AE116" i="18"/>
  <c r="AE117" i="18"/>
  <c r="AE118" i="18"/>
  <c r="AE119" i="18"/>
  <c r="AE120" i="18"/>
  <c r="AE121" i="18"/>
  <c r="AE107" i="18"/>
  <c r="AD108" i="18"/>
  <c r="AD109" i="18"/>
  <c r="AD110" i="18"/>
  <c r="AD111" i="18"/>
  <c r="AD112" i="18"/>
  <c r="AD113" i="18"/>
  <c r="AD114" i="18"/>
  <c r="AD115" i="18"/>
  <c r="AD116" i="18"/>
  <c r="AD117" i="18"/>
  <c r="AD118" i="18"/>
  <c r="AD119" i="18"/>
  <c r="AD120" i="18"/>
  <c r="AD121" i="18"/>
  <c r="AD107" i="18"/>
  <c r="AF107" i="18" s="1"/>
  <c r="AG107" i="18" s="1"/>
  <c r="AG11" i="18" s="1"/>
  <c r="AH11" i="18" s="1"/>
  <c r="AO52" i="53" l="1"/>
  <c r="AP52" i="53"/>
  <c r="AF11" i="18"/>
  <c r="AH12" i="18"/>
  <c r="AH107" i="18"/>
  <c r="R78" i="54" s="1"/>
  <c r="AE53" i="18"/>
  <c r="AD53" i="18"/>
  <c r="AE50" i="18"/>
  <c r="AD50" i="18"/>
  <c r="AF47" i="18"/>
  <c r="AE47" i="18"/>
  <c r="AD47" i="18"/>
  <c r="AE44" i="18"/>
  <c r="AD44" i="18"/>
  <c r="AE41" i="18"/>
  <c r="AD41" i="18"/>
  <c r="AE38" i="18"/>
  <c r="AD38" i="18"/>
  <c r="AE35" i="18"/>
  <c r="AD35" i="18"/>
  <c r="AE32" i="18"/>
  <c r="AD32" i="18"/>
  <c r="AE29" i="18"/>
  <c r="AD29" i="18"/>
  <c r="AE26" i="18"/>
  <c r="AD26" i="18"/>
  <c r="AE23" i="18"/>
  <c r="AD23" i="18"/>
  <c r="AE20" i="18"/>
  <c r="AD20" i="18"/>
  <c r="AF17" i="18"/>
  <c r="AE17" i="18"/>
  <c r="AD17" i="18"/>
  <c r="AE14" i="18"/>
  <c r="AD14" i="18"/>
  <c r="AE11" i="18"/>
  <c r="AD11" i="18"/>
  <c r="AF53" i="18"/>
  <c r="AF50" i="18"/>
  <c r="AF44" i="18"/>
  <c r="AF41" i="18"/>
  <c r="AF38" i="18"/>
  <c r="AF35" i="18"/>
  <c r="AF32" i="18"/>
  <c r="AF29" i="18"/>
  <c r="AF26" i="18"/>
  <c r="AF23" i="18"/>
  <c r="AF20" i="18"/>
  <c r="AF14" i="18"/>
  <c r="AD11" i="23"/>
  <c r="AY60" i="54"/>
  <c r="AY61" i="54"/>
  <c r="AY62" i="54"/>
  <c r="AY63" i="54"/>
  <c r="AY64" i="54"/>
  <c r="AY65" i="54"/>
  <c r="AY66" i="54"/>
  <c r="AY67" i="54"/>
  <c r="AY68" i="54"/>
  <c r="AP60" i="54"/>
  <c r="AP61" i="54"/>
  <c r="AP62" i="54"/>
  <c r="AP63" i="54"/>
  <c r="AP64" i="54"/>
  <c r="AP65" i="54"/>
  <c r="AP66" i="54"/>
  <c r="AP67" i="54"/>
  <c r="AP68" i="54"/>
  <c r="AH241" i="18"/>
  <c r="AH240" i="18"/>
  <c r="AH238" i="18"/>
  <c r="AH237" i="18"/>
  <c r="AH235" i="18"/>
  <c r="AH234" i="18"/>
  <c r="AH232" i="18"/>
  <c r="AH231" i="18"/>
  <c r="AH229" i="18"/>
  <c r="AH228" i="18"/>
  <c r="AH226" i="18"/>
  <c r="AH225" i="18"/>
  <c r="AH223" i="18"/>
  <c r="AH222" i="18"/>
  <c r="AH220" i="18"/>
  <c r="AH219" i="18"/>
  <c r="AH217" i="18"/>
  <c r="AH216" i="18"/>
  <c r="AH214" i="18"/>
  <c r="AH213" i="18"/>
  <c r="AF276" i="18"/>
  <c r="AF215" i="18" s="1"/>
  <c r="AF277" i="18"/>
  <c r="AF218" i="18" s="1"/>
  <c r="AF278" i="18"/>
  <c r="AF221" i="18" s="1"/>
  <c r="AF279" i="18"/>
  <c r="AF224" i="18" s="1"/>
  <c r="AF280" i="18"/>
  <c r="AF227" i="18" s="1"/>
  <c r="AF281" i="18"/>
  <c r="AF230" i="18" s="1"/>
  <c r="AF282" i="18"/>
  <c r="AF233" i="18" s="1"/>
  <c r="AF283" i="18"/>
  <c r="AF236" i="18" s="1"/>
  <c r="AF284" i="18"/>
  <c r="AF239" i="18" s="1"/>
  <c r="AE276" i="18"/>
  <c r="AE215" i="18" s="1"/>
  <c r="AE277" i="18"/>
  <c r="AE218" i="18" s="1"/>
  <c r="AE278" i="18"/>
  <c r="AE221" i="18" s="1"/>
  <c r="AE279" i="18"/>
  <c r="AE224" i="18" s="1"/>
  <c r="AE280" i="18"/>
  <c r="AE227" i="18" s="1"/>
  <c r="AE281" i="18"/>
  <c r="AE230" i="18" s="1"/>
  <c r="AE282" i="18"/>
  <c r="AE233" i="18" s="1"/>
  <c r="AE283" i="18"/>
  <c r="AE236" i="18" s="1"/>
  <c r="AE284" i="18"/>
  <c r="AE239" i="18" s="1"/>
  <c r="AE275" i="18"/>
  <c r="AE212" i="18" s="1"/>
  <c r="AD276" i="18"/>
  <c r="AD277" i="18"/>
  <c r="AD278" i="18"/>
  <c r="AD221" i="18" s="1"/>
  <c r="AD279" i="18"/>
  <c r="AD280" i="18"/>
  <c r="AD227" i="18" s="1"/>
  <c r="AD281" i="18"/>
  <c r="AD230" i="18" s="1"/>
  <c r="AD282" i="18"/>
  <c r="AD233" i="18" s="1"/>
  <c r="AD283" i="18"/>
  <c r="AD236" i="18" s="1"/>
  <c r="AD284" i="18"/>
  <c r="AD239" i="18" s="1"/>
  <c r="AD275" i="18"/>
  <c r="AD212" i="18" s="1"/>
  <c r="AY44" i="54"/>
  <c r="AY45" i="54"/>
  <c r="AY46" i="54"/>
  <c r="AY47" i="54"/>
  <c r="AY48" i="54"/>
  <c r="AY49" i="54"/>
  <c r="AY50" i="54"/>
  <c r="AY51" i="54"/>
  <c r="AY52" i="54"/>
  <c r="AP44" i="54"/>
  <c r="AP45" i="54"/>
  <c r="AP46" i="54"/>
  <c r="AP47" i="54"/>
  <c r="AP48" i="54"/>
  <c r="AP49" i="54"/>
  <c r="AP50" i="54"/>
  <c r="AP51" i="54"/>
  <c r="AP52" i="54"/>
  <c r="CB78" i="54" l="1"/>
  <c r="AG279" i="18"/>
  <c r="AG224" i="18" s="1"/>
  <c r="AI226" i="18" s="1"/>
  <c r="AG276" i="18"/>
  <c r="AG215" i="18" s="1"/>
  <c r="AI215" i="18" s="1"/>
  <c r="AI276" i="18" s="1"/>
  <c r="AG113" i="18"/>
  <c r="AG29" i="18" s="1"/>
  <c r="AH30" i="18" s="1"/>
  <c r="AD215" i="18"/>
  <c r="AG282" i="18"/>
  <c r="AG233" i="18" s="1"/>
  <c r="AH233" i="18" s="1"/>
  <c r="AH282" i="18" s="1"/>
  <c r="AF275" i="18"/>
  <c r="AF212" i="18" s="1"/>
  <c r="AG278" i="18"/>
  <c r="AG221" i="18" s="1"/>
  <c r="AH221" i="18" s="1"/>
  <c r="AH278" i="18" s="1"/>
  <c r="AG277" i="18"/>
  <c r="AG218" i="18" s="1"/>
  <c r="AI218" i="18" s="1"/>
  <c r="AI277" i="18" s="1"/>
  <c r="AG284" i="18"/>
  <c r="AG239" i="18" s="1"/>
  <c r="AI240" i="18" s="1"/>
  <c r="AG114" i="18"/>
  <c r="AG32" i="18" s="1"/>
  <c r="AH32" i="18" s="1"/>
  <c r="AH114" i="18" s="1"/>
  <c r="R85" i="54" s="1"/>
  <c r="AG110" i="18"/>
  <c r="AG20" i="18" s="1"/>
  <c r="AI22" i="18" s="1"/>
  <c r="AG118" i="18"/>
  <c r="AG44" i="18" s="1"/>
  <c r="AI46" i="18" s="1"/>
  <c r="AH13" i="18"/>
  <c r="AD224" i="18"/>
  <c r="AG108" i="18"/>
  <c r="AG14" i="18" s="1"/>
  <c r="AI16" i="18" s="1"/>
  <c r="AG116" i="18"/>
  <c r="AG38" i="18" s="1"/>
  <c r="AI40" i="18" s="1"/>
  <c r="AD218" i="18"/>
  <c r="AG111" i="18"/>
  <c r="AG23" i="18" s="1"/>
  <c r="AI25" i="18" s="1"/>
  <c r="AG119" i="18"/>
  <c r="AG47" i="18" s="1"/>
  <c r="AI49" i="18" s="1"/>
  <c r="AG121" i="18"/>
  <c r="AG53" i="18" s="1"/>
  <c r="AH54" i="18" s="1"/>
  <c r="AG112" i="18"/>
  <c r="AG26" i="18" s="1"/>
  <c r="AI28" i="18" s="1"/>
  <c r="AG120" i="18"/>
  <c r="AG50" i="18" s="1"/>
  <c r="AI52" i="18" s="1"/>
  <c r="AG109" i="18"/>
  <c r="AG17" i="18" s="1"/>
  <c r="AH17" i="18" s="1"/>
  <c r="AH109" i="18" s="1"/>
  <c r="R80" i="54" s="1"/>
  <c r="AG115" i="18"/>
  <c r="AG35" i="18" s="1"/>
  <c r="AI36" i="18" s="1"/>
  <c r="AG117" i="18"/>
  <c r="AG41" i="18" s="1"/>
  <c r="AH41" i="18" s="1"/>
  <c r="AH117" i="18" s="1"/>
  <c r="R88" i="54" s="1"/>
  <c r="AG280" i="18"/>
  <c r="AG227" i="18" s="1"/>
  <c r="AG281" i="18"/>
  <c r="AG230" i="18" s="1"/>
  <c r="AG283" i="18"/>
  <c r="AG236" i="18" s="1"/>
  <c r="AI238" i="18" s="1"/>
  <c r="AH209" i="18"/>
  <c r="AH208" i="18"/>
  <c r="AH206" i="18"/>
  <c r="AH205" i="18"/>
  <c r="AH203" i="18"/>
  <c r="AH202" i="18"/>
  <c r="AH200" i="18"/>
  <c r="AH199" i="18"/>
  <c r="AH197" i="18"/>
  <c r="AH196" i="18"/>
  <c r="AH194" i="18"/>
  <c r="AH193" i="18"/>
  <c r="AH191" i="18"/>
  <c r="AH190" i="18"/>
  <c r="AH188" i="18"/>
  <c r="AH187" i="18"/>
  <c r="AH185" i="18"/>
  <c r="AH184" i="18"/>
  <c r="AH182" i="18"/>
  <c r="AH181" i="18"/>
  <c r="AE263" i="18"/>
  <c r="AE183" i="18" s="1"/>
  <c r="AE264" i="18"/>
  <c r="AE186" i="18" s="1"/>
  <c r="AE265" i="18"/>
  <c r="AE189" i="18" s="1"/>
  <c r="AE266" i="18"/>
  <c r="AE192" i="18" s="1"/>
  <c r="AE267" i="18"/>
  <c r="AE195" i="18" s="1"/>
  <c r="AE268" i="18"/>
  <c r="AE198" i="18" s="1"/>
  <c r="AE269" i="18"/>
  <c r="AE201" i="18" s="1"/>
  <c r="AE270" i="18"/>
  <c r="AE204" i="18" s="1"/>
  <c r="AE271" i="18"/>
  <c r="AE207" i="18" s="1"/>
  <c r="AE262" i="18"/>
  <c r="AE180" i="18" s="1"/>
  <c r="AD263" i="18"/>
  <c r="AD183" i="18" s="1"/>
  <c r="AD264" i="18"/>
  <c r="AD186" i="18" s="1"/>
  <c r="AD265" i="18"/>
  <c r="AD189" i="18" s="1"/>
  <c r="AD266" i="18"/>
  <c r="AD192" i="18" s="1"/>
  <c r="AD267" i="18"/>
  <c r="AD195" i="18" s="1"/>
  <c r="AD268" i="18"/>
  <c r="AD198" i="18" s="1"/>
  <c r="AD269" i="18"/>
  <c r="AD201" i="18" s="1"/>
  <c r="AD270" i="18"/>
  <c r="AD204" i="18" s="1"/>
  <c r="AD271" i="18"/>
  <c r="AD207" i="18" s="1"/>
  <c r="AD262" i="18"/>
  <c r="AD180" i="18" s="1"/>
  <c r="AF271" i="18"/>
  <c r="AF270" i="18"/>
  <c r="AF204" i="18" s="1"/>
  <c r="AF269" i="18"/>
  <c r="AF201" i="18" s="1"/>
  <c r="AF268" i="18"/>
  <c r="AF198" i="18" s="1"/>
  <c r="AF267" i="18"/>
  <c r="AF266" i="18"/>
  <c r="AF265" i="18"/>
  <c r="AF264" i="18"/>
  <c r="AG264" i="18" s="1"/>
  <c r="AG186" i="18" s="1"/>
  <c r="AF263" i="18"/>
  <c r="AF183" i="18" s="1"/>
  <c r="AF250" i="18"/>
  <c r="AF151" i="18" s="1"/>
  <c r="AF251" i="18"/>
  <c r="AF154" i="18" s="1"/>
  <c r="AF252" i="18"/>
  <c r="AF157" i="18" s="1"/>
  <c r="AF253" i="18"/>
  <c r="AF160" i="18" s="1"/>
  <c r="AF254" i="18"/>
  <c r="AF163" i="18" s="1"/>
  <c r="AF255" i="18"/>
  <c r="AF166" i="18" s="1"/>
  <c r="AF256" i="18"/>
  <c r="AF169" i="18" s="1"/>
  <c r="AF257" i="18"/>
  <c r="AF258" i="18"/>
  <c r="AF175" i="18" s="1"/>
  <c r="AE250" i="18"/>
  <c r="AE151" i="18" s="1"/>
  <c r="AE251" i="18"/>
  <c r="AE154" i="18" s="1"/>
  <c r="AE252" i="18"/>
  <c r="AE157" i="18" s="1"/>
  <c r="AE253" i="18"/>
  <c r="AE160" i="18" s="1"/>
  <c r="AE254" i="18"/>
  <c r="AE163" i="18" s="1"/>
  <c r="AE255" i="18"/>
  <c r="AE166" i="18" s="1"/>
  <c r="AE256" i="18"/>
  <c r="AE169" i="18" s="1"/>
  <c r="AE257" i="18"/>
  <c r="AE172" i="18" s="1"/>
  <c r="AE258" i="18"/>
  <c r="AE175" i="18" s="1"/>
  <c r="AE249" i="18"/>
  <c r="AE148" i="18" s="1"/>
  <c r="AD250" i="18"/>
  <c r="AD251" i="18"/>
  <c r="AD154" i="18" s="1"/>
  <c r="AD252" i="18"/>
  <c r="AD157" i="18" s="1"/>
  <c r="AD253" i="18"/>
  <c r="AD254" i="18"/>
  <c r="AD163" i="18" s="1"/>
  <c r="AD255" i="18"/>
  <c r="AD256" i="18"/>
  <c r="AD169" i="18" s="1"/>
  <c r="AD257" i="18"/>
  <c r="AD258" i="18"/>
  <c r="AD175" i="18" s="1"/>
  <c r="AD249" i="18"/>
  <c r="AH177" i="18"/>
  <c r="AH176" i="18"/>
  <c r="AH174" i="18"/>
  <c r="AH173" i="18"/>
  <c r="AH171" i="18"/>
  <c r="AH170" i="18"/>
  <c r="AH168" i="18"/>
  <c r="AH167" i="18"/>
  <c r="AH165" i="18"/>
  <c r="AH164" i="18"/>
  <c r="AH162" i="18"/>
  <c r="AH161" i="18"/>
  <c r="AH159" i="18"/>
  <c r="AH158" i="18"/>
  <c r="AH156" i="18"/>
  <c r="AH155" i="18"/>
  <c r="AH153" i="18"/>
  <c r="AH152" i="18"/>
  <c r="AH150" i="18"/>
  <c r="AH149" i="18"/>
  <c r="AL21" i="53"/>
  <c r="AL22" i="53"/>
  <c r="AL24" i="52"/>
  <c r="AL112" i="52"/>
  <c r="AL21" i="52"/>
  <c r="AL22" i="52"/>
  <c r="AL20" i="52"/>
  <c r="AL24" i="53"/>
  <c r="AL20" i="53"/>
  <c r="AF249" i="18" l="1"/>
  <c r="AF148" i="18" s="1"/>
  <c r="AI217" i="18"/>
  <c r="AI216" i="18"/>
  <c r="AI222" i="18"/>
  <c r="AG255" i="18"/>
  <c r="AG166" i="18" s="1"/>
  <c r="AI168" i="18" s="1"/>
  <c r="AI221" i="18"/>
  <c r="AI278" i="18" s="1"/>
  <c r="CB80" i="54"/>
  <c r="CB88" i="54"/>
  <c r="CB85" i="54"/>
  <c r="AH15" i="18"/>
  <c r="AH28" i="18"/>
  <c r="AI37" i="18"/>
  <c r="AH50" i="18"/>
  <c r="AH120" i="18" s="1"/>
  <c r="R91" i="54" s="1"/>
  <c r="AI15" i="18"/>
  <c r="AH48" i="18"/>
  <c r="AI53" i="18"/>
  <c r="AI121" i="18" s="1"/>
  <c r="W92" i="54" s="1"/>
  <c r="AI38" i="18"/>
  <c r="AI116" i="18" s="1"/>
  <c r="W87" i="54" s="1"/>
  <c r="AI27" i="18"/>
  <c r="AI26" i="18"/>
  <c r="AI112" i="18" s="1"/>
  <c r="W83" i="54" s="1"/>
  <c r="AH51" i="18"/>
  <c r="AH36" i="18"/>
  <c r="AH40" i="18"/>
  <c r="AH49" i="18"/>
  <c r="AH26" i="18"/>
  <c r="AH112" i="18" s="1"/>
  <c r="R83" i="54" s="1"/>
  <c r="AH24" i="18"/>
  <c r="AH20" i="18"/>
  <c r="AH110" i="18" s="1"/>
  <c r="R81" i="54" s="1"/>
  <c r="AH37" i="18"/>
  <c r="AH14" i="18"/>
  <c r="AH108" i="18" s="1"/>
  <c r="R79" i="54" s="1"/>
  <c r="AI24" i="18"/>
  <c r="AH39" i="18"/>
  <c r="AH47" i="18"/>
  <c r="AH119" i="18" s="1"/>
  <c r="R90" i="54" s="1"/>
  <c r="AI47" i="18"/>
  <c r="AI119" i="18" s="1"/>
  <c r="W90" i="54" s="1"/>
  <c r="AH44" i="18"/>
  <c r="AH118" i="18" s="1"/>
  <c r="R89" i="54" s="1"/>
  <c r="AH16" i="18"/>
  <c r="AH27" i="18"/>
  <c r="AI48" i="18"/>
  <c r="AI14" i="18"/>
  <c r="AI108" i="18" s="1"/>
  <c r="W79" i="54" s="1"/>
  <c r="AH43" i="18"/>
  <c r="AI41" i="18"/>
  <c r="AI117" i="18" s="1"/>
  <c r="W88" i="54" s="1"/>
  <c r="AI43" i="18"/>
  <c r="AI42" i="18"/>
  <c r="AH35" i="18"/>
  <c r="AH115" i="18" s="1"/>
  <c r="R86" i="54" s="1"/>
  <c r="AI35" i="18"/>
  <c r="AI115" i="18" s="1"/>
  <c r="W86" i="54" s="1"/>
  <c r="AH21" i="18"/>
  <c r="AH22" i="18"/>
  <c r="AI21" i="18"/>
  <c r="AI20" i="18"/>
  <c r="AI110" i="18" s="1"/>
  <c r="W81" i="54" s="1"/>
  <c r="AH31" i="18"/>
  <c r="AI31" i="18"/>
  <c r="AI30" i="18"/>
  <c r="AI29" i="18"/>
  <c r="AI113" i="18" s="1"/>
  <c r="W84" i="54" s="1"/>
  <c r="AH19" i="18"/>
  <c r="AI18" i="18"/>
  <c r="AI19" i="18"/>
  <c r="AI17" i="18"/>
  <c r="AI109" i="18" s="1"/>
  <c r="W80" i="54" s="1"/>
  <c r="AH33" i="18"/>
  <c r="AH34" i="18"/>
  <c r="AI33" i="18"/>
  <c r="AI32" i="18"/>
  <c r="AI114" i="18" s="1"/>
  <c r="W85" i="54" s="1"/>
  <c r="AI34" i="18"/>
  <c r="AI51" i="18"/>
  <c r="AH55" i="18"/>
  <c r="AI54" i="18"/>
  <c r="AI55" i="18"/>
  <c r="AH52" i="18"/>
  <c r="AH18" i="18"/>
  <c r="AH29" i="18"/>
  <c r="AH113" i="18" s="1"/>
  <c r="R84" i="54" s="1"/>
  <c r="AI50" i="18"/>
  <c r="AI120" i="18" s="1"/>
  <c r="W91" i="54" s="1"/>
  <c r="AH23" i="18"/>
  <c r="AH111" i="18" s="1"/>
  <c r="R82" i="54" s="1"/>
  <c r="AI23" i="18"/>
  <c r="AI111" i="18" s="1"/>
  <c r="W82" i="54" s="1"/>
  <c r="AH42" i="18"/>
  <c r="AI39" i="18"/>
  <c r="AH53" i="18"/>
  <c r="AH121" i="18" s="1"/>
  <c r="R92" i="54" s="1"/>
  <c r="AH25" i="18"/>
  <c r="AH38" i="18"/>
  <c r="AH116" i="18" s="1"/>
  <c r="R87" i="54" s="1"/>
  <c r="AH45" i="18"/>
  <c r="AI44" i="18"/>
  <c r="AI118" i="18" s="1"/>
  <c r="W89" i="54" s="1"/>
  <c r="AH46" i="18"/>
  <c r="AI45" i="18"/>
  <c r="AI13" i="18"/>
  <c r="AI12" i="18"/>
  <c r="AI11" i="18"/>
  <c r="AI107" i="18" s="1"/>
  <c r="W78" i="54" s="1"/>
  <c r="AI225" i="18"/>
  <c r="AI224" i="18"/>
  <c r="AI279" i="18" s="1"/>
  <c r="AH224" i="18"/>
  <c r="AH279" i="18" s="1"/>
  <c r="AH215" i="18"/>
  <c r="AH276" i="18" s="1"/>
  <c r="AI235" i="18"/>
  <c r="AI234" i="18"/>
  <c r="AI233" i="18"/>
  <c r="AI282" i="18" s="1"/>
  <c r="AI223" i="18"/>
  <c r="AI241" i="18"/>
  <c r="AG275" i="18"/>
  <c r="AI236" i="18"/>
  <c r="AI283" i="18" s="1"/>
  <c r="AI239" i="18"/>
  <c r="AI284" i="18" s="1"/>
  <c r="AI237" i="18"/>
  <c r="AH239" i="18"/>
  <c r="AH284" i="18" s="1"/>
  <c r="AG271" i="18"/>
  <c r="AG207" i="18" s="1"/>
  <c r="AI208" i="18" s="1"/>
  <c r="AI220" i="18"/>
  <c r="AI219" i="18"/>
  <c r="AH218" i="18"/>
  <c r="AH277" i="18" s="1"/>
  <c r="AG267" i="18"/>
  <c r="AG195" i="18" s="1"/>
  <c r="AH195" i="18" s="1"/>
  <c r="AH267" i="18" s="1"/>
  <c r="AG265" i="18"/>
  <c r="AG189" i="18" s="1"/>
  <c r="AI189" i="18" s="1"/>
  <c r="AI265" i="18" s="1"/>
  <c r="AH236" i="18"/>
  <c r="AH283" i="18" s="1"/>
  <c r="AG266" i="18"/>
  <c r="AG192" i="18" s="1"/>
  <c r="AI193" i="18" s="1"/>
  <c r="AF262" i="18"/>
  <c r="AF180" i="18" s="1"/>
  <c r="AI230" i="18"/>
  <c r="AI281" i="18" s="1"/>
  <c r="AH230" i="18"/>
  <c r="AH281" i="18" s="1"/>
  <c r="AI231" i="18"/>
  <c r="AI232" i="18"/>
  <c r="AI227" i="18"/>
  <c r="AI280" i="18" s="1"/>
  <c r="AI229" i="18"/>
  <c r="AI228" i="18"/>
  <c r="AH227" i="18"/>
  <c r="AH280" i="18" s="1"/>
  <c r="AG263" i="18"/>
  <c r="AG183" i="18" s="1"/>
  <c r="AI185" i="18" s="1"/>
  <c r="AF189" i="18"/>
  <c r="AI186" i="18"/>
  <c r="AI264" i="18" s="1"/>
  <c r="AI188" i="18"/>
  <c r="AI187" i="18"/>
  <c r="AH186" i="18"/>
  <c r="AH264" i="18" s="1"/>
  <c r="AF192" i="18"/>
  <c r="AF195" i="18"/>
  <c r="AF207" i="18"/>
  <c r="AG270" i="18"/>
  <c r="AG204" i="18" s="1"/>
  <c r="AG269" i="18"/>
  <c r="AG201" i="18" s="1"/>
  <c r="AF186" i="18"/>
  <c r="AG268" i="18"/>
  <c r="AG198" i="18" s="1"/>
  <c r="AG250" i="18"/>
  <c r="AG151" i="18" s="1"/>
  <c r="AI153" i="18" s="1"/>
  <c r="AG257" i="18"/>
  <c r="AG172" i="18" s="1"/>
  <c r="AH172" i="18" s="1"/>
  <c r="AH257" i="18" s="1"/>
  <c r="AF172" i="18"/>
  <c r="AG256" i="18"/>
  <c r="AG169" i="18" s="1"/>
  <c r="AI169" i="18" s="1"/>
  <c r="AI256" i="18" s="1"/>
  <c r="AG253" i="18"/>
  <c r="AG160" i="18" s="1"/>
  <c r="AI162" i="18" s="1"/>
  <c r="AG252" i="18"/>
  <c r="AG157" i="18" s="1"/>
  <c r="AI157" i="18" s="1"/>
  <c r="AI252" i="18" s="1"/>
  <c r="AD166" i="18"/>
  <c r="AH166" i="18"/>
  <c r="AH255" i="18" s="1"/>
  <c r="AI167" i="18"/>
  <c r="AD148" i="18"/>
  <c r="AD151" i="18"/>
  <c r="AG251" i="18"/>
  <c r="AG154" i="18" s="1"/>
  <c r="AG254" i="18"/>
  <c r="AG163" i="18" s="1"/>
  <c r="AI165" i="18" s="1"/>
  <c r="AG258" i="18"/>
  <c r="AG175" i="18" s="1"/>
  <c r="AI177" i="18" s="1"/>
  <c r="AD172" i="18"/>
  <c r="AD160" i="18"/>
  <c r="AG212" i="18" l="1"/>
  <c r="AI213" i="18" s="1"/>
  <c r="AG249" i="18"/>
  <c r="AG148" i="18" s="1"/>
  <c r="AI150" i="18" s="1"/>
  <c r="AI166" i="18"/>
  <c r="AI255" i="18" s="1"/>
  <c r="AR33" i="54" s="1"/>
  <c r="BA30" i="54"/>
  <c r="AI159" i="18"/>
  <c r="AP34" i="54"/>
  <c r="AI197" i="18"/>
  <c r="AH189" i="18"/>
  <c r="AH265" i="18" s="1"/>
  <c r="AI191" i="18"/>
  <c r="AY90" i="54"/>
  <c r="AP82" i="54"/>
  <c r="BA82" i="54"/>
  <c r="AR82" i="54"/>
  <c r="AY82" i="54"/>
  <c r="BA89" i="54"/>
  <c r="AY89" i="54"/>
  <c r="AR89" i="54"/>
  <c r="AP89" i="54"/>
  <c r="AR91" i="54"/>
  <c r="BA91" i="54"/>
  <c r="AY91" i="54"/>
  <c r="AP91" i="54"/>
  <c r="AY84" i="54"/>
  <c r="AP84" i="54"/>
  <c r="BA84" i="54"/>
  <c r="AR84" i="54"/>
  <c r="BA83" i="54"/>
  <c r="AY83" i="54"/>
  <c r="AR83" i="54"/>
  <c r="AP83" i="54"/>
  <c r="BA88" i="54"/>
  <c r="AY88" i="54"/>
  <c r="AR88" i="54"/>
  <c r="AP88" i="54"/>
  <c r="BA85" i="54"/>
  <c r="AY85" i="54"/>
  <c r="AP85" i="54"/>
  <c r="AR85" i="54"/>
  <c r="AY86" i="54"/>
  <c r="BA86" i="54"/>
  <c r="AR86" i="54"/>
  <c r="AP86" i="54"/>
  <c r="BA87" i="54"/>
  <c r="AY87" i="54"/>
  <c r="AR87" i="54"/>
  <c r="AP87" i="54"/>
  <c r="AP90" i="54"/>
  <c r="BA90" i="54"/>
  <c r="AR90" i="54"/>
  <c r="BA92" i="54"/>
  <c r="AY92" i="54"/>
  <c r="AR92" i="54"/>
  <c r="AP92" i="54"/>
  <c r="AY80" i="54"/>
  <c r="AR80" i="54"/>
  <c r="AP80" i="54"/>
  <c r="BA80" i="54"/>
  <c r="BA81" i="54"/>
  <c r="AY81" i="54"/>
  <c r="AR81" i="54"/>
  <c r="AP81" i="54"/>
  <c r="BA78" i="54"/>
  <c r="AR78" i="54"/>
  <c r="AY78" i="54"/>
  <c r="AP78" i="54"/>
  <c r="CB81" i="54"/>
  <c r="CG80" i="54"/>
  <c r="CG82" i="54"/>
  <c r="CG81" i="54"/>
  <c r="CB82" i="54"/>
  <c r="CG79" i="54"/>
  <c r="CB79" i="54"/>
  <c r="CG78" i="54"/>
  <c r="CG89" i="54"/>
  <c r="CB91" i="54"/>
  <c r="CG91" i="54"/>
  <c r="CB84" i="54"/>
  <c r="CB92" i="54"/>
  <c r="CB89" i="54"/>
  <c r="CG87" i="54"/>
  <c r="CB87" i="54"/>
  <c r="CG86" i="54"/>
  <c r="CG90" i="54"/>
  <c r="CB83" i="54"/>
  <c r="CG92" i="54"/>
  <c r="CG85" i="54"/>
  <c r="CB86" i="54"/>
  <c r="CG88" i="54"/>
  <c r="CB90" i="54"/>
  <c r="CG84" i="54"/>
  <c r="CG83" i="54"/>
  <c r="AI196" i="18"/>
  <c r="AI195" i="18"/>
  <c r="AI267" i="18" s="1"/>
  <c r="AI160" i="18"/>
  <c r="AI253" i="18" s="1"/>
  <c r="CG31" i="54" s="1"/>
  <c r="AG262" i="18"/>
  <c r="AG180" i="18" s="1"/>
  <c r="AH207" i="18"/>
  <c r="AH271" i="18" s="1"/>
  <c r="AI207" i="18"/>
  <c r="AI271" i="18" s="1"/>
  <c r="AI190" i="18"/>
  <c r="AI209" i="18"/>
  <c r="AI161" i="18"/>
  <c r="AH192" i="18"/>
  <c r="AH266" i="18" s="1"/>
  <c r="AI152" i="18"/>
  <c r="AI192" i="18"/>
  <c r="AI266" i="18" s="1"/>
  <c r="AH151" i="18"/>
  <c r="AH250" i="18" s="1"/>
  <c r="AI194" i="18"/>
  <c r="AI183" i="18"/>
  <c r="AI263" i="18" s="1"/>
  <c r="AI184" i="18"/>
  <c r="BA34" i="54"/>
  <c r="AY33" i="54"/>
  <c r="BA33" i="54"/>
  <c r="AH183" i="18"/>
  <c r="AH263" i="18" s="1"/>
  <c r="AI203" i="18"/>
  <c r="AI202" i="18"/>
  <c r="AI201" i="18"/>
  <c r="AI269" i="18" s="1"/>
  <c r="AH201" i="18"/>
  <c r="AH269" i="18" s="1"/>
  <c r="AI206" i="18"/>
  <c r="AI204" i="18"/>
  <c r="AI270" i="18" s="1"/>
  <c r="AH204" i="18"/>
  <c r="AH270" i="18" s="1"/>
  <c r="AI205" i="18"/>
  <c r="AI198" i="18"/>
  <c r="AI268" i="18" s="1"/>
  <c r="AI200" i="18"/>
  <c r="AI199" i="18"/>
  <c r="AH198" i="18"/>
  <c r="AH268" i="18" s="1"/>
  <c r="AI151" i="18"/>
  <c r="AI250" i="18" s="1"/>
  <c r="AI172" i="18"/>
  <c r="AI257" i="18" s="1"/>
  <c r="AI174" i="18"/>
  <c r="AI173" i="18"/>
  <c r="AI158" i="18"/>
  <c r="CG34" i="54"/>
  <c r="CG30" i="54"/>
  <c r="AI171" i="18"/>
  <c r="AH169" i="18"/>
  <c r="AH256" i="18" s="1"/>
  <c r="AI170" i="18"/>
  <c r="AH157" i="18"/>
  <c r="AH252" i="18" s="1"/>
  <c r="AI163" i="18"/>
  <c r="AI254" i="18" s="1"/>
  <c r="AH160" i="18"/>
  <c r="AH253" i="18" s="1"/>
  <c r="AH163" i="18"/>
  <c r="AH254" i="18" s="1"/>
  <c r="AI164" i="18"/>
  <c r="AI176" i="18"/>
  <c r="AH154" i="18"/>
  <c r="AH251" i="18" s="1"/>
  <c r="AI156" i="18"/>
  <c r="AI155" i="18"/>
  <c r="AI154" i="18"/>
  <c r="AI251" i="18" s="1"/>
  <c r="AI175" i="18"/>
  <c r="AI258" i="18" s="1"/>
  <c r="AH175" i="18"/>
  <c r="AH258" i="18" s="1"/>
  <c r="AI212" i="18" l="1"/>
  <c r="AI275" i="18" s="1"/>
  <c r="AH212" i="18"/>
  <c r="AH275" i="18" s="1"/>
  <c r="AI214" i="18"/>
  <c r="CG33" i="54"/>
  <c r="AP33" i="54"/>
  <c r="AP30" i="54"/>
  <c r="AR34" i="54"/>
  <c r="AY30" i="54"/>
  <c r="AY34" i="54"/>
  <c r="AR30" i="54"/>
  <c r="BA31" i="54"/>
  <c r="AP79" i="54"/>
  <c r="AY79" i="54"/>
  <c r="BA79" i="54"/>
  <c r="AR79" i="54"/>
  <c r="AI149" i="18"/>
  <c r="AI148" i="18"/>
  <c r="AI249" i="18" s="1"/>
  <c r="W27" i="54" s="1"/>
  <c r="AI182" i="18"/>
  <c r="AI180" i="18"/>
  <c r="AI262" i="18" s="1"/>
  <c r="AH180" i="18"/>
  <c r="AH262" i="18" s="1"/>
  <c r="AI181" i="18"/>
  <c r="AP32" i="54"/>
  <c r="AR32" i="54"/>
  <c r="AY32" i="54"/>
  <c r="BA32" i="54"/>
  <c r="CG35" i="54"/>
  <c r="AY36" i="54"/>
  <c r="BA36" i="54"/>
  <c r="AR36" i="54"/>
  <c r="AP36" i="54"/>
  <c r="AP28" i="54"/>
  <c r="AR28" i="54"/>
  <c r="AY28" i="54"/>
  <c r="BA28" i="54"/>
  <c r="BA29" i="54"/>
  <c r="AP29" i="54"/>
  <c r="AR29" i="54"/>
  <c r="AY29" i="54"/>
  <c r="AH148" i="18"/>
  <c r="AH249" i="18" s="1"/>
  <c r="CG28" i="54"/>
  <c r="CG36" i="54"/>
  <c r="CG29" i="54"/>
  <c r="CG32" i="54"/>
  <c r="AR59" i="54" l="1"/>
  <c r="BA59" i="54"/>
  <c r="BC27" i="54"/>
  <c r="BD27" i="54" s="1"/>
  <c r="AT27" i="54"/>
  <c r="AU27" i="54" s="1"/>
  <c r="AR31" i="54"/>
  <c r="AY31" i="54"/>
  <c r="AP31" i="54"/>
  <c r="AP27" i="54"/>
  <c r="AQ27" i="54" s="1"/>
  <c r="AY27" i="54"/>
  <c r="BE27" i="54" s="1"/>
  <c r="AR27" i="54"/>
  <c r="BA27" i="54"/>
  <c r="CG27" i="54"/>
  <c r="AY35" i="54"/>
  <c r="BA35" i="54"/>
  <c r="AR35" i="54"/>
  <c r="AP35" i="54"/>
  <c r="AS59" i="54" l="1"/>
  <c r="AS329" i="54" s="1"/>
  <c r="AR329" i="54"/>
  <c r="BB59" i="54"/>
  <c r="BB329" i="54" s="1"/>
  <c r="BA329" i="54"/>
  <c r="A403" i="54"/>
  <c r="B402" i="54"/>
  <c r="BI400" i="54"/>
  <c r="AI400" i="54"/>
  <c r="AD400" i="54"/>
  <c r="F400" i="54"/>
  <c r="D400" i="54"/>
  <c r="B400" i="54"/>
  <c r="BI399" i="54"/>
  <c r="AI399" i="54"/>
  <c r="AD399" i="54"/>
  <c r="F399" i="54"/>
  <c r="D399" i="54"/>
  <c r="B399" i="54"/>
  <c r="BI398" i="54"/>
  <c r="AI398" i="54"/>
  <c r="AD398" i="54"/>
  <c r="F398" i="54"/>
  <c r="D398" i="54"/>
  <c r="B398" i="54"/>
  <c r="BI397" i="54"/>
  <c r="AI397" i="54"/>
  <c r="AD397" i="54"/>
  <c r="F397" i="54"/>
  <c r="D397" i="54"/>
  <c r="B397" i="54"/>
  <c r="BI396" i="54"/>
  <c r="AI396" i="54"/>
  <c r="AD396" i="54"/>
  <c r="F396" i="54"/>
  <c r="D396" i="54"/>
  <c r="B396" i="54"/>
  <c r="BH392" i="54"/>
  <c r="A391" i="54"/>
  <c r="BF389" i="54"/>
  <c r="AK387" i="54"/>
  <c r="AI387" i="54"/>
  <c r="AD387" i="54"/>
  <c r="F387" i="54"/>
  <c r="D387" i="54"/>
  <c r="B387" i="54"/>
  <c r="AK386" i="54"/>
  <c r="AI386" i="54"/>
  <c r="AD386" i="54"/>
  <c r="F386" i="54"/>
  <c r="D386" i="54"/>
  <c r="B386" i="54"/>
  <c r="AK385" i="54"/>
  <c r="AI385" i="54"/>
  <c r="AD385" i="54"/>
  <c r="F385" i="54"/>
  <c r="D385" i="54"/>
  <c r="B385" i="54"/>
  <c r="AK384" i="54"/>
  <c r="AI384" i="54"/>
  <c r="AD384" i="54"/>
  <c r="F384" i="54"/>
  <c r="D384" i="54"/>
  <c r="B384" i="54"/>
  <c r="AK383" i="54"/>
  <c r="AI383" i="54"/>
  <c r="AD383" i="54"/>
  <c r="F383" i="54"/>
  <c r="D383" i="54"/>
  <c r="B383" i="54"/>
  <c r="AY382" i="54"/>
  <c r="AP382" i="54"/>
  <c r="BG381" i="54"/>
  <c r="BF381" i="54"/>
  <c r="BE381" i="54"/>
  <c r="BB381" i="54"/>
  <c r="BA381" i="54"/>
  <c r="AZ381" i="54"/>
  <c r="AY381" i="54"/>
  <c r="AX381" i="54"/>
  <c r="AW381" i="54"/>
  <c r="AV381" i="54"/>
  <c r="AS381" i="54"/>
  <c r="AR381" i="54"/>
  <c r="AQ381" i="54"/>
  <c r="AP381" i="54"/>
  <c r="BH380" i="54"/>
  <c r="A379" i="54"/>
  <c r="AK376" i="54"/>
  <c r="AI376" i="54"/>
  <c r="AD376" i="54"/>
  <c r="F376" i="54"/>
  <c r="D376" i="54"/>
  <c r="B376" i="54"/>
  <c r="AK375" i="54"/>
  <c r="AI375" i="54"/>
  <c r="AD375" i="54"/>
  <c r="F375" i="54"/>
  <c r="D375" i="54"/>
  <c r="B375" i="54"/>
  <c r="AK374" i="54"/>
  <c r="AI374" i="54"/>
  <c r="AD374" i="54"/>
  <c r="F374" i="54"/>
  <c r="D374" i="54"/>
  <c r="B374" i="54"/>
  <c r="AK373" i="54"/>
  <c r="AI373" i="54"/>
  <c r="AD373" i="54"/>
  <c r="F373" i="54"/>
  <c r="D373" i="54"/>
  <c r="B373" i="54"/>
  <c r="AK372" i="54"/>
  <c r="AI372" i="54"/>
  <c r="AD372" i="54"/>
  <c r="F372" i="54"/>
  <c r="D372" i="54"/>
  <c r="B372" i="54"/>
  <c r="AK371" i="54"/>
  <c r="AI371" i="54"/>
  <c r="AD371" i="54"/>
  <c r="F371" i="54"/>
  <c r="D371" i="54"/>
  <c r="B371" i="54"/>
  <c r="AK370" i="54"/>
  <c r="AI370" i="54"/>
  <c r="AD370" i="54"/>
  <c r="F370" i="54"/>
  <c r="D370" i="54"/>
  <c r="B370" i="54"/>
  <c r="AK369" i="54"/>
  <c r="AI369" i="54"/>
  <c r="AD369" i="54"/>
  <c r="F369" i="54"/>
  <c r="D369" i="54"/>
  <c r="B369" i="54"/>
  <c r="AK368" i="54"/>
  <c r="AI368" i="54"/>
  <c r="AD368" i="54"/>
  <c r="F368" i="54"/>
  <c r="D368" i="54"/>
  <c r="B368" i="54"/>
  <c r="AK367" i="54"/>
  <c r="AI367" i="54"/>
  <c r="AD367" i="54"/>
  <c r="F367" i="54"/>
  <c r="D367" i="54"/>
  <c r="B367" i="54"/>
  <c r="AP366" i="54"/>
  <c r="AX365" i="54"/>
  <c r="AW365" i="54"/>
  <c r="AV365" i="54"/>
  <c r="AS365" i="54"/>
  <c r="AR365" i="54"/>
  <c r="AQ365" i="54"/>
  <c r="AP365" i="54"/>
  <c r="A365" i="54"/>
  <c r="BH364" i="54"/>
  <c r="AK362" i="54"/>
  <c r="AI362" i="54"/>
  <c r="AD362" i="54"/>
  <c r="F362" i="54"/>
  <c r="D362" i="54"/>
  <c r="B362" i="54"/>
  <c r="AK361" i="54"/>
  <c r="AI361" i="54"/>
  <c r="AD361" i="54"/>
  <c r="F361" i="54"/>
  <c r="D361" i="54"/>
  <c r="B361" i="54"/>
  <c r="AK360" i="54"/>
  <c r="AI360" i="54"/>
  <c r="AD360" i="54"/>
  <c r="F360" i="54"/>
  <c r="D360" i="54"/>
  <c r="B360" i="54"/>
  <c r="AK359" i="54"/>
  <c r="AI359" i="54"/>
  <c r="AD359" i="54"/>
  <c r="F359" i="54"/>
  <c r="D359" i="54"/>
  <c r="B359" i="54"/>
  <c r="AK358" i="54"/>
  <c r="AI358" i="54"/>
  <c r="AD358" i="54"/>
  <c r="F358" i="54"/>
  <c r="D358" i="54"/>
  <c r="B358" i="54"/>
  <c r="AK357" i="54"/>
  <c r="AI357" i="54"/>
  <c r="AD357" i="54"/>
  <c r="F357" i="54"/>
  <c r="D357" i="54"/>
  <c r="B357" i="54"/>
  <c r="AK356" i="54"/>
  <c r="AI356" i="54"/>
  <c r="AD356" i="54"/>
  <c r="F356" i="54"/>
  <c r="D356" i="54"/>
  <c r="B356" i="54"/>
  <c r="AK355" i="54"/>
  <c r="AI355" i="54"/>
  <c r="AD355" i="54"/>
  <c r="F355" i="54"/>
  <c r="D355" i="54"/>
  <c r="B355" i="54"/>
  <c r="AK354" i="54"/>
  <c r="AI354" i="54"/>
  <c r="AD354" i="54"/>
  <c r="F354" i="54"/>
  <c r="D354" i="54"/>
  <c r="B354" i="54"/>
  <c r="AK353" i="54"/>
  <c r="AI353" i="54"/>
  <c r="AD353" i="54"/>
  <c r="F353" i="54"/>
  <c r="D353" i="54"/>
  <c r="B353" i="54"/>
  <c r="AK352" i="54"/>
  <c r="AI352" i="54"/>
  <c r="AD352" i="54"/>
  <c r="F352" i="54"/>
  <c r="D352" i="54"/>
  <c r="B352" i="54"/>
  <c r="AK351" i="54"/>
  <c r="AI351" i="54"/>
  <c r="AD351" i="54"/>
  <c r="F351" i="54"/>
  <c r="D351" i="54"/>
  <c r="B351" i="54"/>
  <c r="AK350" i="54"/>
  <c r="AI350" i="54"/>
  <c r="AD350" i="54"/>
  <c r="F350" i="54"/>
  <c r="D350" i="54"/>
  <c r="B350" i="54"/>
  <c r="AK349" i="54"/>
  <c r="AI349" i="54"/>
  <c r="AD349" i="54"/>
  <c r="F349" i="54"/>
  <c r="D349" i="54"/>
  <c r="B349" i="54"/>
  <c r="AK348" i="54"/>
  <c r="AI348" i="54"/>
  <c r="AD348" i="54"/>
  <c r="F348" i="54"/>
  <c r="D348" i="54"/>
  <c r="B348" i="54"/>
  <c r="AY347" i="54"/>
  <c r="AP347" i="54"/>
  <c r="BG346" i="54"/>
  <c r="BF346" i="54"/>
  <c r="BE346" i="54"/>
  <c r="BB346" i="54"/>
  <c r="BA346" i="54"/>
  <c r="AZ346" i="54"/>
  <c r="AY346" i="54"/>
  <c r="AX346" i="54"/>
  <c r="AW346" i="54"/>
  <c r="AV346" i="54"/>
  <c r="AS346" i="54"/>
  <c r="AR346" i="54"/>
  <c r="AQ346" i="54"/>
  <c r="AP346" i="54"/>
  <c r="BH345" i="54"/>
  <c r="A344" i="54"/>
  <c r="A343" i="54"/>
  <c r="AL338" i="54"/>
  <c r="AI338" i="54"/>
  <c r="AD338" i="54"/>
  <c r="F338" i="54"/>
  <c r="D338" i="54"/>
  <c r="B338" i="54"/>
  <c r="AL337" i="54"/>
  <c r="AI337" i="54"/>
  <c r="AD337" i="54"/>
  <c r="F337" i="54"/>
  <c r="D337" i="54"/>
  <c r="B337" i="54"/>
  <c r="AL336" i="54"/>
  <c r="AI336" i="54"/>
  <c r="AD336" i="54"/>
  <c r="F336" i="54"/>
  <c r="D336" i="54"/>
  <c r="B336" i="54"/>
  <c r="AL335" i="54"/>
  <c r="AI335" i="54"/>
  <c r="AD335" i="54"/>
  <c r="F335" i="54"/>
  <c r="D335" i="54"/>
  <c r="B335" i="54"/>
  <c r="AL334" i="54"/>
  <c r="AI334" i="54"/>
  <c r="AD334" i="54"/>
  <c r="F334" i="54"/>
  <c r="D334" i="54"/>
  <c r="B334" i="54"/>
  <c r="AL333" i="54"/>
  <c r="AI333" i="54"/>
  <c r="AD333" i="54"/>
  <c r="F333" i="54"/>
  <c r="D333" i="54"/>
  <c r="B333" i="54"/>
  <c r="AL332" i="54"/>
  <c r="AI332" i="54"/>
  <c r="AD332" i="54"/>
  <c r="F332" i="54"/>
  <c r="D332" i="54"/>
  <c r="B332" i="54"/>
  <c r="AL331" i="54"/>
  <c r="AI331" i="54"/>
  <c r="AD331" i="54"/>
  <c r="F331" i="54"/>
  <c r="D331" i="54"/>
  <c r="B331" i="54"/>
  <c r="AL330" i="54"/>
  <c r="AI330" i="54"/>
  <c r="AD330" i="54"/>
  <c r="F330" i="54"/>
  <c r="D330" i="54"/>
  <c r="B330" i="54"/>
  <c r="AI329" i="54"/>
  <c r="AD329" i="54"/>
  <c r="F329" i="54"/>
  <c r="D329" i="54"/>
  <c r="B329" i="54"/>
  <c r="AY328" i="54"/>
  <c r="AP328" i="54"/>
  <c r="AI328" i="54"/>
  <c r="AD328" i="54"/>
  <c r="F328" i="54"/>
  <c r="D328" i="54"/>
  <c r="B328" i="54"/>
  <c r="BG327" i="54"/>
  <c r="BF327" i="54"/>
  <c r="BE327" i="54"/>
  <c r="BB327" i="54"/>
  <c r="BA327" i="54"/>
  <c r="AZ327" i="54"/>
  <c r="AY327" i="54"/>
  <c r="AX327" i="54"/>
  <c r="AW327" i="54"/>
  <c r="AV327" i="54"/>
  <c r="AS327" i="54"/>
  <c r="AR327" i="54"/>
  <c r="AQ327" i="54"/>
  <c r="AP327" i="54"/>
  <c r="AI327" i="54"/>
  <c r="BH326" i="54"/>
  <c r="A325" i="54"/>
  <c r="BB322" i="54"/>
  <c r="BA322" i="54"/>
  <c r="AS322" i="54"/>
  <c r="AR322" i="54"/>
  <c r="AI322" i="54"/>
  <c r="AD322" i="54"/>
  <c r="F322" i="54"/>
  <c r="D322" i="54"/>
  <c r="B322" i="54"/>
  <c r="BB321" i="54"/>
  <c r="BA321" i="54"/>
  <c r="AS321" i="54"/>
  <c r="AR321" i="54"/>
  <c r="AI321" i="54"/>
  <c r="AD321" i="54"/>
  <c r="F321" i="54"/>
  <c r="D321" i="54"/>
  <c r="B321" i="54"/>
  <c r="BB320" i="54"/>
  <c r="BA320" i="54"/>
  <c r="AS320" i="54"/>
  <c r="AR320" i="54"/>
  <c r="AI320" i="54"/>
  <c r="AD320" i="54"/>
  <c r="F320" i="54"/>
  <c r="D320" i="54"/>
  <c r="B320" i="54"/>
  <c r="BB319" i="54"/>
  <c r="BA319" i="54"/>
  <c r="AS319" i="54"/>
  <c r="AR319" i="54"/>
  <c r="AI319" i="54"/>
  <c r="AD319" i="54"/>
  <c r="F319" i="54"/>
  <c r="D319" i="54"/>
  <c r="B319" i="54"/>
  <c r="BB318" i="54"/>
  <c r="BA318" i="54"/>
  <c r="AS318" i="54"/>
  <c r="AR318" i="54"/>
  <c r="AI318" i="54"/>
  <c r="AD318" i="54"/>
  <c r="F318" i="54"/>
  <c r="D318" i="54"/>
  <c r="B318" i="54"/>
  <c r="BB317" i="54"/>
  <c r="BA317" i="54"/>
  <c r="AS317" i="54"/>
  <c r="AR317" i="54"/>
  <c r="AI317" i="54"/>
  <c r="AD317" i="54"/>
  <c r="F317" i="54"/>
  <c r="D317" i="54"/>
  <c r="B317" i="54"/>
  <c r="BB316" i="54"/>
  <c r="BA316" i="54"/>
  <c r="AS316" i="54"/>
  <c r="AR316" i="54"/>
  <c r="AI316" i="54"/>
  <c r="AD316" i="54"/>
  <c r="F316" i="54"/>
  <c r="D316" i="54"/>
  <c r="B316" i="54"/>
  <c r="BB315" i="54"/>
  <c r="BA315" i="54"/>
  <c r="AS315" i="54"/>
  <c r="AR315" i="54"/>
  <c r="AI315" i="54"/>
  <c r="AD315" i="54"/>
  <c r="F315" i="54"/>
  <c r="D315" i="54"/>
  <c r="B315" i="54"/>
  <c r="BB314" i="54"/>
  <c r="BA314" i="54"/>
  <c r="AS314" i="54"/>
  <c r="AR314" i="54"/>
  <c r="AI314" i="54"/>
  <c r="AD314" i="54"/>
  <c r="F314" i="54"/>
  <c r="D314" i="54"/>
  <c r="B314" i="54"/>
  <c r="BB313" i="54"/>
  <c r="BA313" i="54"/>
  <c r="AS313" i="54"/>
  <c r="AR313" i="54"/>
  <c r="AI313" i="54"/>
  <c r="AD313" i="54"/>
  <c r="F313" i="54"/>
  <c r="D313" i="54"/>
  <c r="B313" i="54"/>
  <c r="AY312" i="54"/>
  <c r="AP312" i="54"/>
  <c r="AI312" i="54"/>
  <c r="AD312" i="54"/>
  <c r="F312" i="54"/>
  <c r="D312" i="54"/>
  <c r="B312" i="54"/>
  <c r="BG311" i="54"/>
  <c r="BF311" i="54"/>
  <c r="BE311" i="54"/>
  <c r="BB311" i="54"/>
  <c r="BA311" i="54"/>
  <c r="AZ311" i="54"/>
  <c r="AY311" i="54"/>
  <c r="AX311" i="54"/>
  <c r="AW311" i="54"/>
  <c r="AV311" i="54"/>
  <c r="AS311" i="54"/>
  <c r="AR311" i="54"/>
  <c r="AQ311" i="54"/>
  <c r="AP311" i="54"/>
  <c r="AI311" i="54"/>
  <c r="BH310" i="54"/>
  <c r="A309" i="54"/>
  <c r="AK306" i="54"/>
  <c r="AI306" i="54"/>
  <c r="AD306" i="54"/>
  <c r="F306" i="54"/>
  <c r="D306" i="54"/>
  <c r="B306" i="54"/>
  <c r="AK305" i="54"/>
  <c r="AI305" i="54"/>
  <c r="AD305" i="54"/>
  <c r="F305" i="54"/>
  <c r="D305" i="54"/>
  <c r="B305" i="54"/>
  <c r="AK304" i="54"/>
  <c r="AI304" i="54"/>
  <c r="AD304" i="54"/>
  <c r="F304" i="54"/>
  <c r="D304" i="54"/>
  <c r="B304" i="54"/>
  <c r="AK303" i="54"/>
  <c r="AI303" i="54"/>
  <c r="AD303" i="54"/>
  <c r="F303" i="54"/>
  <c r="D303" i="54"/>
  <c r="B303" i="54"/>
  <c r="AK302" i="54"/>
  <c r="AI302" i="54"/>
  <c r="AD302" i="54"/>
  <c r="F302" i="54"/>
  <c r="D302" i="54"/>
  <c r="B302" i="54"/>
  <c r="AK301" i="54"/>
  <c r="AI301" i="54"/>
  <c r="AD301" i="54"/>
  <c r="F301" i="54"/>
  <c r="D301" i="54"/>
  <c r="B301" i="54"/>
  <c r="AK300" i="54"/>
  <c r="AI300" i="54"/>
  <c r="AD300" i="54"/>
  <c r="F300" i="54"/>
  <c r="D300" i="54"/>
  <c r="B300" i="54"/>
  <c r="AK299" i="54"/>
  <c r="AI299" i="54"/>
  <c r="AD299" i="54"/>
  <c r="F299" i="54"/>
  <c r="D299" i="54"/>
  <c r="B299" i="54"/>
  <c r="AK298" i="54"/>
  <c r="AI298" i="54"/>
  <c r="AD298" i="54"/>
  <c r="F298" i="54"/>
  <c r="D298" i="54"/>
  <c r="B298" i="54"/>
  <c r="AK297" i="54"/>
  <c r="AI297" i="54"/>
  <c r="AD297" i="54"/>
  <c r="F297" i="54"/>
  <c r="D297" i="54"/>
  <c r="B297" i="54"/>
  <c r="AY296" i="54"/>
  <c r="AP296" i="54"/>
  <c r="AK296" i="54"/>
  <c r="AI296" i="54"/>
  <c r="AD296" i="54"/>
  <c r="F296" i="54"/>
  <c r="D296" i="54"/>
  <c r="B296" i="54"/>
  <c r="BG295" i="54"/>
  <c r="BF295" i="54"/>
  <c r="BE295" i="54"/>
  <c r="BB295" i="54"/>
  <c r="BA295" i="54"/>
  <c r="AZ295" i="54"/>
  <c r="AY295" i="54"/>
  <c r="AX295" i="54"/>
  <c r="AW295" i="54"/>
  <c r="AV295" i="54"/>
  <c r="AS295" i="54"/>
  <c r="AR295" i="54"/>
  <c r="AQ295" i="54"/>
  <c r="AP295" i="54"/>
  <c r="AK295" i="54"/>
  <c r="AI295" i="54"/>
  <c r="W295" i="54"/>
  <c r="BH294" i="54"/>
  <c r="A293" i="54"/>
  <c r="AK290" i="54"/>
  <c r="AI290" i="54"/>
  <c r="AD290" i="54"/>
  <c r="F290" i="54"/>
  <c r="D290" i="54"/>
  <c r="B290" i="54"/>
  <c r="AK289" i="54"/>
  <c r="AI289" i="54"/>
  <c r="AD289" i="54"/>
  <c r="F289" i="54"/>
  <c r="D289" i="54"/>
  <c r="B289" i="54"/>
  <c r="AK288" i="54"/>
  <c r="AI288" i="54"/>
  <c r="AD288" i="54"/>
  <c r="F288" i="54"/>
  <c r="D288" i="54"/>
  <c r="B288" i="54"/>
  <c r="AK287" i="54"/>
  <c r="AI287" i="54"/>
  <c r="AD287" i="54"/>
  <c r="F287" i="54"/>
  <c r="D287" i="54"/>
  <c r="B287" i="54"/>
  <c r="AK286" i="54"/>
  <c r="AI286" i="54"/>
  <c r="AD286" i="54"/>
  <c r="F286" i="54"/>
  <c r="D286" i="54"/>
  <c r="B286" i="54"/>
  <c r="AK285" i="54"/>
  <c r="AI285" i="54"/>
  <c r="AD285" i="54"/>
  <c r="F285" i="54"/>
  <c r="D285" i="54"/>
  <c r="B285" i="54"/>
  <c r="AK284" i="54"/>
  <c r="AI284" i="54"/>
  <c r="AD284" i="54"/>
  <c r="F284" i="54"/>
  <c r="D284" i="54"/>
  <c r="B284" i="54"/>
  <c r="AK283" i="54"/>
  <c r="AI283" i="54"/>
  <c r="AD283" i="54"/>
  <c r="F283" i="54"/>
  <c r="D283" i="54"/>
  <c r="B283" i="54"/>
  <c r="AK282" i="54"/>
  <c r="AI282" i="54"/>
  <c r="AD282" i="54"/>
  <c r="F282" i="54"/>
  <c r="D282" i="54"/>
  <c r="B282" i="54"/>
  <c r="AK281" i="54"/>
  <c r="AI281" i="54"/>
  <c r="AD281" i="54"/>
  <c r="F281" i="54"/>
  <c r="D281" i="54"/>
  <c r="B281" i="54"/>
  <c r="AP280" i="54"/>
  <c r="AK280" i="54"/>
  <c r="AI280" i="54"/>
  <c r="AD280" i="54"/>
  <c r="F280" i="54"/>
  <c r="D280" i="54"/>
  <c r="B280" i="54"/>
  <c r="AX279" i="54"/>
  <c r="AW279" i="54"/>
  <c r="AV279" i="54"/>
  <c r="AS279" i="54"/>
  <c r="AR279" i="54"/>
  <c r="AQ279" i="54"/>
  <c r="AP279" i="54"/>
  <c r="AK279" i="54"/>
  <c r="AI279" i="54"/>
  <c r="BH278" i="54"/>
  <c r="A277" i="54"/>
  <c r="A276" i="54"/>
  <c r="B274" i="54"/>
  <c r="AY273" i="54"/>
  <c r="B273" i="54"/>
  <c r="B272" i="54"/>
  <c r="B271" i="54"/>
  <c r="A133" i="54"/>
  <c r="AY130" i="54"/>
  <c r="AZ130" i="54" s="1"/>
  <c r="AZ400" i="54" s="1"/>
  <c r="AP130" i="54"/>
  <c r="AJ130" i="54"/>
  <c r="AJ400" i="54" s="1"/>
  <c r="AY129" i="54"/>
  <c r="AY399" i="54" s="1"/>
  <c r="AP129" i="54"/>
  <c r="AP399" i="54" s="1"/>
  <c r="AJ129" i="54"/>
  <c r="AJ399" i="54" s="1"/>
  <c r="AY128" i="54"/>
  <c r="AY398" i="54" s="1"/>
  <c r="AP128" i="54"/>
  <c r="AP398" i="54" s="1"/>
  <c r="AJ128" i="54"/>
  <c r="AJ398" i="54" s="1"/>
  <c r="AY127" i="54"/>
  <c r="AP127" i="54"/>
  <c r="AP397" i="54" s="1"/>
  <c r="AJ127" i="54"/>
  <c r="AJ397" i="54" s="1"/>
  <c r="AY126" i="54"/>
  <c r="AP396" i="54"/>
  <c r="AJ126" i="54"/>
  <c r="AJ396" i="54" s="1"/>
  <c r="BR117" i="54"/>
  <c r="BR116" i="54"/>
  <c r="BR115" i="54"/>
  <c r="BR114" i="54"/>
  <c r="BR113" i="54"/>
  <c r="BR106" i="54"/>
  <c r="BR105" i="54"/>
  <c r="BR104" i="54"/>
  <c r="BR103" i="54"/>
  <c r="BR102" i="54"/>
  <c r="BR101" i="54"/>
  <c r="BR100" i="54"/>
  <c r="BR99" i="54"/>
  <c r="BR98" i="54"/>
  <c r="BR97" i="54"/>
  <c r="BE67" i="54"/>
  <c r="BE337" i="54" s="1"/>
  <c r="AZ67" i="54"/>
  <c r="AZ337" i="54" s="1"/>
  <c r="AY337" i="54"/>
  <c r="AW67" i="54"/>
  <c r="AJ67" i="54" s="1"/>
  <c r="AJ337" i="54" s="1"/>
  <c r="AP337" i="54"/>
  <c r="BE66" i="54"/>
  <c r="BE336" i="54" s="1"/>
  <c r="AZ66" i="54"/>
  <c r="AZ336" i="54" s="1"/>
  <c r="AY336" i="54"/>
  <c r="AQ66" i="54"/>
  <c r="AQ336" i="54" s="1"/>
  <c r="AP336" i="54"/>
  <c r="AY335" i="54"/>
  <c r="AZ64" i="54"/>
  <c r="AZ334" i="54" s="1"/>
  <c r="AW64" i="54"/>
  <c r="AJ64" i="54" s="1"/>
  <c r="AJ334" i="54" s="1"/>
  <c r="AQ64" i="54"/>
  <c r="AQ334" i="54" s="1"/>
  <c r="AP334" i="54"/>
  <c r="AW63" i="54"/>
  <c r="AP333" i="54"/>
  <c r="BE62" i="54"/>
  <c r="BE332" i="54" s="1"/>
  <c r="AY332" i="54"/>
  <c r="AW62" i="54"/>
  <c r="AZ61" i="54"/>
  <c r="AZ331" i="54" s="1"/>
  <c r="AY331" i="54"/>
  <c r="AW61" i="54"/>
  <c r="AW331" i="54" s="1"/>
  <c r="AP331" i="54"/>
  <c r="BE52" i="54"/>
  <c r="BE322" i="54" s="1"/>
  <c r="AY322" i="54"/>
  <c r="AW52" i="54"/>
  <c r="AP322" i="54"/>
  <c r="AZ51" i="54"/>
  <c r="AZ321" i="54" s="1"/>
  <c r="AY321" i="54"/>
  <c r="AW51" i="54"/>
  <c r="AP321" i="54"/>
  <c r="BE50" i="54"/>
  <c r="BE320" i="54" s="1"/>
  <c r="BE49" i="54"/>
  <c r="BE319" i="54" s="1"/>
  <c r="AZ49" i="54"/>
  <c r="AZ319" i="54" s="1"/>
  <c r="AY319" i="54"/>
  <c r="AW49" i="54"/>
  <c r="AP319" i="54"/>
  <c r="AQ48" i="54"/>
  <c r="AQ318" i="54" s="1"/>
  <c r="AP318" i="54"/>
  <c r="BE47" i="54"/>
  <c r="BE317" i="54" s="1"/>
  <c r="AZ47" i="54"/>
  <c r="AZ317" i="54" s="1"/>
  <c r="AY317" i="54"/>
  <c r="AW47" i="54"/>
  <c r="AZ46" i="54"/>
  <c r="AZ316" i="54" s="1"/>
  <c r="AQ46" i="54"/>
  <c r="AQ316" i="54" s="1"/>
  <c r="AP316" i="54"/>
  <c r="AZ45" i="54"/>
  <c r="AZ315" i="54" s="1"/>
  <c r="AW45" i="54"/>
  <c r="AP315" i="54"/>
  <c r="AW44" i="54"/>
  <c r="AQ44" i="54"/>
  <c r="AQ314" i="54" s="1"/>
  <c r="AP314" i="54"/>
  <c r="BA306" i="54"/>
  <c r="AP306" i="54"/>
  <c r="W306" i="54"/>
  <c r="AR303" i="54"/>
  <c r="AP303" i="54"/>
  <c r="W303" i="54"/>
  <c r="BA302" i="54"/>
  <c r="W302" i="54"/>
  <c r="W300" i="54"/>
  <c r="W299" i="54"/>
  <c r="AR298" i="54"/>
  <c r="AP298" i="54"/>
  <c r="W298" i="54"/>
  <c r="AR20" i="54"/>
  <c r="AR290" i="54" s="1"/>
  <c r="AP20" i="54"/>
  <c r="AP290" i="54" s="1"/>
  <c r="AL20" i="54"/>
  <c r="AL290" i="54" s="1"/>
  <c r="AJ20" i="54"/>
  <c r="AJ290" i="54" s="1"/>
  <c r="AR19" i="54"/>
  <c r="AR289" i="54" s="1"/>
  <c r="AP19" i="54"/>
  <c r="AL19" i="54"/>
  <c r="AL289" i="54" s="1"/>
  <c r="AJ19" i="54"/>
  <c r="AJ289" i="54" s="1"/>
  <c r="AR18" i="54"/>
  <c r="AR288" i="54" s="1"/>
  <c r="AP18" i="54"/>
  <c r="AP288" i="54" s="1"/>
  <c r="AL18" i="54"/>
  <c r="AL288" i="54" s="1"/>
  <c r="AJ18" i="54"/>
  <c r="AJ288" i="54" s="1"/>
  <c r="AR17" i="54"/>
  <c r="AR287" i="54" s="1"/>
  <c r="AP17" i="54"/>
  <c r="AP287" i="54" s="1"/>
  <c r="AL17" i="54"/>
  <c r="AL287" i="54" s="1"/>
  <c r="AJ17" i="54"/>
  <c r="AJ287" i="54" s="1"/>
  <c r="AR16" i="54"/>
  <c r="AR286" i="54" s="1"/>
  <c r="AP16" i="54"/>
  <c r="AP286" i="54" s="1"/>
  <c r="AL16" i="54"/>
  <c r="AL286" i="54" s="1"/>
  <c r="AJ16" i="54"/>
  <c r="AJ286" i="54" s="1"/>
  <c r="AR15" i="54"/>
  <c r="AR285" i="54" s="1"/>
  <c r="AP15" i="54"/>
  <c r="AP285" i="54" s="1"/>
  <c r="AL15" i="54"/>
  <c r="AL285" i="54" s="1"/>
  <c r="AJ15" i="54"/>
  <c r="AJ285" i="54" s="1"/>
  <c r="AR14" i="54"/>
  <c r="AR284" i="54" s="1"/>
  <c r="AP14" i="54"/>
  <c r="AP284" i="54" s="1"/>
  <c r="AL14" i="54"/>
  <c r="AL284" i="54" s="1"/>
  <c r="AJ14" i="54"/>
  <c r="AJ284" i="54" s="1"/>
  <c r="AR13" i="54"/>
  <c r="AP13" i="54"/>
  <c r="AP283" i="54" s="1"/>
  <c r="AL13" i="54"/>
  <c r="AL283" i="54" s="1"/>
  <c r="AJ13" i="54"/>
  <c r="AJ283" i="54" s="1"/>
  <c r="AR12" i="54"/>
  <c r="AR282" i="54" s="1"/>
  <c r="AP12" i="54"/>
  <c r="AP282" i="54" s="1"/>
  <c r="AL12" i="54"/>
  <c r="AL282" i="54" s="1"/>
  <c r="AJ12" i="54"/>
  <c r="AJ282" i="54" s="1"/>
  <c r="AR11" i="54"/>
  <c r="AR281" i="54" s="1"/>
  <c r="AP11" i="54"/>
  <c r="AP281" i="54" s="1"/>
  <c r="AL11" i="54"/>
  <c r="AL281" i="54" s="1"/>
  <c r="AJ11" i="54"/>
  <c r="AJ281" i="54" s="1"/>
  <c r="AY3" i="54"/>
  <c r="BR1" i="54"/>
  <c r="BH1" i="54"/>
  <c r="AX271" i="54" s="1"/>
  <c r="BH392" i="5"/>
  <c r="BH364" i="5"/>
  <c r="BH380" i="5"/>
  <c r="AY382" i="5"/>
  <c r="AP382" i="5"/>
  <c r="BG381" i="5"/>
  <c r="BF381" i="5"/>
  <c r="BE381" i="5"/>
  <c r="BB381" i="5"/>
  <c r="BA381" i="5"/>
  <c r="AZ381" i="5"/>
  <c r="AY381" i="5"/>
  <c r="AX381" i="5"/>
  <c r="AW381" i="5"/>
  <c r="AV381" i="5"/>
  <c r="AS381" i="5"/>
  <c r="AR381" i="5"/>
  <c r="AQ381" i="5"/>
  <c r="AP381" i="5"/>
  <c r="AP366" i="5"/>
  <c r="AX365" i="5"/>
  <c r="AW365" i="5"/>
  <c r="AV365" i="5"/>
  <c r="AS365" i="5"/>
  <c r="AR365" i="5"/>
  <c r="AQ365" i="5"/>
  <c r="AP365" i="5"/>
  <c r="AY347" i="5"/>
  <c r="AP347" i="5"/>
  <c r="BG346" i="5"/>
  <c r="BF346" i="5"/>
  <c r="BE346" i="5"/>
  <c r="BB346" i="5"/>
  <c r="BA346" i="5"/>
  <c r="AZ346" i="5"/>
  <c r="AY346" i="5"/>
  <c r="AX346" i="5"/>
  <c r="AW346" i="5"/>
  <c r="AV346" i="5"/>
  <c r="AS346" i="5"/>
  <c r="AR346" i="5"/>
  <c r="AQ346" i="5"/>
  <c r="AP346" i="5"/>
  <c r="BH345" i="5"/>
  <c r="BH326" i="5"/>
  <c r="AY328" i="5"/>
  <c r="AP328" i="5"/>
  <c r="BG327" i="5"/>
  <c r="BF327" i="5"/>
  <c r="BE327" i="5"/>
  <c r="BB327" i="5"/>
  <c r="BA327" i="5"/>
  <c r="AZ327" i="5"/>
  <c r="AY327" i="5"/>
  <c r="AX327" i="5"/>
  <c r="AW327" i="5"/>
  <c r="AV327" i="5"/>
  <c r="AS327" i="5"/>
  <c r="AR327" i="5"/>
  <c r="AQ327" i="5"/>
  <c r="AP327" i="5"/>
  <c r="F338" i="5"/>
  <c r="F337" i="5"/>
  <c r="F336" i="5"/>
  <c r="F335" i="5"/>
  <c r="F334" i="5"/>
  <c r="F333" i="5"/>
  <c r="F332" i="5"/>
  <c r="F331" i="5"/>
  <c r="F330" i="5"/>
  <c r="F329" i="5"/>
  <c r="AI327" i="5"/>
  <c r="AI328" i="5"/>
  <c r="AD328" i="5"/>
  <c r="F328" i="5"/>
  <c r="D328" i="5"/>
  <c r="B328" i="5"/>
  <c r="AY312" i="5"/>
  <c r="AP312" i="5"/>
  <c r="BG311" i="5"/>
  <c r="BF311" i="5"/>
  <c r="BE311" i="5"/>
  <c r="BB311" i="5"/>
  <c r="BA311" i="5"/>
  <c r="AZ311" i="5"/>
  <c r="AY311" i="5"/>
  <c r="AX311" i="5"/>
  <c r="AW311" i="5"/>
  <c r="AV311" i="5"/>
  <c r="AS311" i="5"/>
  <c r="AR311" i="5"/>
  <c r="AQ311" i="5"/>
  <c r="AP311" i="5"/>
  <c r="BH310" i="5"/>
  <c r="F314" i="5"/>
  <c r="F315" i="5"/>
  <c r="F316" i="5"/>
  <c r="F317" i="5"/>
  <c r="F318" i="5"/>
  <c r="F319" i="5"/>
  <c r="F320" i="5"/>
  <c r="F321" i="5"/>
  <c r="F322" i="5"/>
  <c r="F313" i="5"/>
  <c r="AD312" i="5"/>
  <c r="AI312" i="5"/>
  <c r="AI311" i="5"/>
  <c r="F312" i="5"/>
  <c r="D312" i="5"/>
  <c r="B312" i="5"/>
  <c r="D296" i="5"/>
  <c r="B296" i="5"/>
  <c r="F298" i="5"/>
  <c r="F299" i="5"/>
  <c r="F300" i="5"/>
  <c r="F301" i="5"/>
  <c r="F302" i="5"/>
  <c r="F303" i="5"/>
  <c r="F304" i="5"/>
  <c r="F305" i="5"/>
  <c r="F306" i="5"/>
  <c r="W295" i="5"/>
  <c r="AD296" i="5"/>
  <c r="F296" i="5"/>
  <c r="AK296" i="5"/>
  <c r="AI296" i="5"/>
  <c r="AK295" i="5"/>
  <c r="AI295" i="5"/>
  <c r="BH294" i="5"/>
  <c r="AY296" i="5"/>
  <c r="BG295" i="5"/>
  <c r="BF295" i="5"/>
  <c r="BE295" i="5"/>
  <c r="BB295" i="5"/>
  <c r="BA295" i="5"/>
  <c r="AZ295" i="5"/>
  <c r="AY295" i="5"/>
  <c r="AP296" i="5"/>
  <c r="AX295" i="5"/>
  <c r="AW295" i="5"/>
  <c r="AV295" i="5"/>
  <c r="AS295" i="5"/>
  <c r="AR295" i="5"/>
  <c r="AQ295" i="5"/>
  <c r="AP295" i="5"/>
  <c r="AP280" i="5"/>
  <c r="AP279" i="5"/>
  <c r="BH278" i="5"/>
  <c r="AX279" i="5"/>
  <c r="AW279" i="5"/>
  <c r="AV279" i="5"/>
  <c r="AS279" i="5"/>
  <c r="AR279" i="5"/>
  <c r="AQ279" i="5"/>
  <c r="F282" i="5"/>
  <c r="F283" i="5"/>
  <c r="F284" i="5"/>
  <c r="F285" i="5"/>
  <c r="F286" i="5"/>
  <c r="F287" i="5"/>
  <c r="F288" i="5"/>
  <c r="F289" i="5"/>
  <c r="F290" i="5"/>
  <c r="AK279" i="5"/>
  <c r="AI279" i="5"/>
  <c r="AK280" i="5"/>
  <c r="AI280" i="5"/>
  <c r="AD280" i="5"/>
  <c r="F280" i="5"/>
  <c r="D280" i="5"/>
  <c r="B280" i="5"/>
  <c r="A343" i="5"/>
  <c r="BB338" i="5"/>
  <c r="AS338" i="5"/>
  <c r="AI338" i="5"/>
  <c r="AD338" i="5"/>
  <c r="D338" i="5"/>
  <c r="B338" i="5"/>
  <c r="BB337" i="5"/>
  <c r="AS337" i="5"/>
  <c r="AI337" i="5"/>
  <c r="AD337" i="5"/>
  <c r="D337" i="5"/>
  <c r="B337" i="5"/>
  <c r="BB336" i="5"/>
  <c r="AS336" i="5"/>
  <c r="AI336" i="5"/>
  <c r="AD336" i="5"/>
  <c r="D336" i="5"/>
  <c r="B336" i="5"/>
  <c r="BB335" i="5"/>
  <c r="AS335" i="5"/>
  <c r="AI335" i="5"/>
  <c r="AD335" i="5"/>
  <c r="D335" i="5"/>
  <c r="B335" i="5"/>
  <c r="BB334" i="5"/>
  <c r="AS334" i="5"/>
  <c r="AI334" i="5"/>
  <c r="AD334" i="5"/>
  <c r="D334" i="5"/>
  <c r="B334" i="5"/>
  <c r="BB333" i="5"/>
  <c r="AS333" i="5"/>
  <c r="AI333" i="5"/>
  <c r="AD333" i="5"/>
  <c r="D333" i="5"/>
  <c r="B333" i="5"/>
  <c r="BB332" i="5"/>
  <c r="AS332" i="5"/>
  <c r="AI332" i="5"/>
  <c r="AD332" i="5"/>
  <c r="D332" i="5"/>
  <c r="B332" i="5"/>
  <c r="BB331" i="5"/>
  <c r="AS331" i="5"/>
  <c r="AI331" i="5"/>
  <c r="AD331" i="5"/>
  <c r="D331" i="5"/>
  <c r="B331" i="5"/>
  <c r="BB330" i="5"/>
  <c r="AS330" i="5"/>
  <c r="AI330" i="5"/>
  <c r="AD330" i="5"/>
  <c r="D330" i="5"/>
  <c r="B330" i="5"/>
  <c r="AI329" i="5"/>
  <c r="AD329" i="5"/>
  <c r="D329" i="5"/>
  <c r="B329" i="5"/>
  <c r="A325" i="5"/>
  <c r="BB322" i="5"/>
  <c r="BA322" i="5"/>
  <c r="AS322" i="5"/>
  <c r="AR322" i="5"/>
  <c r="AI322" i="5"/>
  <c r="AD322" i="5"/>
  <c r="D322" i="5"/>
  <c r="B322" i="5"/>
  <c r="BB321" i="5"/>
  <c r="BA321" i="5"/>
  <c r="AS321" i="5"/>
  <c r="AR321" i="5"/>
  <c r="AI321" i="5"/>
  <c r="AD321" i="5"/>
  <c r="D321" i="5"/>
  <c r="B321" i="5"/>
  <c r="BB320" i="5"/>
  <c r="BA320" i="5"/>
  <c r="AS320" i="5"/>
  <c r="AR320" i="5"/>
  <c r="AI320" i="5"/>
  <c r="AD320" i="5"/>
  <c r="D320" i="5"/>
  <c r="B320" i="5"/>
  <c r="BB319" i="5"/>
  <c r="BA319" i="5"/>
  <c r="AS319" i="5"/>
  <c r="AR319" i="5"/>
  <c r="AI319" i="5"/>
  <c r="AD319" i="5"/>
  <c r="D319" i="5"/>
  <c r="B319" i="5"/>
  <c r="BB318" i="5"/>
  <c r="BA318" i="5"/>
  <c r="AS318" i="5"/>
  <c r="AR318" i="5"/>
  <c r="AI318" i="5"/>
  <c r="AD318" i="5"/>
  <c r="D318" i="5"/>
  <c r="B318" i="5"/>
  <c r="BB317" i="5"/>
  <c r="BA317" i="5"/>
  <c r="AS317" i="5"/>
  <c r="AR317" i="5"/>
  <c r="AI317" i="5"/>
  <c r="AD317" i="5"/>
  <c r="D317" i="5"/>
  <c r="B317" i="5"/>
  <c r="BB316" i="5"/>
  <c r="BA316" i="5"/>
  <c r="AS316" i="5"/>
  <c r="AR316" i="5"/>
  <c r="AI316" i="5"/>
  <c r="AD316" i="5"/>
  <c r="D316" i="5"/>
  <c r="B316" i="5"/>
  <c r="BB315" i="5"/>
  <c r="BA315" i="5"/>
  <c r="AS315" i="5"/>
  <c r="AR315" i="5"/>
  <c r="AI315" i="5"/>
  <c r="AD315" i="5"/>
  <c r="D315" i="5"/>
  <c r="B315" i="5"/>
  <c r="BB314" i="5"/>
  <c r="BA314" i="5"/>
  <c r="AS314" i="5"/>
  <c r="AR314" i="5"/>
  <c r="AI314" i="5"/>
  <c r="AD314" i="5"/>
  <c r="D314" i="5"/>
  <c r="B314" i="5"/>
  <c r="BB313" i="5"/>
  <c r="BA313" i="5"/>
  <c r="AS313" i="5"/>
  <c r="AR313" i="5"/>
  <c r="AI313" i="5"/>
  <c r="AD313" i="5"/>
  <c r="D313" i="5"/>
  <c r="B313" i="5"/>
  <c r="A309" i="5"/>
  <c r="AK306" i="5"/>
  <c r="AI306" i="5"/>
  <c r="AD306" i="5"/>
  <c r="D306" i="5"/>
  <c r="B306" i="5"/>
  <c r="AK305" i="5"/>
  <c r="AI305" i="5"/>
  <c r="AD305" i="5"/>
  <c r="D305" i="5"/>
  <c r="B305" i="5"/>
  <c r="AK304" i="5"/>
  <c r="AI304" i="5"/>
  <c r="AD304" i="5"/>
  <c r="D304" i="5"/>
  <c r="B304" i="5"/>
  <c r="AK303" i="5"/>
  <c r="AI303" i="5"/>
  <c r="AD303" i="5"/>
  <c r="D303" i="5"/>
  <c r="B303" i="5"/>
  <c r="AK302" i="5"/>
  <c r="AI302" i="5"/>
  <c r="AD302" i="5"/>
  <c r="D302" i="5"/>
  <c r="B302" i="5"/>
  <c r="AK301" i="5"/>
  <c r="AI301" i="5"/>
  <c r="AD301" i="5"/>
  <c r="D301" i="5"/>
  <c r="B301" i="5"/>
  <c r="AK300" i="5"/>
  <c r="AI300" i="5"/>
  <c r="AD300" i="5"/>
  <c r="D300" i="5"/>
  <c r="B300" i="5"/>
  <c r="AK299" i="5"/>
  <c r="AI299" i="5"/>
  <c r="AD299" i="5"/>
  <c r="D299" i="5"/>
  <c r="B299" i="5"/>
  <c r="AK298" i="5"/>
  <c r="AI298" i="5"/>
  <c r="AD298" i="5"/>
  <c r="D298" i="5"/>
  <c r="B298" i="5"/>
  <c r="AK297" i="5"/>
  <c r="AI297" i="5"/>
  <c r="AD297" i="5"/>
  <c r="F297" i="5"/>
  <c r="D297" i="5"/>
  <c r="B297" i="5"/>
  <c r="A293" i="5"/>
  <c r="AK290" i="5"/>
  <c r="AI290" i="5"/>
  <c r="AD290" i="5"/>
  <c r="D290" i="5"/>
  <c r="B290" i="5"/>
  <c r="AK289" i="5"/>
  <c r="AI289" i="5"/>
  <c r="AD289" i="5"/>
  <c r="D289" i="5"/>
  <c r="B289" i="5"/>
  <c r="AK288" i="5"/>
  <c r="AI288" i="5"/>
  <c r="AD288" i="5"/>
  <c r="D288" i="5"/>
  <c r="B288" i="5"/>
  <c r="AK287" i="5"/>
  <c r="AI287" i="5"/>
  <c r="AD287" i="5"/>
  <c r="D287" i="5"/>
  <c r="B287" i="5"/>
  <c r="AK286" i="5"/>
  <c r="AI286" i="5"/>
  <c r="AD286" i="5"/>
  <c r="D286" i="5"/>
  <c r="B286" i="5"/>
  <c r="AK285" i="5"/>
  <c r="AI285" i="5"/>
  <c r="AD285" i="5"/>
  <c r="D285" i="5"/>
  <c r="B285" i="5"/>
  <c r="AK284" i="5"/>
  <c r="AI284" i="5"/>
  <c r="AD284" i="5"/>
  <c r="D284" i="5"/>
  <c r="B284" i="5"/>
  <c r="AK283" i="5"/>
  <c r="AI283" i="5"/>
  <c r="AD283" i="5"/>
  <c r="D283" i="5"/>
  <c r="B283" i="5"/>
  <c r="AK282" i="5"/>
  <c r="AI282" i="5"/>
  <c r="AD282" i="5"/>
  <c r="D282" i="5"/>
  <c r="B282" i="5"/>
  <c r="AK281" i="5"/>
  <c r="AI281" i="5"/>
  <c r="AD281" i="5"/>
  <c r="F281" i="5"/>
  <c r="D281" i="5"/>
  <c r="B281" i="5"/>
  <c r="A277" i="5"/>
  <c r="A276" i="5"/>
  <c r="B274" i="5"/>
  <c r="AY273" i="5"/>
  <c r="B273" i="5"/>
  <c r="B118" i="53"/>
  <c r="B333" i="53"/>
  <c r="B331" i="52"/>
  <c r="B117" i="52"/>
  <c r="B313" i="23"/>
  <c r="B87" i="23"/>
  <c r="L287" i="23"/>
  <c r="K300" i="23"/>
  <c r="K299" i="23"/>
  <c r="K297" i="23"/>
  <c r="K296" i="23"/>
  <c r="K292" i="23"/>
  <c r="K291" i="23"/>
  <c r="L285" i="23"/>
  <c r="C312" i="23"/>
  <c r="C311" i="23"/>
  <c r="AF311" i="23"/>
  <c r="C309" i="23"/>
  <c r="B308" i="23"/>
  <c r="B305" i="23"/>
  <c r="B304" i="23"/>
  <c r="B303" i="23"/>
  <c r="B302" i="23"/>
  <c r="B301" i="23"/>
  <c r="B291" i="23"/>
  <c r="B292" i="23"/>
  <c r="B294" i="23"/>
  <c r="B295" i="23"/>
  <c r="B296" i="23"/>
  <c r="B297" i="23"/>
  <c r="B299" i="23"/>
  <c r="B300" i="23"/>
  <c r="B290" i="23"/>
  <c r="B289" i="23"/>
  <c r="B287" i="23"/>
  <c r="B285" i="23"/>
  <c r="B284" i="23"/>
  <c r="B282" i="23"/>
  <c r="Z256" i="23"/>
  <c r="T256" i="23"/>
  <c r="M256" i="23"/>
  <c r="B256" i="23"/>
  <c r="Z255" i="23"/>
  <c r="T255" i="23"/>
  <c r="M255" i="23"/>
  <c r="B255" i="23"/>
  <c r="Z254" i="23"/>
  <c r="T254" i="23"/>
  <c r="M254" i="23"/>
  <c r="B254" i="23"/>
  <c r="Z253" i="23"/>
  <c r="T253" i="23"/>
  <c r="M253" i="23"/>
  <c r="B253" i="23"/>
  <c r="Z252" i="23"/>
  <c r="T252" i="23"/>
  <c r="M252" i="23"/>
  <c r="B252" i="23"/>
  <c r="Z251" i="23"/>
  <c r="T251" i="23"/>
  <c r="M251" i="23"/>
  <c r="B251" i="23"/>
  <c r="Z250" i="23"/>
  <c r="T250" i="23"/>
  <c r="Z249" i="23"/>
  <c r="T249" i="23"/>
  <c r="M250" i="23"/>
  <c r="M249" i="23"/>
  <c r="B250" i="23"/>
  <c r="B249" i="23"/>
  <c r="M245" i="23"/>
  <c r="B245" i="23"/>
  <c r="B243" i="23"/>
  <c r="Z241" i="23"/>
  <c r="T241" i="23"/>
  <c r="Z239" i="23"/>
  <c r="T239" i="23"/>
  <c r="T237" i="23"/>
  <c r="T235" i="23"/>
  <c r="AB233" i="23"/>
  <c r="T233" i="23"/>
  <c r="AD237" i="23"/>
  <c r="AD235" i="23"/>
  <c r="AF237" i="23"/>
  <c r="AF235" i="23"/>
  <c r="AI232" i="23"/>
  <c r="AH232" i="23"/>
  <c r="AG232" i="23"/>
  <c r="AF232" i="23"/>
  <c r="M241" i="23"/>
  <c r="B241" i="23"/>
  <c r="B248" i="23"/>
  <c r="B239" i="23"/>
  <c r="B237" i="23"/>
  <c r="B235" i="23"/>
  <c r="B233" i="23"/>
  <c r="AF231" i="23"/>
  <c r="T231" i="23"/>
  <c r="AI230" i="23"/>
  <c r="B230" i="23"/>
  <c r="B231" i="23"/>
  <c r="B228" i="23"/>
  <c r="AF268" i="53"/>
  <c r="AI333" i="53"/>
  <c r="AI332" i="53"/>
  <c r="AH332" i="53"/>
  <c r="AG332" i="53"/>
  <c r="AF332" i="53"/>
  <c r="AE332" i="53"/>
  <c r="AD332" i="53"/>
  <c r="AC332" i="53"/>
  <c r="AB332" i="53"/>
  <c r="AA332" i="53"/>
  <c r="Z332" i="53"/>
  <c r="Y332" i="53"/>
  <c r="X332" i="53"/>
  <c r="W332" i="53"/>
  <c r="V332" i="53"/>
  <c r="U332" i="53"/>
  <c r="T332" i="53"/>
  <c r="S332" i="53"/>
  <c r="R332" i="53"/>
  <c r="Q332" i="53"/>
  <c r="P332" i="53"/>
  <c r="O332" i="53"/>
  <c r="N332" i="53"/>
  <c r="M332" i="53"/>
  <c r="L332" i="53"/>
  <c r="K332" i="53"/>
  <c r="J332" i="53"/>
  <c r="I332" i="53"/>
  <c r="H332" i="53"/>
  <c r="G332" i="53"/>
  <c r="F332" i="53"/>
  <c r="E332" i="53"/>
  <c r="D332" i="53"/>
  <c r="C332" i="53"/>
  <c r="B332" i="53"/>
  <c r="AI331" i="53"/>
  <c r="AE331" i="53"/>
  <c r="AD331" i="53"/>
  <c r="AI330" i="53"/>
  <c r="AH330" i="53"/>
  <c r="AF330" i="53"/>
  <c r="AE330" i="53"/>
  <c r="AD330" i="53"/>
  <c r="AC330" i="53"/>
  <c r="AB330" i="53"/>
  <c r="AA330" i="53"/>
  <c r="Z330" i="53"/>
  <c r="Y330" i="53"/>
  <c r="X330" i="53"/>
  <c r="W330" i="53"/>
  <c r="V330" i="53"/>
  <c r="U330" i="53"/>
  <c r="T330" i="53"/>
  <c r="S330" i="53"/>
  <c r="R330" i="53"/>
  <c r="Q330" i="53"/>
  <c r="P330" i="53"/>
  <c r="O330" i="53"/>
  <c r="N330" i="53"/>
  <c r="M330" i="53"/>
  <c r="L330" i="53"/>
  <c r="K330" i="53"/>
  <c r="J330" i="53"/>
  <c r="I330" i="53"/>
  <c r="H330" i="53"/>
  <c r="G330" i="53"/>
  <c r="F330" i="53"/>
  <c r="E330" i="53"/>
  <c r="D330" i="53"/>
  <c r="C330" i="53"/>
  <c r="B330" i="53"/>
  <c r="AI329" i="53"/>
  <c r="AH329" i="53"/>
  <c r="AG329" i="53"/>
  <c r="AF329" i="53"/>
  <c r="AE329" i="53"/>
  <c r="AD329" i="53"/>
  <c r="AC329" i="53"/>
  <c r="AB329" i="53"/>
  <c r="AA329" i="53"/>
  <c r="Z329" i="53"/>
  <c r="Y329" i="53"/>
  <c r="X329" i="53"/>
  <c r="W329" i="53"/>
  <c r="V329" i="53"/>
  <c r="U329" i="53"/>
  <c r="T329" i="53"/>
  <c r="S329" i="53"/>
  <c r="R329" i="53"/>
  <c r="Q329" i="53"/>
  <c r="P329" i="53"/>
  <c r="O329" i="53"/>
  <c r="N329" i="53"/>
  <c r="M329" i="53"/>
  <c r="L329" i="53"/>
  <c r="K329" i="53"/>
  <c r="J329" i="53"/>
  <c r="I329" i="53"/>
  <c r="H329" i="53"/>
  <c r="G329" i="53"/>
  <c r="F329" i="53"/>
  <c r="E329" i="53"/>
  <c r="D329" i="53"/>
  <c r="C329" i="53"/>
  <c r="B329" i="53"/>
  <c r="AI327" i="53"/>
  <c r="AE327" i="53"/>
  <c r="AD327" i="53"/>
  <c r="Y327" i="53"/>
  <c r="W327" i="53"/>
  <c r="V327" i="53"/>
  <c r="C327" i="53"/>
  <c r="B327" i="53"/>
  <c r="AI326" i="53"/>
  <c r="AH326" i="53"/>
  <c r="AG326" i="53"/>
  <c r="AF326" i="53"/>
  <c r="AE326" i="53"/>
  <c r="AD326" i="53"/>
  <c r="AC326" i="53"/>
  <c r="AB326" i="53"/>
  <c r="AA326" i="53"/>
  <c r="Z326" i="53"/>
  <c r="Y326" i="53"/>
  <c r="X326" i="53"/>
  <c r="W326" i="53"/>
  <c r="V326" i="53"/>
  <c r="U326" i="53"/>
  <c r="T326" i="53"/>
  <c r="S326" i="53"/>
  <c r="R326" i="53"/>
  <c r="Q326" i="53"/>
  <c r="P326" i="53"/>
  <c r="O326" i="53"/>
  <c r="N326" i="53"/>
  <c r="M326" i="53"/>
  <c r="L326" i="53"/>
  <c r="K326" i="53"/>
  <c r="J326" i="53"/>
  <c r="I326" i="53"/>
  <c r="H326" i="53"/>
  <c r="G326" i="53"/>
  <c r="F326" i="53"/>
  <c r="E326" i="53"/>
  <c r="D326" i="53"/>
  <c r="C326" i="53"/>
  <c r="B326" i="53"/>
  <c r="AI325" i="53"/>
  <c r="AH325" i="53"/>
  <c r="AG325" i="53"/>
  <c r="AF325" i="53"/>
  <c r="AE325" i="53"/>
  <c r="AD325" i="53"/>
  <c r="AC325" i="53"/>
  <c r="AB325" i="53"/>
  <c r="AA325" i="53"/>
  <c r="Z325" i="53"/>
  <c r="Y325" i="53"/>
  <c r="X325" i="53"/>
  <c r="W325" i="53"/>
  <c r="V325" i="53"/>
  <c r="U325" i="53"/>
  <c r="T325" i="53"/>
  <c r="S325" i="53"/>
  <c r="R325" i="53"/>
  <c r="Q325" i="53"/>
  <c r="P325" i="53"/>
  <c r="O325" i="53"/>
  <c r="N325" i="53"/>
  <c r="M325" i="53"/>
  <c r="L325" i="53"/>
  <c r="K325" i="53"/>
  <c r="J325" i="53"/>
  <c r="I325" i="53"/>
  <c r="H325" i="53"/>
  <c r="G325" i="53"/>
  <c r="F325" i="53"/>
  <c r="E325" i="53"/>
  <c r="D325" i="53"/>
  <c r="C325" i="53"/>
  <c r="B325" i="53"/>
  <c r="AI324" i="53"/>
  <c r="AH324" i="53"/>
  <c r="AG324" i="53"/>
  <c r="AF324" i="53"/>
  <c r="AE324" i="53"/>
  <c r="AD324" i="53"/>
  <c r="AC324" i="53"/>
  <c r="AB324" i="53"/>
  <c r="AA324" i="53"/>
  <c r="Z324" i="53"/>
  <c r="Y324" i="53"/>
  <c r="X324" i="53"/>
  <c r="W324" i="53"/>
  <c r="V324" i="53"/>
  <c r="U324" i="53"/>
  <c r="T324" i="53"/>
  <c r="S324" i="53"/>
  <c r="R324" i="53"/>
  <c r="Q324" i="53"/>
  <c r="P324" i="53"/>
  <c r="O324" i="53"/>
  <c r="N324" i="53"/>
  <c r="M324" i="53"/>
  <c r="L324" i="53"/>
  <c r="K324" i="53"/>
  <c r="J324" i="53"/>
  <c r="I324" i="53"/>
  <c r="H324" i="53"/>
  <c r="G324" i="53"/>
  <c r="F324" i="53"/>
  <c r="E324" i="53"/>
  <c r="D324" i="53"/>
  <c r="C324" i="53"/>
  <c r="B324" i="53"/>
  <c r="AI323" i="53"/>
  <c r="AH323" i="53"/>
  <c r="AG323" i="53"/>
  <c r="AF323" i="53"/>
  <c r="AE323" i="53"/>
  <c r="AD323" i="53"/>
  <c r="AC323" i="53"/>
  <c r="AB323" i="53"/>
  <c r="AA323" i="53"/>
  <c r="Z323" i="53"/>
  <c r="Y323" i="53"/>
  <c r="X323" i="53"/>
  <c r="W323" i="53"/>
  <c r="V323" i="53"/>
  <c r="U323" i="53"/>
  <c r="T323" i="53"/>
  <c r="S323" i="53"/>
  <c r="R323" i="53"/>
  <c r="Q323" i="53"/>
  <c r="P323" i="53"/>
  <c r="O323" i="53"/>
  <c r="N323" i="53"/>
  <c r="M323" i="53"/>
  <c r="L323" i="53"/>
  <c r="K323" i="53"/>
  <c r="J323" i="53"/>
  <c r="I323" i="53"/>
  <c r="H323" i="53"/>
  <c r="G323" i="53"/>
  <c r="F323" i="53"/>
  <c r="E323" i="53"/>
  <c r="D323" i="53"/>
  <c r="C323" i="53"/>
  <c r="B323" i="53"/>
  <c r="AI322" i="53"/>
  <c r="AH322" i="53"/>
  <c r="AG322" i="53"/>
  <c r="AF322" i="53"/>
  <c r="AE322" i="53"/>
  <c r="AD322" i="53"/>
  <c r="AC322" i="53"/>
  <c r="AB322" i="53"/>
  <c r="AA322" i="53"/>
  <c r="Z322" i="53"/>
  <c r="Y322" i="53"/>
  <c r="X322" i="53"/>
  <c r="W322" i="53"/>
  <c r="V322" i="53"/>
  <c r="U322" i="53"/>
  <c r="T322" i="53"/>
  <c r="S322" i="53"/>
  <c r="R322" i="53"/>
  <c r="Q322" i="53"/>
  <c r="P322" i="53"/>
  <c r="O322" i="53"/>
  <c r="N322" i="53"/>
  <c r="M322" i="53"/>
  <c r="L322" i="53"/>
  <c r="K322" i="53"/>
  <c r="J322" i="53"/>
  <c r="I322" i="53"/>
  <c r="H322" i="53"/>
  <c r="G322" i="53"/>
  <c r="F322" i="53"/>
  <c r="E322" i="53"/>
  <c r="D322" i="53"/>
  <c r="C322" i="53"/>
  <c r="B322" i="53"/>
  <c r="AI321" i="53"/>
  <c r="AH321" i="53"/>
  <c r="AG321" i="53"/>
  <c r="AE321" i="53"/>
  <c r="AD321" i="53"/>
  <c r="AC321" i="53"/>
  <c r="AB321" i="53"/>
  <c r="AA321" i="53"/>
  <c r="Z321" i="53"/>
  <c r="Y321" i="53"/>
  <c r="X321" i="53"/>
  <c r="W321" i="53"/>
  <c r="V321" i="53"/>
  <c r="U321" i="53"/>
  <c r="T321" i="53"/>
  <c r="S321" i="53"/>
  <c r="R321" i="53"/>
  <c r="Q321" i="53"/>
  <c r="P321" i="53"/>
  <c r="O321" i="53"/>
  <c r="N321" i="53"/>
  <c r="M321" i="53"/>
  <c r="L321" i="53"/>
  <c r="K321" i="53"/>
  <c r="J321" i="53"/>
  <c r="I321" i="53"/>
  <c r="H321" i="53"/>
  <c r="G321" i="53"/>
  <c r="F321" i="53"/>
  <c r="E321" i="53"/>
  <c r="D321" i="53"/>
  <c r="C321" i="53"/>
  <c r="B321" i="53"/>
  <c r="AI320" i="53"/>
  <c r="AH320" i="53"/>
  <c r="AG320" i="53"/>
  <c r="AE320" i="53"/>
  <c r="AD320" i="53"/>
  <c r="AC320" i="53"/>
  <c r="AB320" i="53"/>
  <c r="AA320" i="53"/>
  <c r="Z320" i="53"/>
  <c r="Y320" i="53"/>
  <c r="X320" i="53"/>
  <c r="W320" i="53"/>
  <c r="V320" i="53"/>
  <c r="U320" i="53"/>
  <c r="T320" i="53"/>
  <c r="S320" i="53"/>
  <c r="R320" i="53"/>
  <c r="Q320" i="53"/>
  <c r="P320" i="53"/>
  <c r="O320" i="53"/>
  <c r="N320" i="53"/>
  <c r="M320" i="53"/>
  <c r="L320" i="53"/>
  <c r="K320" i="53"/>
  <c r="J320" i="53"/>
  <c r="I320" i="53"/>
  <c r="H320" i="53"/>
  <c r="G320" i="53"/>
  <c r="F320" i="53"/>
  <c r="E320" i="53"/>
  <c r="D320" i="53"/>
  <c r="C320" i="53"/>
  <c r="B320" i="53"/>
  <c r="AI319" i="53"/>
  <c r="AH319" i="53"/>
  <c r="AG319" i="53"/>
  <c r="AE319" i="53"/>
  <c r="AD319" i="53"/>
  <c r="AC319" i="53"/>
  <c r="AB319" i="53"/>
  <c r="AA319" i="53"/>
  <c r="Z319" i="53"/>
  <c r="Y319" i="53"/>
  <c r="X319" i="53"/>
  <c r="W319" i="53"/>
  <c r="V319" i="53"/>
  <c r="U319" i="53"/>
  <c r="T319" i="53"/>
  <c r="S319" i="53"/>
  <c r="R319" i="53"/>
  <c r="Q319" i="53"/>
  <c r="P319" i="53"/>
  <c r="O319" i="53"/>
  <c r="N319" i="53"/>
  <c r="M319" i="53"/>
  <c r="L319" i="53"/>
  <c r="K319" i="53"/>
  <c r="J319" i="53"/>
  <c r="I319" i="53"/>
  <c r="H319" i="53"/>
  <c r="G319" i="53"/>
  <c r="F319" i="53"/>
  <c r="E319" i="53"/>
  <c r="D319" i="53"/>
  <c r="C319" i="53"/>
  <c r="B319" i="53"/>
  <c r="AI318" i="53"/>
  <c r="AH318" i="53"/>
  <c r="AG318" i="53"/>
  <c r="AE318" i="53"/>
  <c r="AD318" i="53"/>
  <c r="AC318" i="53"/>
  <c r="AB318" i="53"/>
  <c r="AA318" i="53"/>
  <c r="Z318" i="53"/>
  <c r="Y318" i="53"/>
  <c r="X318" i="53"/>
  <c r="W318" i="53"/>
  <c r="V318" i="53"/>
  <c r="U318" i="53"/>
  <c r="T318" i="53"/>
  <c r="S318" i="53"/>
  <c r="R318" i="53"/>
  <c r="Q318" i="53"/>
  <c r="P318" i="53"/>
  <c r="O318" i="53"/>
  <c r="N318" i="53"/>
  <c r="M318" i="53"/>
  <c r="L318" i="53"/>
  <c r="K318" i="53"/>
  <c r="J318" i="53"/>
  <c r="I318" i="53"/>
  <c r="H318" i="53"/>
  <c r="G318" i="53"/>
  <c r="F318" i="53"/>
  <c r="E318" i="53"/>
  <c r="D318" i="53"/>
  <c r="C318" i="53"/>
  <c r="B318" i="53"/>
  <c r="AI317" i="53"/>
  <c r="AH317" i="53"/>
  <c r="AG317" i="53"/>
  <c r="AE317" i="53"/>
  <c r="AD317" i="53"/>
  <c r="AC317" i="53"/>
  <c r="AB317" i="53"/>
  <c r="AA317" i="53"/>
  <c r="Z317" i="53"/>
  <c r="Y317" i="53"/>
  <c r="X317" i="53"/>
  <c r="W317" i="53"/>
  <c r="V317" i="53"/>
  <c r="U317" i="53"/>
  <c r="T317" i="53"/>
  <c r="S317" i="53"/>
  <c r="R317" i="53"/>
  <c r="Q317" i="53"/>
  <c r="P317" i="53"/>
  <c r="O317" i="53"/>
  <c r="N317" i="53"/>
  <c r="M317" i="53"/>
  <c r="L317" i="53"/>
  <c r="K317" i="53"/>
  <c r="J317" i="53"/>
  <c r="I317" i="53"/>
  <c r="H317" i="53"/>
  <c r="G317" i="53"/>
  <c r="F317" i="53"/>
  <c r="E317" i="53"/>
  <c r="D317" i="53"/>
  <c r="C317" i="53"/>
  <c r="B317" i="53"/>
  <c r="AI316" i="53"/>
  <c r="AH316" i="53"/>
  <c r="AG316" i="53"/>
  <c r="AF316" i="53"/>
  <c r="AE316" i="53"/>
  <c r="AD316" i="53"/>
  <c r="AC316" i="53"/>
  <c r="AB316" i="53"/>
  <c r="AA316" i="53"/>
  <c r="Z316" i="53"/>
  <c r="Y316" i="53"/>
  <c r="X316" i="53"/>
  <c r="W316" i="53"/>
  <c r="V316" i="53"/>
  <c r="U316" i="53"/>
  <c r="T316" i="53"/>
  <c r="S316" i="53"/>
  <c r="R316" i="53"/>
  <c r="Q316" i="53"/>
  <c r="P316" i="53"/>
  <c r="O316" i="53"/>
  <c r="N316" i="53"/>
  <c r="M316" i="53"/>
  <c r="L316" i="53"/>
  <c r="K316" i="53"/>
  <c r="J316" i="53"/>
  <c r="I316" i="53"/>
  <c r="H316" i="53"/>
  <c r="G316" i="53"/>
  <c r="F316" i="53"/>
  <c r="E316" i="53"/>
  <c r="D316" i="53"/>
  <c r="C316" i="53"/>
  <c r="B316" i="53"/>
  <c r="AI315" i="53"/>
  <c r="AH315" i="53"/>
  <c r="AG315" i="53"/>
  <c r="AF315" i="53"/>
  <c r="AE315" i="53"/>
  <c r="AD315" i="53"/>
  <c r="AC315" i="53"/>
  <c r="AB315" i="53"/>
  <c r="AA315" i="53"/>
  <c r="Z315" i="53"/>
  <c r="Y315" i="53"/>
  <c r="X315" i="53"/>
  <c r="W315" i="53"/>
  <c r="V315" i="53"/>
  <c r="U315" i="53"/>
  <c r="T315" i="53"/>
  <c r="S315" i="53"/>
  <c r="R315" i="53"/>
  <c r="Q315" i="53"/>
  <c r="P315" i="53"/>
  <c r="O315" i="53"/>
  <c r="N315" i="53"/>
  <c r="M315" i="53"/>
  <c r="L315" i="53"/>
  <c r="K315" i="53"/>
  <c r="J315" i="53"/>
  <c r="I315" i="53"/>
  <c r="H315" i="53"/>
  <c r="G315" i="53"/>
  <c r="F315" i="53"/>
  <c r="E315" i="53"/>
  <c r="D315" i="53"/>
  <c r="C315" i="53"/>
  <c r="B315" i="53"/>
  <c r="AI314" i="53"/>
  <c r="AH314" i="53"/>
  <c r="AG314" i="53"/>
  <c r="AF314" i="53"/>
  <c r="AE314" i="53"/>
  <c r="AD314" i="53"/>
  <c r="AC314" i="53"/>
  <c r="AB314" i="53"/>
  <c r="AA314" i="53"/>
  <c r="Z314" i="53"/>
  <c r="Y314" i="53"/>
  <c r="X314" i="53"/>
  <c r="W314" i="53"/>
  <c r="V314" i="53"/>
  <c r="U314" i="53"/>
  <c r="T314" i="53"/>
  <c r="S314" i="53"/>
  <c r="R314" i="53"/>
  <c r="Q314" i="53"/>
  <c r="P314" i="53"/>
  <c r="O314" i="53"/>
  <c r="N314" i="53"/>
  <c r="M314" i="53"/>
  <c r="L314" i="53"/>
  <c r="K314" i="53"/>
  <c r="J314" i="53"/>
  <c r="I314" i="53"/>
  <c r="H314" i="53"/>
  <c r="G314" i="53"/>
  <c r="F314" i="53"/>
  <c r="E314" i="53"/>
  <c r="D314" i="53"/>
  <c r="C314" i="53"/>
  <c r="B314" i="53"/>
  <c r="AI313" i="53"/>
  <c r="AH313" i="53"/>
  <c r="AG313" i="53"/>
  <c r="AF313" i="53"/>
  <c r="AE313" i="53"/>
  <c r="AD313" i="53"/>
  <c r="AC313" i="53"/>
  <c r="AB313" i="53"/>
  <c r="AA313" i="53"/>
  <c r="Z313" i="53"/>
  <c r="Y313" i="53"/>
  <c r="X313" i="53"/>
  <c r="W313" i="53"/>
  <c r="V313" i="53"/>
  <c r="U313" i="53"/>
  <c r="T313" i="53"/>
  <c r="S313" i="53"/>
  <c r="R313" i="53"/>
  <c r="Q313" i="53"/>
  <c r="P313" i="53"/>
  <c r="O313" i="53"/>
  <c r="N313" i="53"/>
  <c r="M313" i="53"/>
  <c r="L313" i="53"/>
  <c r="K313" i="53"/>
  <c r="J313" i="53"/>
  <c r="I313" i="53"/>
  <c r="H313" i="53"/>
  <c r="G313" i="53"/>
  <c r="F313" i="53"/>
  <c r="E313" i="53"/>
  <c r="D313" i="53"/>
  <c r="C313" i="53"/>
  <c r="B313" i="53"/>
  <c r="AI312" i="53"/>
  <c r="AH312" i="53"/>
  <c r="AG312" i="53"/>
  <c r="AE312" i="53"/>
  <c r="AD312" i="53"/>
  <c r="AC312" i="53"/>
  <c r="AB312" i="53"/>
  <c r="AA312" i="53"/>
  <c r="Z312" i="53"/>
  <c r="Y312" i="53"/>
  <c r="X312" i="53"/>
  <c r="W312" i="53"/>
  <c r="V312" i="53"/>
  <c r="U312" i="53"/>
  <c r="T312" i="53"/>
  <c r="S312" i="53"/>
  <c r="R312" i="53"/>
  <c r="Q312" i="53"/>
  <c r="P312" i="53"/>
  <c r="O312" i="53"/>
  <c r="N312" i="53"/>
  <c r="M312" i="53"/>
  <c r="L312" i="53"/>
  <c r="K312" i="53"/>
  <c r="J312" i="53"/>
  <c r="I312" i="53"/>
  <c r="H312" i="53"/>
  <c r="G312" i="53"/>
  <c r="F312" i="53"/>
  <c r="E312" i="53"/>
  <c r="D312" i="53"/>
  <c r="C312" i="53"/>
  <c r="B312" i="53"/>
  <c r="AI311" i="53"/>
  <c r="AH311" i="53"/>
  <c r="AG311" i="53"/>
  <c r="AE311" i="53"/>
  <c r="AD311" i="53"/>
  <c r="AC311" i="53"/>
  <c r="AB311" i="53"/>
  <c r="AA311" i="53"/>
  <c r="Z311" i="53"/>
  <c r="Y311" i="53"/>
  <c r="X311" i="53"/>
  <c r="W311" i="53"/>
  <c r="V311" i="53"/>
  <c r="U311" i="53"/>
  <c r="T311" i="53"/>
  <c r="S311" i="53"/>
  <c r="R311" i="53"/>
  <c r="Q311" i="53"/>
  <c r="P311" i="53"/>
  <c r="O311" i="53"/>
  <c r="N311" i="53"/>
  <c r="M311" i="53"/>
  <c r="L311" i="53"/>
  <c r="K311" i="53"/>
  <c r="J311" i="53"/>
  <c r="I311" i="53"/>
  <c r="H311" i="53"/>
  <c r="G311" i="53"/>
  <c r="F311" i="53"/>
  <c r="E311" i="53"/>
  <c r="D311" i="53"/>
  <c r="C311" i="53"/>
  <c r="B311" i="53"/>
  <c r="AI310" i="53"/>
  <c r="AH310" i="53"/>
  <c r="AG310" i="53"/>
  <c r="AE310" i="53"/>
  <c r="AD310" i="53"/>
  <c r="AC310" i="53"/>
  <c r="AB310" i="53"/>
  <c r="AA310" i="53"/>
  <c r="Z310" i="53"/>
  <c r="Y310" i="53"/>
  <c r="X310" i="53"/>
  <c r="W310" i="53"/>
  <c r="V310" i="53"/>
  <c r="U310" i="53"/>
  <c r="T310" i="53"/>
  <c r="S310" i="53"/>
  <c r="R310" i="53"/>
  <c r="Q310" i="53"/>
  <c r="P310" i="53"/>
  <c r="O310" i="53"/>
  <c r="N310" i="53"/>
  <c r="M310" i="53"/>
  <c r="L310" i="53"/>
  <c r="K310" i="53"/>
  <c r="J310" i="53"/>
  <c r="I310" i="53"/>
  <c r="H310" i="53"/>
  <c r="G310" i="53"/>
  <c r="F310" i="53"/>
  <c r="E310" i="53"/>
  <c r="D310" i="53"/>
  <c r="C310" i="53"/>
  <c r="B310" i="53"/>
  <c r="AI309" i="53"/>
  <c r="AH309" i="53"/>
  <c r="AG309" i="53"/>
  <c r="AE309" i="53"/>
  <c r="AD309" i="53"/>
  <c r="AC309" i="53"/>
  <c r="AB309" i="53"/>
  <c r="AA309" i="53"/>
  <c r="Z309" i="53"/>
  <c r="Y309" i="53"/>
  <c r="X309" i="53"/>
  <c r="W309" i="53"/>
  <c r="V309" i="53"/>
  <c r="U309" i="53"/>
  <c r="T309" i="53"/>
  <c r="S309" i="53"/>
  <c r="R309" i="53"/>
  <c r="Q309" i="53"/>
  <c r="P309" i="53"/>
  <c r="O309" i="53"/>
  <c r="N309" i="53"/>
  <c r="M309" i="53"/>
  <c r="L309" i="53"/>
  <c r="K309" i="53"/>
  <c r="J309" i="53"/>
  <c r="I309" i="53"/>
  <c r="H309" i="53"/>
  <c r="G309" i="53"/>
  <c r="F309" i="53"/>
  <c r="E309" i="53"/>
  <c r="D309" i="53"/>
  <c r="C309" i="53"/>
  <c r="B309" i="53"/>
  <c r="AI308" i="53"/>
  <c r="AH308" i="53"/>
  <c r="AG308" i="53"/>
  <c r="AE308" i="53"/>
  <c r="AD308" i="53"/>
  <c r="AC308" i="53"/>
  <c r="AB308" i="53"/>
  <c r="AA308" i="53"/>
  <c r="Z308" i="53"/>
  <c r="Y308" i="53"/>
  <c r="X308" i="53"/>
  <c r="W308" i="53"/>
  <c r="V308" i="53"/>
  <c r="U308" i="53"/>
  <c r="T308" i="53"/>
  <c r="S308" i="53"/>
  <c r="R308" i="53"/>
  <c r="Q308" i="53"/>
  <c r="P308" i="53"/>
  <c r="O308" i="53"/>
  <c r="N308" i="53"/>
  <c r="M308" i="53"/>
  <c r="L308" i="53"/>
  <c r="K308" i="53"/>
  <c r="J308" i="53"/>
  <c r="I308" i="53"/>
  <c r="H308" i="53"/>
  <c r="G308" i="53"/>
  <c r="F308" i="53"/>
  <c r="E308" i="53"/>
  <c r="D308" i="53"/>
  <c r="C308" i="53"/>
  <c r="B308" i="53"/>
  <c r="AI307" i="53"/>
  <c r="AH307" i="53"/>
  <c r="AG307" i="53"/>
  <c r="AF307" i="53"/>
  <c r="AE307" i="53"/>
  <c r="AD307" i="53"/>
  <c r="AC307" i="53"/>
  <c r="AB307" i="53"/>
  <c r="AA307" i="53"/>
  <c r="Z307" i="53"/>
  <c r="Y307" i="53"/>
  <c r="X307" i="53"/>
  <c r="W307" i="53"/>
  <c r="V307" i="53"/>
  <c r="U307" i="53"/>
  <c r="T307" i="53"/>
  <c r="S307" i="53"/>
  <c r="R307" i="53"/>
  <c r="Q307" i="53"/>
  <c r="P307" i="53"/>
  <c r="O307" i="53"/>
  <c r="N307" i="53"/>
  <c r="M307" i="53"/>
  <c r="L307" i="53"/>
  <c r="K307" i="53"/>
  <c r="J307" i="53"/>
  <c r="I307" i="53"/>
  <c r="H307" i="53"/>
  <c r="G307" i="53"/>
  <c r="F307" i="53"/>
  <c r="E307" i="53"/>
  <c r="D307" i="53"/>
  <c r="C307" i="53"/>
  <c r="B307" i="53"/>
  <c r="AI306" i="53"/>
  <c r="AH306" i="53"/>
  <c r="AG306" i="53"/>
  <c r="AF306" i="53"/>
  <c r="AE306" i="53"/>
  <c r="AD306" i="53"/>
  <c r="AC306" i="53"/>
  <c r="AB306" i="53"/>
  <c r="AA306" i="53"/>
  <c r="Z306" i="53"/>
  <c r="Y306" i="53"/>
  <c r="X306" i="53"/>
  <c r="W306" i="53"/>
  <c r="V306" i="53"/>
  <c r="U306" i="53"/>
  <c r="T306" i="53"/>
  <c r="S306" i="53"/>
  <c r="R306" i="53"/>
  <c r="Q306" i="53"/>
  <c r="P306" i="53"/>
  <c r="O306" i="53"/>
  <c r="N306" i="53"/>
  <c r="M306" i="53"/>
  <c r="L306" i="53"/>
  <c r="K306" i="53"/>
  <c r="J306" i="53"/>
  <c r="I306" i="53"/>
  <c r="H306" i="53"/>
  <c r="G306" i="53"/>
  <c r="F306" i="53"/>
  <c r="E306" i="53"/>
  <c r="D306" i="53"/>
  <c r="C306" i="53"/>
  <c r="B306" i="53"/>
  <c r="AI305" i="53"/>
  <c r="AH305" i="53"/>
  <c r="AG305" i="53"/>
  <c r="AF305" i="53"/>
  <c r="AE305" i="53"/>
  <c r="AD305" i="53"/>
  <c r="AC305" i="53"/>
  <c r="AB305" i="53"/>
  <c r="AA305" i="53"/>
  <c r="Z305" i="53"/>
  <c r="Y305" i="53"/>
  <c r="X305" i="53"/>
  <c r="W305" i="53"/>
  <c r="V305" i="53"/>
  <c r="U305" i="53"/>
  <c r="T305" i="53"/>
  <c r="S305" i="53"/>
  <c r="R305" i="53"/>
  <c r="Q305" i="53"/>
  <c r="P305" i="53"/>
  <c r="O305" i="53"/>
  <c r="N305" i="53"/>
  <c r="M305" i="53"/>
  <c r="L305" i="53"/>
  <c r="K305" i="53"/>
  <c r="J305" i="53"/>
  <c r="I305" i="53"/>
  <c r="H305" i="53"/>
  <c r="G305" i="53"/>
  <c r="F305" i="53"/>
  <c r="E305" i="53"/>
  <c r="D305" i="53"/>
  <c r="C305" i="53"/>
  <c r="B305" i="53"/>
  <c r="AI304" i="53"/>
  <c r="AH304" i="53"/>
  <c r="AG304" i="53"/>
  <c r="AF304" i="53"/>
  <c r="AE304" i="53"/>
  <c r="AD304" i="53"/>
  <c r="AC304" i="53"/>
  <c r="AB304" i="53"/>
  <c r="AA304" i="53"/>
  <c r="Z304" i="53"/>
  <c r="Y304" i="53"/>
  <c r="X304" i="53"/>
  <c r="W304" i="53"/>
  <c r="V304" i="53"/>
  <c r="U304" i="53"/>
  <c r="T304" i="53"/>
  <c r="S304" i="53"/>
  <c r="R304" i="53"/>
  <c r="Q304" i="53"/>
  <c r="P304" i="53"/>
  <c r="O304" i="53"/>
  <c r="N304" i="53"/>
  <c r="M304" i="53"/>
  <c r="L304" i="53"/>
  <c r="K304" i="53"/>
  <c r="J304" i="53"/>
  <c r="I304" i="53"/>
  <c r="H304" i="53"/>
  <c r="G304" i="53"/>
  <c r="F304" i="53"/>
  <c r="E304" i="53"/>
  <c r="D304" i="53"/>
  <c r="C304" i="53"/>
  <c r="B304" i="53"/>
  <c r="AI303" i="53"/>
  <c r="AH303" i="53"/>
  <c r="AG303" i="53"/>
  <c r="AE303" i="53"/>
  <c r="AD303" i="53"/>
  <c r="AC303" i="53"/>
  <c r="AB303" i="53"/>
  <c r="AA303" i="53"/>
  <c r="Z303" i="53"/>
  <c r="Y303" i="53"/>
  <c r="X303" i="53"/>
  <c r="W303" i="53"/>
  <c r="V303" i="53"/>
  <c r="U303" i="53"/>
  <c r="T303" i="53"/>
  <c r="S303" i="53"/>
  <c r="R303" i="53"/>
  <c r="Q303" i="53"/>
  <c r="P303" i="53"/>
  <c r="O303" i="53"/>
  <c r="N303" i="53"/>
  <c r="M303" i="53"/>
  <c r="L303" i="53"/>
  <c r="K303" i="53"/>
  <c r="J303" i="53"/>
  <c r="I303" i="53"/>
  <c r="H303" i="53"/>
  <c r="G303" i="53"/>
  <c r="F303" i="53"/>
  <c r="E303" i="53"/>
  <c r="D303" i="53"/>
  <c r="C303" i="53"/>
  <c r="B303" i="53"/>
  <c r="AI302" i="53"/>
  <c r="AH302" i="53"/>
  <c r="AG302" i="53"/>
  <c r="AE302" i="53"/>
  <c r="AD302" i="53"/>
  <c r="AC302" i="53"/>
  <c r="AB302" i="53"/>
  <c r="AA302" i="53"/>
  <c r="Z302" i="53"/>
  <c r="Y302" i="53"/>
  <c r="X302" i="53"/>
  <c r="W302" i="53"/>
  <c r="V302" i="53"/>
  <c r="U302" i="53"/>
  <c r="T302" i="53"/>
  <c r="S302" i="53"/>
  <c r="R302" i="53"/>
  <c r="Q302" i="53"/>
  <c r="P302" i="53"/>
  <c r="O302" i="53"/>
  <c r="N302" i="53"/>
  <c r="M302" i="53"/>
  <c r="L302" i="53"/>
  <c r="K302" i="53"/>
  <c r="J302" i="53"/>
  <c r="I302" i="53"/>
  <c r="H302" i="53"/>
  <c r="G302" i="53"/>
  <c r="F302" i="53"/>
  <c r="E302" i="53"/>
  <c r="D302" i="53"/>
  <c r="C302" i="53"/>
  <c r="B302" i="53"/>
  <c r="AI301" i="53"/>
  <c r="AH301" i="53"/>
  <c r="AG301" i="53"/>
  <c r="AF301" i="53"/>
  <c r="AE301" i="53"/>
  <c r="AD301" i="53"/>
  <c r="AC301" i="53"/>
  <c r="AB301" i="53"/>
  <c r="AA301" i="53"/>
  <c r="Z301" i="53"/>
  <c r="Y301" i="53"/>
  <c r="X301" i="53"/>
  <c r="W301" i="53"/>
  <c r="V301" i="53"/>
  <c r="U301" i="53"/>
  <c r="T301" i="53"/>
  <c r="S301" i="53"/>
  <c r="R301" i="53"/>
  <c r="Q301" i="53"/>
  <c r="P301" i="53"/>
  <c r="O301" i="53"/>
  <c r="N301" i="53"/>
  <c r="M301" i="53"/>
  <c r="L301" i="53"/>
  <c r="K301" i="53"/>
  <c r="J301" i="53"/>
  <c r="I301" i="53"/>
  <c r="H301" i="53"/>
  <c r="G301" i="53"/>
  <c r="F301" i="53"/>
  <c r="E301" i="53"/>
  <c r="D301" i="53"/>
  <c r="C301" i="53"/>
  <c r="B301" i="53"/>
  <c r="AI300" i="53"/>
  <c r="AH300" i="53"/>
  <c r="AG300" i="53"/>
  <c r="AE300" i="53"/>
  <c r="AD300" i="53"/>
  <c r="AC300" i="53"/>
  <c r="AB300" i="53"/>
  <c r="AA300" i="53"/>
  <c r="Z300" i="53"/>
  <c r="Y300" i="53"/>
  <c r="X300" i="53"/>
  <c r="W300" i="53"/>
  <c r="V300" i="53"/>
  <c r="U300" i="53"/>
  <c r="T300" i="53"/>
  <c r="S300" i="53"/>
  <c r="R300" i="53"/>
  <c r="Q300" i="53"/>
  <c r="P300" i="53"/>
  <c r="O300" i="53"/>
  <c r="N300" i="53"/>
  <c r="M300" i="53"/>
  <c r="L300" i="53"/>
  <c r="K300" i="53"/>
  <c r="J300" i="53"/>
  <c r="I300" i="53"/>
  <c r="H300" i="53"/>
  <c r="G300" i="53"/>
  <c r="F300" i="53"/>
  <c r="E300" i="53"/>
  <c r="D300" i="53"/>
  <c r="C300" i="53"/>
  <c r="B300" i="53"/>
  <c r="AI299" i="53"/>
  <c r="AH299" i="53"/>
  <c r="AG299" i="53"/>
  <c r="AE299" i="53"/>
  <c r="AD299" i="53"/>
  <c r="AC299" i="53"/>
  <c r="AB299" i="53"/>
  <c r="AA299" i="53"/>
  <c r="Z299" i="53"/>
  <c r="Y299" i="53"/>
  <c r="X299" i="53"/>
  <c r="W299" i="53"/>
  <c r="V299" i="53"/>
  <c r="U299" i="53"/>
  <c r="T299" i="53"/>
  <c r="S299" i="53"/>
  <c r="R299" i="53"/>
  <c r="Q299" i="53"/>
  <c r="P299" i="53"/>
  <c r="O299" i="53"/>
  <c r="N299" i="53"/>
  <c r="M299" i="53"/>
  <c r="L299" i="53"/>
  <c r="K299" i="53"/>
  <c r="J299" i="53"/>
  <c r="I299" i="53"/>
  <c r="H299" i="53"/>
  <c r="G299" i="53"/>
  <c r="F299" i="53"/>
  <c r="E299" i="53"/>
  <c r="D299" i="53"/>
  <c r="C299" i="53"/>
  <c r="B299" i="53"/>
  <c r="AI298" i="53"/>
  <c r="AH298" i="53"/>
  <c r="AG298" i="53"/>
  <c r="AE298" i="53"/>
  <c r="AD298" i="53"/>
  <c r="AC298" i="53"/>
  <c r="AB298" i="53"/>
  <c r="AA298" i="53"/>
  <c r="Z298" i="53"/>
  <c r="Y298" i="53"/>
  <c r="X298" i="53"/>
  <c r="W298" i="53"/>
  <c r="V298" i="53"/>
  <c r="U298" i="53"/>
  <c r="T298" i="53"/>
  <c r="S298" i="53"/>
  <c r="R298" i="53"/>
  <c r="Q298" i="53"/>
  <c r="P298" i="53"/>
  <c r="O298" i="53"/>
  <c r="N298" i="53"/>
  <c r="M298" i="53"/>
  <c r="L298" i="53"/>
  <c r="K298" i="53"/>
  <c r="J298" i="53"/>
  <c r="I298" i="53"/>
  <c r="H298" i="53"/>
  <c r="G298" i="53"/>
  <c r="F298" i="53"/>
  <c r="E298" i="53"/>
  <c r="D298" i="53"/>
  <c r="C298" i="53"/>
  <c r="B298" i="53"/>
  <c r="AI297" i="53"/>
  <c r="AH297" i="53"/>
  <c r="AG297" i="53"/>
  <c r="AE297" i="53"/>
  <c r="AD297" i="53"/>
  <c r="AC297" i="53"/>
  <c r="AB297" i="53"/>
  <c r="AA297" i="53"/>
  <c r="Z297" i="53"/>
  <c r="Y297" i="53"/>
  <c r="X297" i="53"/>
  <c r="W297" i="53"/>
  <c r="V297" i="53"/>
  <c r="U297" i="53"/>
  <c r="T297" i="53"/>
  <c r="S297" i="53"/>
  <c r="R297" i="53"/>
  <c r="Q297" i="53"/>
  <c r="P297" i="53"/>
  <c r="O297" i="53"/>
  <c r="N297" i="53"/>
  <c r="M297" i="53"/>
  <c r="L297" i="53"/>
  <c r="K297" i="53"/>
  <c r="J297" i="53"/>
  <c r="I297" i="53"/>
  <c r="H297" i="53"/>
  <c r="G297" i="53"/>
  <c r="F297" i="53"/>
  <c r="E297" i="53"/>
  <c r="D297" i="53"/>
  <c r="C297" i="53"/>
  <c r="B297" i="53"/>
  <c r="AI296" i="53"/>
  <c r="AH296" i="53"/>
  <c r="AG296" i="53"/>
  <c r="AE296" i="53"/>
  <c r="AD296" i="53"/>
  <c r="AC296" i="53"/>
  <c r="AB296" i="53"/>
  <c r="AA296" i="53"/>
  <c r="Z296" i="53"/>
  <c r="Y296" i="53"/>
  <c r="X296" i="53"/>
  <c r="W296" i="53"/>
  <c r="V296" i="53"/>
  <c r="U296" i="53"/>
  <c r="T296" i="53"/>
  <c r="S296" i="53"/>
  <c r="R296" i="53"/>
  <c r="Q296" i="53"/>
  <c r="P296" i="53"/>
  <c r="O296" i="53"/>
  <c r="N296" i="53"/>
  <c r="M296" i="53"/>
  <c r="L296" i="53"/>
  <c r="K296" i="53"/>
  <c r="J296" i="53"/>
  <c r="I296" i="53"/>
  <c r="H296" i="53"/>
  <c r="G296" i="53"/>
  <c r="F296" i="53"/>
  <c r="E296" i="53"/>
  <c r="D296" i="53"/>
  <c r="C296" i="53"/>
  <c r="B296" i="53"/>
  <c r="AI295" i="53"/>
  <c r="AH295" i="53"/>
  <c r="AG295" i="53"/>
  <c r="AE295" i="53"/>
  <c r="AD295" i="53"/>
  <c r="AC295" i="53"/>
  <c r="AB295" i="53"/>
  <c r="AA295" i="53"/>
  <c r="Z295" i="53"/>
  <c r="Y295" i="53"/>
  <c r="X295" i="53"/>
  <c r="W295" i="53"/>
  <c r="V295" i="53"/>
  <c r="U295" i="53"/>
  <c r="T295" i="53"/>
  <c r="S295" i="53"/>
  <c r="R295" i="53"/>
  <c r="Q295" i="53"/>
  <c r="P295" i="53"/>
  <c r="O295" i="53"/>
  <c r="N295" i="53"/>
  <c r="M295" i="53"/>
  <c r="L295" i="53"/>
  <c r="K295" i="53"/>
  <c r="J295" i="53"/>
  <c r="I295" i="53"/>
  <c r="H295" i="53"/>
  <c r="G295" i="53"/>
  <c r="F295" i="53"/>
  <c r="E295" i="53"/>
  <c r="D295" i="53"/>
  <c r="C295" i="53"/>
  <c r="B295" i="53"/>
  <c r="AI294" i="53"/>
  <c r="AE294" i="53"/>
  <c r="AD294" i="53"/>
  <c r="W294" i="53"/>
  <c r="V294" i="53"/>
  <c r="C294" i="53"/>
  <c r="B294" i="53"/>
  <c r="AF293" i="53"/>
  <c r="AE293" i="53"/>
  <c r="AD293" i="53"/>
  <c r="AC293" i="53"/>
  <c r="AB293" i="53"/>
  <c r="AA293" i="53"/>
  <c r="Z293" i="53"/>
  <c r="Y293" i="53"/>
  <c r="X293" i="53"/>
  <c r="W293" i="53"/>
  <c r="V293" i="53"/>
  <c r="U293" i="53"/>
  <c r="T293" i="53"/>
  <c r="S293" i="53"/>
  <c r="R293" i="53"/>
  <c r="Q293" i="53"/>
  <c r="P293" i="53"/>
  <c r="O293" i="53"/>
  <c r="N293" i="53"/>
  <c r="M293" i="53"/>
  <c r="L293" i="53"/>
  <c r="K293" i="53"/>
  <c r="J293" i="53"/>
  <c r="I293" i="53"/>
  <c r="H293" i="53"/>
  <c r="G293" i="53"/>
  <c r="F293" i="53"/>
  <c r="E293" i="53"/>
  <c r="D293" i="53"/>
  <c r="C293" i="53"/>
  <c r="B293" i="53"/>
  <c r="B292" i="53"/>
  <c r="AI291" i="53"/>
  <c r="AH291" i="53"/>
  <c r="AG291" i="53"/>
  <c r="AF291" i="53"/>
  <c r="AE291" i="53"/>
  <c r="AD291" i="53"/>
  <c r="AC291" i="53"/>
  <c r="AB291" i="53"/>
  <c r="AA291" i="53"/>
  <c r="Z291" i="53"/>
  <c r="Y291" i="53"/>
  <c r="X291" i="53"/>
  <c r="W291" i="53"/>
  <c r="V291" i="53"/>
  <c r="U291" i="53"/>
  <c r="T291" i="53"/>
  <c r="S291" i="53"/>
  <c r="R291" i="53"/>
  <c r="Q291" i="53"/>
  <c r="P291" i="53"/>
  <c r="O291" i="53"/>
  <c r="N291" i="53"/>
  <c r="M291" i="53"/>
  <c r="L291" i="53"/>
  <c r="K291" i="53"/>
  <c r="J291" i="53"/>
  <c r="I291" i="53"/>
  <c r="H291" i="53"/>
  <c r="G291" i="53"/>
  <c r="F291" i="53"/>
  <c r="E291" i="53"/>
  <c r="D291" i="53"/>
  <c r="C291" i="53"/>
  <c r="B291" i="53"/>
  <c r="AI290" i="53"/>
  <c r="AH290" i="53"/>
  <c r="AG290" i="53"/>
  <c r="AF290" i="53"/>
  <c r="AE290" i="53"/>
  <c r="AD290" i="53"/>
  <c r="AC290" i="53"/>
  <c r="AB290" i="53"/>
  <c r="AA290" i="53"/>
  <c r="Z290" i="53"/>
  <c r="Y290" i="53"/>
  <c r="X290" i="53"/>
  <c r="W290" i="53"/>
  <c r="V290" i="53"/>
  <c r="U290" i="53"/>
  <c r="T290" i="53"/>
  <c r="S290" i="53"/>
  <c r="R290" i="53"/>
  <c r="Q290" i="53"/>
  <c r="P290" i="53"/>
  <c r="O290" i="53"/>
  <c r="N290" i="53"/>
  <c r="M290" i="53"/>
  <c r="L290" i="53"/>
  <c r="K290" i="53"/>
  <c r="J290" i="53"/>
  <c r="I290" i="53"/>
  <c r="H290" i="53"/>
  <c r="G290" i="53"/>
  <c r="F290" i="53"/>
  <c r="E290" i="53"/>
  <c r="D290" i="53"/>
  <c r="C290" i="53"/>
  <c r="B290" i="53"/>
  <c r="AI289" i="53"/>
  <c r="AH289" i="53"/>
  <c r="AG289" i="53"/>
  <c r="AE289" i="53"/>
  <c r="AD289" i="53"/>
  <c r="AC289" i="53"/>
  <c r="AB289" i="53"/>
  <c r="AA289" i="53"/>
  <c r="Z289" i="53"/>
  <c r="Y289" i="53"/>
  <c r="X289" i="53"/>
  <c r="W289" i="53"/>
  <c r="V289" i="53"/>
  <c r="U289" i="53"/>
  <c r="T289" i="53"/>
  <c r="S289" i="53"/>
  <c r="R289" i="53"/>
  <c r="Q289" i="53"/>
  <c r="P289" i="53"/>
  <c r="O289" i="53"/>
  <c r="N289" i="53"/>
  <c r="M289" i="53"/>
  <c r="L289" i="53"/>
  <c r="K289" i="53"/>
  <c r="J289" i="53"/>
  <c r="I289" i="53"/>
  <c r="H289" i="53"/>
  <c r="G289" i="53"/>
  <c r="F289" i="53"/>
  <c r="E289" i="53"/>
  <c r="D289" i="53"/>
  <c r="C289" i="53"/>
  <c r="B289" i="53"/>
  <c r="AI288" i="53"/>
  <c r="AH288" i="53"/>
  <c r="AG288" i="53"/>
  <c r="AE288" i="53"/>
  <c r="AD288" i="53"/>
  <c r="AC288" i="53"/>
  <c r="AB288" i="53"/>
  <c r="AA288" i="53"/>
  <c r="Z288" i="53"/>
  <c r="Y288" i="53"/>
  <c r="X288" i="53"/>
  <c r="W288" i="53"/>
  <c r="V288" i="53"/>
  <c r="U288" i="53"/>
  <c r="T288" i="53"/>
  <c r="S288" i="53"/>
  <c r="R288" i="53"/>
  <c r="Q288" i="53"/>
  <c r="P288" i="53"/>
  <c r="O288" i="53"/>
  <c r="N288" i="53"/>
  <c r="M288" i="53"/>
  <c r="L288" i="53"/>
  <c r="K288" i="53"/>
  <c r="J288" i="53"/>
  <c r="I288" i="53"/>
  <c r="H288" i="53"/>
  <c r="G288" i="53"/>
  <c r="F288" i="53"/>
  <c r="E288" i="53"/>
  <c r="D288" i="53"/>
  <c r="C288" i="53"/>
  <c r="B288" i="53"/>
  <c r="AI287" i="53"/>
  <c r="AH287" i="53"/>
  <c r="AG287" i="53"/>
  <c r="AE287" i="53"/>
  <c r="AD287" i="53"/>
  <c r="AC287" i="53"/>
  <c r="AB287" i="53"/>
  <c r="AA287" i="53"/>
  <c r="Z287" i="53"/>
  <c r="Y287" i="53"/>
  <c r="X287" i="53"/>
  <c r="W287" i="53"/>
  <c r="V287" i="53"/>
  <c r="U287" i="53"/>
  <c r="T287" i="53"/>
  <c r="S287" i="53"/>
  <c r="R287" i="53"/>
  <c r="Q287" i="53"/>
  <c r="P287" i="53"/>
  <c r="O287" i="53"/>
  <c r="N287" i="53"/>
  <c r="M287" i="53"/>
  <c r="L287" i="53"/>
  <c r="K287" i="53"/>
  <c r="J287" i="53"/>
  <c r="I287" i="53"/>
  <c r="H287" i="53"/>
  <c r="G287" i="53"/>
  <c r="F287" i="53"/>
  <c r="E287" i="53"/>
  <c r="D287" i="53"/>
  <c r="C287" i="53"/>
  <c r="B287" i="53"/>
  <c r="AI286" i="53"/>
  <c r="AH286" i="53"/>
  <c r="AG286" i="53"/>
  <c r="AE286" i="53"/>
  <c r="AD286" i="53"/>
  <c r="AC286" i="53"/>
  <c r="AB286" i="53"/>
  <c r="AA286" i="53"/>
  <c r="Z286" i="53"/>
  <c r="Y286" i="53"/>
  <c r="X286" i="53"/>
  <c r="W286" i="53"/>
  <c r="V286" i="53"/>
  <c r="U286" i="53"/>
  <c r="T286" i="53"/>
  <c r="S286" i="53"/>
  <c r="R286" i="53"/>
  <c r="Q286" i="53"/>
  <c r="P286" i="53"/>
  <c r="O286" i="53"/>
  <c r="N286" i="53"/>
  <c r="M286" i="53"/>
  <c r="L286" i="53"/>
  <c r="K286" i="53"/>
  <c r="J286" i="53"/>
  <c r="I286" i="53"/>
  <c r="H286" i="53"/>
  <c r="G286" i="53"/>
  <c r="F286" i="53"/>
  <c r="E286" i="53"/>
  <c r="D286" i="53"/>
  <c r="C286" i="53"/>
  <c r="B286" i="53"/>
  <c r="AI285" i="53"/>
  <c r="AH285" i="53"/>
  <c r="AG285" i="53"/>
  <c r="AF285" i="53"/>
  <c r="AE285" i="53"/>
  <c r="AD285" i="53"/>
  <c r="AC285" i="53"/>
  <c r="AB285" i="53"/>
  <c r="AA285" i="53"/>
  <c r="Z285" i="53"/>
  <c r="Y285" i="53"/>
  <c r="X285" i="53"/>
  <c r="W285" i="53"/>
  <c r="V285" i="53"/>
  <c r="U285" i="53"/>
  <c r="T285" i="53"/>
  <c r="S285" i="53"/>
  <c r="R285" i="53"/>
  <c r="Q285" i="53"/>
  <c r="P285" i="53"/>
  <c r="O285" i="53"/>
  <c r="N285" i="53"/>
  <c r="M285" i="53"/>
  <c r="L285" i="53"/>
  <c r="K285" i="53"/>
  <c r="J285" i="53"/>
  <c r="I285" i="53"/>
  <c r="H285" i="53"/>
  <c r="G285" i="53"/>
  <c r="F285" i="53"/>
  <c r="E285" i="53"/>
  <c r="D285" i="53"/>
  <c r="C285" i="53"/>
  <c r="B285" i="53"/>
  <c r="AI284" i="53"/>
  <c r="AH284" i="53"/>
  <c r="AG284" i="53"/>
  <c r="AE284" i="53"/>
  <c r="AD284" i="53"/>
  <c r="AC284" i="53"/>
  <c r="AB284" i="53"/>
  <c r="AA284" i="53"/>
  <c r="Z284" i="53"/>
  <c r="Y284" i="53"/>
  <c r="X284" i="53"/>
  <c r="W284" i="53"/>
  <c r="V284" i="53"/>
  <c r="U284" i="53"/>
  <c r="T284" i="53"/>
  <c r="S284" i="53"/>
  <c r="R284" i="53"/>
  <c r="Q284" i="53"/>
  <c r="P284" i="53"/>
  <c r="O284" i="53"/>
  <c r="N284" i="53"/>
  <c r="M284" i="53"/>
  <c r="L284" i="53"/>
  <c r="K284" i="53"/>
  <c r="J284" i="53"/>
  <c r="I284" i="53"/>
  <c r="H284" i="53"/>
  <c r="G284" i="53"/>
  <c r="F284" i="53"/>
  <c r="E284" i="53"/>
  <c r="D284" i="53"/>
  <c r="C284" i="53"/>
  <c r="B284" i="53"/>
  <c r="AI283" i="53"/>
  <c r="AH283" i="53"/>
  <c r="AG283" i="53"/>
  <c r="AF283" i="53"/>
  <c r="AE283" i="53"/>
  <c r="AD283" i="53"/>
  <c r="AC283" i="53"/>
  <c r="AB283" i="53"/>
  <c r="AA283" i="53"/>
  <c r="Z283" i="53"/>
  <c r="Y283" i="53"/>
  <c r="X283" i="53"/>
  <c r="W283" i="53"/>
  <c r="V283" i="53"/>
  <c r="U283" i="53"/>
  <c r="T283" i="53"/>
  <c r="S283" i="53"/>
  <c r="R283" i="53"/>
  <c r="Q283" i="53"/>
  <c r="P283" i="53"/>
  <c r="O283" i="53"/>
  <c r="N283" i="53"/>
  <c r="M283" i="53"/>
  <c r="L283" i="53"/>
  <c r="K283" i="53"/>
  <c r="J283" i="53"/>
  <c r="I283" i="53"/>
  <c r="H283" i="53"/>
  <c r="G283" i="53"/>
  <c r="F283" i="53"/>
  <c r="E283" i="53"/>
  <c r="D283" i="53"/>
  <c r="C283" i="53"/>
  <c r="B283" i="53"/>
  <c r="AI282" i="53"/>
  <c r="AH282" i="53"/>
  <c r="AG282" i="53"/>
  <c r="AF282" i="53"/>
  <c r="AE282" i="53"/>
  <c r="AD282" i="53"/>
  <c r="AC282" i="53"/>
  <c r="AB282" i="53"/>
  <c r="AA282" i="53"/>
  <c r="Z282" i="53"/>
  <c r="Y282" i="53"/>
  <c r="X282" i="53"/>
  <c r="W282" i="53"/>
  <c r="V282" i="53"/>
  <c r="U282" i="53"/>
  <c r="T282" i="53"/>
  <c r="S282" i="53"/>
  <c r="R282" i="53"/>
  <c r="Q282" i="53"/>
  <c r="P282" i="53"/>
  <c r="O282" i="53"/>
  <c r="N282" i="53"/>
  <c r="M282" i="53"/>
  <c r="L282" i="53"/>
  <c r="K282" i="53"/>
  <c r="J282" i="53"/>
  <c r="I282" i="53"/>
  <c r="H282" i="53"/>
  <c r="G282" i="53"/>
  <c r="F282" i="53"/>
  <c r="E282" i="53"/>
  <c r="D282" i="53"/>
  <c r="C282" i="53"/>
  <c r="B282" i="53"/>
  <c r="AI281" i="53"/>
  <c r="AH281" i="53"/>
  <c r="AG281" i="53"/>
  <c r="AF281" i="53"/>
  <c r="AE281" i="53"/>
  <c r="AD281" i="53"/>
  <c r="AC281" i="53"/>
  <c r="AB281" i="53"/>
  <c r="AA281" i="53"/>
  <c r="Z281" i="53"/>
  <c r="Y281" i="53"/>
  <c r="X281" i="53"/>
  <c r="W281" i="53"/>
  <c r="V281" i="53"/>
  <c r="U281" i="53"/>
  <c r="T281" i="53"/>
  <c r="S281" i="53"/>
  <c r="R281" i="53"/>
  <c r="Q281" i="53"/>
  <c r="P281" i="53"/>
  <c r="O281" i="53"/>
  <c r="N281" i="53"/>
  <c r="M281" i="53"/>
  <c r="L281" i="53"/>
  <c r="K281" i="53"/>
  <c r="J281" i="53"/>
  <c r="I281" i="53"/>
  <c r="H281" i="53"/>
  <c r="G281" i="53"/>
  <c r="F281" i="53"/>
  <c r="E281" i="53"/>
  <c r="D281" i="53"/>
  <c r="C281" i="53"/>
  <c r="B281" i="53"/>
  <c r="AI280" i="53"/>
  <c r="AH280" i="53"/>
  <c r="AG280" i="53"/>
  <c r="AF280" i="53"/>
  <c r="AE280" i="53"/>
  <c r="AD280" i="53"/>
  <c r="AC280" i="53"/>
  <c r="AB280" i="53"/>
  <c r="AA280" i="53"/>
  <c r="Z280" i="53"/>
  <c r="Y280" i="53"/>
  <c r="X280" i="53"/>
  <c r="W280" i="53"/>
  <c r="V280" i="53"/>
  <c r="U280" i="53"/>
  <c r="T280" i="53"/>
  <c r="S280" i="53"/>
  <c r="R280" i="53"/>
  <c r="Q280" i="53"/>
  <c r="P280" i="53"/>
  <c r="O280" i="53"/>
  <c r="N280" i="53"/>
  <c r="M280" i="53"/>
  <c r="L280" i="53"/>
  <c r="K280" i="53"/>
  <c r="J280" i="53"/>
  <c r="I280" i="53"/>
  <c r="H280" i="53"/>
  <c r="G280" i="53"/>
  <c r="F280" i="53"/>
  <c r="E280" i="53"/>
  <c r="D280" i="53"/>
  <c r="C280" i="53"/>
  <c r="B280" i="53"/>
  <c r="AI279" i="53"/>
  <c r="AH279" i="53"/>
  <c r="AG279" i="53"/>
  <c r="AF279" i="53"/>
  <c r="AE279" i="53"/>
  <c r="AD279" i="53"/>
  <c r="AC279" i="53"/>
  <c r="AB279" i="53"/>
  <c r="AA279" i="53"/>
  <c r="Z279" i="53"/>
  <c r="Y279" i="53"/>
  <c r="X279" i="53"/>
  <c r="W279" i="53"/>
  <c r="V279" i="53"/>
  <c r="U279" i="53"/>
  <c r="T279" i="53"/>
  <c r="S279" i="53"/>
  <c r="R279" i="53"/>
  <c r="Q279" i="53"/>
  <c r="P279" i="53"/>
  <c r="O279" i="53"/>
  <c r="N279" i="53"/>
  <c r="M279" i="53"/>
  <c r="L279" i="53"/>
  <c r="K279" i="53"/>
  <c r="J279" i="53"/>
  <c r="I279" i="53"/>
  <c r="H279" i="53"/>
  <c r="G279" i="53"/>
  <c r="F279" i="53"/>
  <c r="E279" i="53"/>
  <c r="D279" i="53"/>
  <c r="C279" i="53"/>
  <c r="B279" i="53"/>
  <c r="AI278" i="53"/>
  <c r="AE278" i="53"/>
  <c r="AD278" i="53"/>
  <c r="Y278" i="53"/>
  <c r="W278" i="53"/>
  <c r="V278" i="53"/>
  <c r="C278" i="53"/>
  <c r="B278" i="53"/>
  <c r="AF277" i="53"/>
  <c r="AE277" i="53"/>
  <c r="AD277" i="53"/>
  <c r="AC277" i="53"/>
  <c r="AB277" i="53"/>
  <c r="AA277" i="53"/>
  <c r="Z277" i="53"/>
  <c r="Y277" i="53"/>
  <c r="X277" i="53"/>
  <c r="W277" i="53"/>
  <c r="V277" i="53"/>
  <c r="U277" i="53"/>
  <c r="T277" i="53"/>
  <c r="S277" i="53"/>
  <c r="R277" i="53"/>
  <c r="Q277" i="53"/>
  <c r="P277" i="53"/>
  <c r="O277" i="53"/>
  <c r="N277" i="53"/>
  <c r="M277" i="53"/>
  <c r="L277" i="53"/>
  <c r="K277" i="53"/>
  <c r="J277" i="53"/>
  <c r="I277" i="53"/>
  <c r="H277" i="53"/>
  <c r="G277" i="53"/>
  <c r="F277" i="53"/>
  <c r="E277" i="53"/>
  <c r="D277" i="53"/>
  <c r="C277" i="53"/>
  <c r="B277" i="53"/>
  <c r="B276" i="53"/>
  <c r="AI275" i="53"/>
  <c r="AH275" i="53"/>
  <c r="AG275" i="53"/>
  <c r="AF275" i="53"/>
  <c r="AE275" i="53"/>
  <c r="AD275" i="53"/>
  <c r="AC275" i="53"/>
  <c r="AB275" i="53"/>
  <c r="AA275" i="53"/>
  <c r="Z275" i="53"/>
  <c r="Y275" i="53"/>
  <c r="X275" i="53"/>
  <c r="W275" i="53"/>
  <c r="V275" i="53"/>
  <c r="U275" i="53"/>
  <c r="T275" i="53"/>
  <c r="S275" i="53"/>
  <c r="R275" i="53"/>
  <c r="Q275" i="53"/>
  <c r="P275" i="53"/>
  <c r="O275" i="53"/>
  <c r="N275" i="53"/>
  <c r="M275" i="53"/>
  <c r="L275" i="53"/>
  <c r="K275" i="53"/>
  <c r="J275" i="53"/>
  <c r="I275" i="53"/>
  <c r="H275" i="53"/>
  <c r="G275" i="53"/>
  <c r="F275" i="53"/>
  <c r="E275" i="53"/>
  <c r="D275" i="53"/>
  <c r="C275" i="53"/>
  <c r="B275" i="53"/>
  <c r="AI274" i="53"/>
  <c r="AH274" i="53"/>
  <c r="AG274" i="53"/>
  <c r="AF274" i="53"/>
  <c r="AE274" i="53"/>
  <c r="AD274" i="53"/>
  <c r="AC274" i="53"/>
  <c r="AB274" i="53"/>
  <c r="AA274" i="53"/>
  <c r="Z274" i="53"/>
  <c r="Y274" i="53"/>
  <c r="X274" i="53"/>
  <c r="W274" i="53"/>
  <c r="V274" i="53"/>
  <c r="U274" i="53"/>
  <c r="T274" i="53"/>
  <c r="S274" i="53"/>
  <c r="R274" i="53"/>
  <c r="Q274" i="53"/>
  <c r="P274" i="53"/>
  <c r="O274" i="53"/>
  <c r="N274" i="53"/>
  <c r="M274" i="53"/>
  <c r="L274" i="53"/>
  <c r="K274" i="53"/>
  <c r="J274" i="53"/>
  <c r="I274" i="53"/>
  <c r="H274" i="53"/>
  <c r="G274" i="53"/>
  <c r="F274" i="53"/>
  <c r="E274" i="53"/>
  <c r="D274" i="53"/>
  <c r="C274" i="53"/>
  <c r="B274" i="53"/>
  <c r="AI273" i="53"/>
  <c r="AH273" i="53"/>
  <c r="AG273" i="53"/>
  <c r="AE273" i="53"/>
  <c r="AD273" i="53"/>
  <c r="Y273" i="53"/>
  <c r="X273" i="53"/>
  <c r="W273" i="53"/>
  <c r="V273" i="53"/>
  <c r="U273" i="53"/>
  <c r="T273" i="53"/>
  <c r="S273" i="53"/>
  <c r="R273" i="53"/>
  <c r="Q273" i="53"/>
  <c r="P273" i="53"/>
  <c r="O273" i="53"/>
  <c r="N273" i="53"/>
  <c r="M273" i="53"/>
  <c r="L273" i="53"/>
  <c r="K273" i="53"/>
  <c r="J273" i="53"/>
  <c r="I273" i="53"/>
  <c r="H273" i="53"/>
  <c r="G273" i="53"/>
  <c r="F273" i="53"/>
  <c r="E273" i="53"/>
  <c r="D273" i="53"/>
  <c r="C273" i="53"/>
  <c r="B273" i="53"/>
  <c r="AI272" i="53"/>
  <c r="AE272" i="53"/>
  <c r="AD272" i="53"/>
  <c r="Y272" i="53"/>
  <c r="W272" i="53"/>
  <c r="V272" i="53"/>
  <c r="C272" i="53"/>
  <c r="B272" i="53"/>
  <c r="AI271" i="53"/>
  <c r="AH271" i="53"/>
  <c r="AG271" i="53"/>
  <c r="AE271" i="53"/>
  <c r="AD271" i="53"/>
  <c r="Y271" i="53"/>
  <c r="X271" i="53"/>
  <c r="W271" i="53"/>
  <c r="V271" i="53"/>
  <c r="U271" i="53"/>
  <c r="T271" i="53"/>
  <c r="S271" i="53"/>
  <c r="R271" i="53"/>
  <c r="Q271" i="53"/>
  <c r="P271" i="53"/>
  <c r="O271" i="53"/>
  <c r="N271" i="53"/>
  <c r="M271" i="53"/>
  <c r="L271" i="53"/>
  <c r="K271" i="53"/>
  <c r="J271" i="53"/>
  <c r="I271" i="53"/>
  <c r="H271" i="53"/>
  <c r="G271" i="53"/>
  <c r="F271" i="53"/>
  <c r="E271" i="53"/>
  <c r="D271" i="53"/>
  <c r="C271" i="53"/>
  <c r="B271" i="53"/>
  <c r="AI270" i="53"/>
  <c r="AH270" i="53"/>
  <c r="AG270" i="53"/>
  <c r="AE270" i="53"/>
  <c r="AD270" i="53"/>
  <c r="Y270" i="53"/>
  <c r="X270" i="53"/>
  <c r="W270" i="53"/>
  <c r="V270" i="53"/>
  <c r="U270" i="53"/>
  <c r="T270" i="53"/>
  <c r="S270" i="53"/>
  <c r="R270" i="53"/>
  <c r="Q270" i="53"/>
  <c r="P270" i="53"/>
  <c r="O270" i="53"/>
  <c r="N270" i="53"/>
  <c r="M270" i="53"/>
  <c r="L270" i="53"/>
  <c r="K270" i="53"/>
  <c r="J270" i="53"/>
  <c r="I270" i="53"/>
  <c r="H270" i="53"/>
  <c r="G270" i="53"/>
  <c r="F270" i="53"/>
  <c r="E270" i="53"/>
  <c r="D270" i="53"/>
  <c r="C270" i="53"/>
  <c r="B270" i="53"/>
  <c r="AI269" i="53"/>
  <c r="AH269" i="53"/>
  <c r="AG269" i="53"/>
  <c r="AE269" i="53"/>
  <c r="AD269" i="53"/>
  <c r="Y269" i="53"/>
  <c r="X269" i="53"/>
  <c r="W269" i="53"/>
  <c r="V269" i="53"/>
  <c r="U269" i="53"/>
  <c r="T269" i="53"/>
  <c r="S269" i="53"/>
  <c r="R269" i="53"/>
  <c r="Q269" i="53"/>
  <c r="P269" i="53"/>
  <c r="O269" i="53"/>
  <c r="N269" i="53"/>
  <c r="M269" i="53"/>
  <c r="L269" i="53"/>
  <c r="K269" i="53"/>
  <c r="J269" i="53"/>
  <c r="I269" i="53"/>
  <c r="H269" i="53"/>
  <c r="G269" i="53"/>
  <c r="F269" i="53"/>
  <c r="E269" i="53"/>
  <c r="D269" i="53"/>
  <c r="C269" i="53"/>
  <c r="B269" i="53"/>
  <c r="AI268" i="53"/>
  <c r="AE268" i="53"/>
  <c r="AD268" i="53"/>
  <c r="Y268" i="53"/>
  <c r="W268" i="53"/>
  <c r="V268" i="53"/>
  <c r="C268" i="53"/>
  <c r="B268" i="53"/>
  <c r="AI267" i="53"/>
  <c r="AE267" i="53"/>
  <c r="AD267" i="53"/>
  <c r="K267" i="53"/>
  <c r="C267" i="53"/>
  <c r="B267" i="53"/>
  <c r="AI266" i="53"/>
  <c r="AE266" i="53"/>
  <c r="AD266" i="53"/>
  <c r="Q266" i="53"/>
  <c r="P266" i="53"/>
  <c r="O266" i="53"/>
  <c r="N266" i="53"/>
  <c r="M266" i="53"/>
  <c r="L266" i="53"/>
  <c r="K266" i="53"/>
  <c r="C266" i="53"/>
  <c r="B266" i="53"/>
  <c r="AI265" i="53"/>
  <c r="AE265" i="53"/>
  <c r="AD265" i="53"/>
  <c r="K265" i="53"/>
  <c r="C265" i="53"/>
  <c r="B265" i="53"/>
  <c r="AF264" i="53"/>
  <c r="AE264" i="53"/>
  <c r="AD264" i="53"/>
  <c r="AC264" i="53"/>
  <c r="AB264" i="53"/>
  <c r="AA264" i="53"/>
  <c r="Z264" i="53"/>
  <c r="Y264" i="53"/>
  <c r="X264" i="53"/>
  <c r="W264" i="53"/>
  <c r="V264" i="53"/>
  <c r="U264" i="53"/>
  <c r="T264" i="53"/>
  <c r="S264" i="53"/>
  <c r="R264" i="53"/>
  <c r="Q264" i="53"/>
  <c r="P264" i="53"/>
  <c r="O264" i="53"/>
  <c r="N264" i="53"/>
  <c r="M264" i="53"/>
  <c r="L264" i="53"/>
  <c r="K264" i="53"/>
  <c r="J264" i="53"/>
  <c r="I264" i="53"/>
  <c r="H264" i="53"/>
  <c r="G264" i="53"/>
  <c r="F264" i="53"/>
  <c r="E264" i="53"/>
  <c r="D264" i="53"/>
  <c r="C264" i="53"/>
  <c r="B264" i="53"/>
  <c r="B263" i="53"/>
  <c r="AI262" i="53"/>
  <c r="AH262" i="53"/>
  <c r="AG262" i="53"/>
  <c r="AF262" i="53"/>
  <c r="AE262" i="53"/>
  <c r="AD262" i="53"/>
  <c r="AC262" i="53"/>
  <c r="AB262" i="53"/>
  <c r="AA262" i="53"/>
  <c r="Z262" i="53"/>
  <c r="Y262" i="53"/>
  <c r="X262" i="53"/>
  <c r="W262" i="53"/>
  <c r="V262" i="53"/>
  <c r="U262" i="53"/>
  <c r="T262" i="53"/>
  <c r="S262" i="53"/>
  <c r="R262" i="53"/>
  <c r="Q262" i="53"/>
  <c r="P262" i="53"/>
  <c r="O262" i="53"/>
  <c r="N262" i="53"/>
  <c r="M262" i="53"/>
  <c r="L262" i="53"/>
  <c r="K262" i="53"/>
  <c r="J262" i="53"/>
  <c r="I262" i="53"/>
  <c r="H262" i="53"/>
  <c r="G262" i="53"/>
  <c r="F262" i="53"/>
  <c r="E262" i="53"/>
  <c r="D262" i="53"/>
  <c r="C262" i="53"/>
  <c r="B262" i="53"/>
  <c r="AI261" i="53"/>
  <c r="AH261" i="53"/>
  <c r="AG261" i="53"/>
  <c r="AF261" i="53"/>
  <c r="AE261" i="53"/>
  <c r="AD261" i="53"/>
  <c r="AC261" i="53"/>
  <c r="AB261" i="53"/>
  <c r="AA261" i="53"/>
  <c r="Z261" i="53"/>
  <c r="Y261" i="53"/>
  <c r="X261" i="53"/>
  <c r="W261" i="53"/>
  <c r="V261" i="53"/>
  <c r="U261" i="53"/>
  <c r="T261" i="53"/>
  <c r="S261" i="53"/>
  <c r="R261" i="53"/>
  <c r="Q261" i="53"/>
  <c r="P261" i="53"/>
  <c r="O261" i="53"/>
  <c r="N261" i="53"/>
  <c r="M261" i="53"/>
  <c r="L261" i="53"/>
  <c r="K261" i="53"/>
  <c r="J261" i="53"/>
  <c r="I261" i="53"/>
  <c r="H261" i="53"/>
  <c r="G261" i="53"/>
  <c r="F261" i="53"/>
  <c r="E261" i="53"/>
  <c r="D261" i="53"/>
  <c r="C261" i="53"/>
  <c r="B261" i="53"/>
  <c r="B259" i="53"/>
  <c r="AI258" i="53"/>
  <c r="AH258" i="53"/>
  <c r="AG258" i="53"/>
  <c r="AF258" i="53"/>
  <c r="AE258" i="53"/>
  <c r="AD258" i="53"/>
  <c r="AC258" i="53"/>
  <c r="AB258" i="53"/>
  <c r="AA258" i="53"/>
  <c r="Z258" i="53"/>
  <c r="Y258" i="53"/>
  <c r="X258" i="53"/>
  <c r="W258" i="53"/>
  <c r="V258" i="53"/>
  <c r="U258" i="53"/>
  <c r="T258" i="53"/>
  <c r="S258" i="53"/>
  <c r="R258" i="53"/>
  <c r="Q258" i="53"/>
  <c r="P258" i="53"/>
  <c r="O258" i="53"/>
  <c r="N258" i="53"/>
  <c r="M258" i="53"/>
  <c r="L258" i="53"/>
  <c r="K258" i="53"/>
  <c r="J258" i="53"/>
  <c r="I258" i="53"/>
  <c r="H258" i="53"/>
  <c r="G258" i="53"/>
  <c r="F258" i="53"/>
  <c r="E258" i="53"/>
  <c r="D258" i="53"/>
  <c r="C258" i="53"/>
  <c r="B258" i="53"/>
  <c r="AI257" i="53"/>
  <c r="AE257" i="53"/>
  <c r="AD257" i="53"/>
  <c r="X257" i="53"/>
  <c r="W257" i="53"/>
  <c r="C257" i="53"/>
  <c r="B257" i="53"/>
  <c r="AI256" i="53"/>
  <c r="AH256" i="53"/>
  <c r="AG256" i="53"/>
  <c r="AE256" i="53"/>
  <c r="AD256" i="53"/>
  <c r="AC256" i="53"/>
  <c r="AB256" i="53"/>
  <c r="AA256" i="53"/>
  <c r="Z256" i="53"/>
  <c r="Y256" i="53"/>
  <c r="X256" i="53"/>
  <c r="W256" i="53"/>
  <c r="V256" i="53"/>
  <c r="U256" i="53"/>
  <c r="T256" i="53"/>
  <c r="R256" i="53"/>
  <c r="Q256" i="53"/>
  <c r="P256" i="53"/>
  <c r="O256" i="53"/>
  <c r="N256" i="53"/>
  <c r="M256" i="53"/>
  <c r="L256" i="53"/>
  <c r="K256" i="53"/>
  <c r="J256" i="53"/>
  <c r="I256" i="53"/>
  <c r="H256" i="53"/>
  <c r="G256" i="53"/>
  <c r="F256" i="53"/>
  <c r="E256" i="53"/>
  <c r="D256" i="53"/>
  <c r="C256" i="53"/>
  <c r="B256" i="53"/>
  <c r="AI255" i="53"/>
  <c r="AH255" i="53"/>
  <c r="AG255" i="53"/>
  <c r="AF255" i="53"/>
  <c r="AE255" i="53"/>
  <c r="AD255" i="53"/>
  <c r="AC255" i="53"/>
  <c r="AB255" i="53"/>
  <c r="AA255" i="53"/>
  <c r="Z255" i="53"/>
  <c r="Y255" i="53"/>
  <c r="X255" i="53"/>
  <c r="W255" i="53"/>
  <c r="V255" i="53"/>
  <c r="U255" i="53"/>
  <c r="T255" i="53"/>
  <c r="S255" i="53"/>
  <c r="R255" i="53"/>
  <c r="Q255" i="53"/>
  <c r="P255" i="53"/>
  <c r="O255" i="53"/>
  <c r="N255" i="53"/>
  <c r="M255" i="53"/>
  <c r="L255" i="53"/>
  <c r="K255" i="53"/>
  <c r="J255" i="53"/>
  <c r="I255" i="53"/>
  <c r="H255" i="53"/>
  <c r="G255" i="53"/>
  <c r="F255" i="53"/>
  <c r="E255" i="53"/>
  <c r="D255" i="53"/>
  <c r="C255" i="53"/>
  <c r="B255" i="53"/>
  <c r="AI254" i="53"/>
  <c r="AH254" i="53"/>
  <c r="AG254" i="53"/>
  <c r="AE254" i="53"/>
  <c r="AD254" i="53"/>
  <c r="AC254" i="53"/>
  <c r="AB254" i="53"/>
  <c r="AA254" i="53"/>
  <c r="Z254" i="53"/>
  <c r="Y254" i="53"/>
  <c r="X254" i="53"/>
  <c r="W254" i="53"/>
  <c r="V254" i="53"/>
  <c r="U254" i="53"/>
  <c r="T254" i="53"/>
  <c r="R254" i="53"/>
  <c r="Q254" i="53"/>
  <c r="P254" i="53"/>
  <c r="O254" i="53"/>
  <c r="N254" i="53"/>
  <c r="M254" i="53"/>
  <c r="L254" i="53"/>
  <c r="K254" i="53"/>
  <c r="J254" i="53"/>
  <c r="I254" i="53"/>
  <c r="H254" i="53"/>
  <c r="G254" i="53"/>
  <c r="F254" i="53"/>
  <c r="E254" i="53"/>
  <c r="D254" i="53"/>
  <c r="C254" i="53"/>
  <c r="B254" i="53"/>
  <c r="AI253" i="53"/>
  <c r="AH253" i="53"/>
  <c r="AG253" i="53"/>
  <c r="AF253" i="53"/>
  <c r="AE253" i="53"/>
  <c r="AD253" i="53"/>
  <c r="AC253" i="53"/>
  <c r="AB253" i="53"/>
  <c r="AA253" i="53"/>
  <c r="Z253" i="53"/>
  <c r="Y253" i="53"/>
  <c r="X253" i="53"/>
  <c r="W253" i="53"/>
  <c r="V253" i="53"/>
  <c r="U253" i="53"/>
  <c r="T253" i="53"/>
  <c r="S253" i="53"/>
  <c r="R253" i="53"/>
  <c r="Q253" i="53"/>
  <c r="P253" i="53"/>
  <c r="O253" i="53"/>
  <c r="N253" i="53"/>
  <c r="M253" i="53"/>
  <c r="L253" i="53"/>
  <c r="K253" i="53"/>
  <c r="J253" i="53"/>
  <c r="I253" i="53"/>
  <c r="H253" i="53"/>
  <c r="G253" i="53"/>
  <c r="F253" i="53"/>
  <c r="E253" i="53"/>
  <c r="D253" i="53"/>
  <c r="C253" i="53"/>
  <c r="B253" i="53"/>
  <c r="AI252" i="53"/>
  <c r="AH252" i="53"/>
  <c r="AG252" i="53"/>
  <c r="AE252" i="53"/>
  <c r="AD252" i="53"/>
  <c r="AC252" i="53"/>
  <c r="AB252" i="53"/>
  <c r="AA252" i="53"/>
  <c r="Z252" i="53"/>
  <c r="X252" i="53"/>
  <c r="W252" i="53"/>
  <c r="V252" i="53"/>
  <c r="U252" i="53"/>
  <c r="T252" i="53"/>
  <c r="R252" i="53"/>
  <c r="Q252" i="53"/>
  <c r="P252" i="53"/>
  <c r="O252" i="53"/>
  <c r="N252" i="53"/>
  <c r="M252" i="53"/>
  <c r="L252" i="53"/>
  <c r="K252" i="53"/>
  <c r="J252" i="53"/>
  <c r="I252" i="53"/>
  <c r="H252" i="53"/>
  <c r="G252" i="53"/>
  <c r="F252" i="53"/>
  <c r="E252" i="53"/>
  <c r="D252" i="53"/>
  <c r="C252" i="53"/>
  <c r="B252" i="53"/>
  <c r="AI251" i="53"/>
  <c r="AE251" i="53"/>
  <c r="AD251" i="53"/>
  <c r="Z251" i="53"/>
  <c r="W251" i="53"/>
  <c r="R251" i="53"/>
  <c r="O251" i="53"/>
  <c r="M251" i="53"/>
  <c r="L251" i="53"/>
  <c r="J251" i="53"/>
  <c r="C251" i="53"/>
  <c r="B251" i="53"/>
  <c r="AI250" i="53"/>
  <c r="AE250" i="53"/>
  <c r="Z250" i="53"/>
  <c r="X250" i="53"/>
  <c r="W250" i="53"/>
  <c r="R250" i="53"/>
  <c r="O250" i="53"/>
  <c r="M250" i="53"/>
  <c r="L250" i="53"/>
  <c r="J250" i="53"/>
  <c r="C250" i="53"/>
  <c r="B250" i="53"/>
  <c r="AF249" i="53"/>
  <c r="S249" i="53"/>
  <c r="O249" i="53"/>
  <c r="M249" i="53"/>
  <c r="J249" i="53"/>
  <c r="AI248" i="53"/>
  <c r="AH248" i="53"/>
  <c r="AG248" i="53"/>
  <c r="AF248" i="53"/>
  <c r="AE248" i="53"/>
  <c r="Z248" i="53"/>
  <c r="Y248" i="53"/>
  <c r="X248" i="53"/>
  <c r="W248" i="53"/>
  <c r="V248" i="53"/>
  <c r="U248" i="53"/>
  <c r="T248" i="53"/>
  <c r="S248" i="53"/>
  <c r="R248" i="53"/>
  <c r="Q248" i="53"/>
  <c r="J248" i="53"/>
  <c r="B247" i="53"/>
  <c r="B246" i="53"/>
  <c r="AI245" i="53"/>
  <c r="AH245" i="53"/>
  <c r="AG245" i="53"/>
  <c r="AF245" i="53"/>
  <c r="AE245" i="53"/>
  <c r="AD245" i="53"/>
  <c r="AC245" i="53"/>
  <c r="AB245" i="53"/>
  <c r="AA245" i="53"/>
  <c r="Z245" i="53"/>
  <c r="Y245" i="53"/>
  <c r="X245" i="53"/>
  <c r="W245" i="53"/>
  <c r="V245" i="53"/>
  <c r="U245" i="53"/>
  <c r="T245" i="53"/>
  <c r="S245" i="53"/>
  <c r="R245" i="53"/>
  <c r="Q245" i="53"/>
  <c r="P245" i="53"/>
  <c r="O245" i="53"/>
  <c r="N245" i="53"/>
  <c r="M245" i="53"/>
  <c r="L245" i="53"/>
  <c r="K245" i="53"/>
  <c r="J245" i="53"/>
  <c r="I245" i="53"/>
  <c r="H245" i="53"/>
  <c r="G245" i="53"/>
  <c r="F245" i="53"/>
  <c r="E245" i="53"/>
  <c r="D245" i="53"/>
  <c r="C245" i="53"/>
  <c r="B245" i="53"/>
  <c r="AI244" i="53"/>
  <c r="AH244" i="53"/>
  <c r="AG244" i="53"/>
  <c r="AF244" i="53"/>
  <c r="AE244" i="53"/>
  <c r="AD244" i="53"/>
  <c r="AC244" i="53"/>
  <c r="AB244" i="53"/>
  <c r="AA244" i="53"/>
  <c r="Z244" i="53"/>
  <c r="Y244" i="53"/>
  <c r="X244" i="53"/>
  <c r="W244" i="53"/>
  <c r="V244" i="53"/>
  <c r="U244" i="53"/>
  <c r="T244" i="53"/>
  <c r="S244" i="53"/>
  <c r="R244" i="53"/>
  <c r="Q244" i="53"/>
  <c r="P244" i="53"/>
  <c r="O244" i="53"/>
  <c r="N244" i="53"/>
  <c r="M244" i="53"/>
  <c r="L244" i="53"/>
  <c r="K244" i="53"/>
  <c r="J244" i="53"/>
  <c r="I244" i="53"/>
  <c r="H244" i="53"/>
  <c r="G244" i="53"/>
  <c r="F244" i="53"/>
  <c r="E244" i="53"/>
  <c r="D244" i="53"/>
  <c r="C244" i="53"/>
  <c r="B244" i="53"/>
  <c r="AI243" i="53"/>
  <c r="AE243" i="53"/>
  <c r="AD243" i="53"/>
  <c r="B243" i="53"/>
  <c r="AI242" i="53"/>
  <c r="AH242" i="53"/>
  <c r="AG242" i="53"/>
  <c r="AF242" i="53"/>
  <c r="AE242" i="53"/>
  <c r="AD242" i="53"/>
  <c r="AC242" i="53"/>
  <c r="AB242" i="53"/>
  <c r="AA242" i="53"/>
  <c r="Z242" i="53"/>
  <c r="Y242" i="53"/>
  <c r="X242" i="53"/>
  <c r="W242" i="53"/>
  <c r="V242" i="53"/>
  <c r="U242" i="53"/>
  <c r="T242" i="53"/>
  <c r="S242" i="53"/>
  <c r="R242" i="53"/>
  <c r="Q242" i="53"/>
  <c r="P242" i="53"/>
  <c r="O242" i="53"/>
  <c r="N242" i="53"/>
  <c r="M242" i="53"/>
  <c r="L242" i="53"/>
  <c r="K242" i="53"/>
  <c r="J242" i="53"/>
  <c r="I242" i="53"/>
  <c r="H242" i="53"/>
  <c r="G242" i="53"/>
  <c r="F242" i="53"/>
  <c r="E242" i="53"/>
  <c r="D242" i="53"/>
  <c r="C242" i="53"/>
  <c r="B242" i="53"/>
  <c r="AI241" i="53"/>
  <c r="AH241" i="53"/>
  <c r="AG241" i="53"/>
  <c r="AF241" i="53"/>
  <c r="AE241" i="53"/>
  <c r="AD241" i="53"/>
  <c r="AC241" i="53"/>
  <c r="AB241" i="53"/>
  <c r="AA241" i="53"/>
  <c r="Z241" i="53"/>
  <c r="Y241" i="53"/>
  <c r="X241" i="53"/>
  <c r="W241" i="53"/>
  <c r="V241" i="53"/>
  <c r="U241" i="53"/>
  <c r="T241" i="53"/>
  <c r="S241" i="53"/>
  <c r="R241" i="53"/>
  <c r="Q241" i="53"/>
  <c r="P241" i="53"/>
  <c r="O241" i="53"/>
  <c r="N241" i="53"/>
  <c r="M241" i="53"/>
  <c r="L241" i="53"/>
  <c r="K241" i="53"/>
  <c r="J241" i="53"/>
  <c r="I241" i="53"/>
  <c r="H241" i="53"/>
  <c r="G241" i="53"/>
  <c r="F241" i="53"/>
  <c r="E241" i="53"/>
  <c r="D241" i="53"/>
  <c r="C241" i="53"/>
  <c r="B241" i="53"/>
  <c r="AI240" i="53"/>
  <c r="AE240" i="53"/>
  <c r="AD240" i="53"/>
  <c r="Y240" i="53"/>
  <c r="W240" i="53"/>
  <c r="V240" i="53"/>
  <c r="O240" i="53"/>
  <c r="B240" i="53"/>
  <c r="AI239" i="53"/>
  <c r="AH239" i="53"/>
  <c r="AG239" i="53"/>
  <c r="AF239" i="53"/>
  <c r="AE239" i="53"/>
  <c r="C239" i="53"/>
  <c r="B239" i="53"/>
  <c r="AI238" i="53"/>
  <c r="AE238" i="53"/>
  <c r="AD238" i="53"/>
  <c r="Y238" i="53"/>
  <c r="W238" i="53"/>
  <c r="V238" i="53"/>
  <c r="O238" i="53"/>
  <c r="C238" i="53"/>
  <c r="B238" i="53"/>
  <c r="AI237" i="53"/>
  <c r="AE237" i="53"/>
  <c r="AD237" i="53"/>
  <c r="Y237" i="53"/>
  <c r="W237" i="53"/>
  <c r="V237" i="53"/>
  <c r="O237" i="53"/>
  <c r="C237" i="53"/>
  <c r="B237" i="53"/>
  <c r="AI236" i="53"/>
  <c r="AE236" i="53"/>
  <c r="AD236" i="53"/>
  <c r="Y236" i="53"/>
  <c r="W236" i="53"/>
  <c r="V236" i="53"/>
  <c r="O236" i="53"/>
  <c r="C236" i="53"/>
  <c r="B236" i="53"/>
  <c r="AI235" i="53"/>
  <c r="AH235" i="53"/>
  <c r="AG235" i="53"/>
  <c r="AF235" i="53"/>
  <c r="AE235" i="53"/>
  <c r="C235" i="53"/>
  <c r="B235" i="53"/>
  <c r="AI234" i="53"/>
  <c r="AE234" i="53"/>
  <c r="AD234" i="53"/>
  <c r="Y234" i="53"/>
  <c r="W234" i="53"/>
  <c r="V234" i="53"/>
  <c r="Q234" i="53"/>
  <c r="O234" i="53"/>
  <c r="N234" i="53"/>
  <c r="M234" i="53"/>
  <c r="L234" i="53"/>
  <c r="K234" i="53"/>
  <c r="C234" i="53"/>
  <c r="B234" i="53"/>
  <c r="AI233" i="53"/>
  <c r="AH233" i="53"/>
  <c r="AG233" i="53"/>
  <c r="AF233" i="53"/>
  <c r="AE233" i="53"/>
  <c r="C233" i="53"/>
  <c r="B233" i="53"/>
  <c r="AI232" i="53"/>
  <c r="AE232" i="53"/>
  <c r="AD232" i="53"/>
  <c r="Y232" i="53"/>
  <c r="W232" i="53"/>
  <c r="V232" i="53"/>
  <c r="C232" i="53"/>
  <c r="B232" i="53"/>
  <c r="AI231" i="53"/>
  <c r="AE231" i="53"/>
  <c r="AD231" i="53"/>
  <c r="Y231" i="53"/>
  <c r="W231" i="53"/>
  <c r="V231" i="53"/>
  <c r="Q231" i="53"/>
  <c r="O231" i="53"/>
  <c r="N231" i="53"/>
  <c r="C231" i="53"/>
  <c r="B231" i="53"/>
  <c r="AI230" i="53"/>
  <c r="AE230" i="53"/>
  <c r="AD230" i="53"/>
  <c r="Y230" i="53"/>
  <c r="W230" i="53"/>
  <c r="V230" i="53"/>
  <c r="Q230" i="53"/>
  <c r="O230" i="53"/>
  <c r="N230" i="53"/>
  <c r="C230" i="53"/>
  <c r="B230" i="53"/>
  <c r="AI229" i="53"/>
  <c r="AE229" i="53"/>
  <c r="AD229" i="53"/>
  <c r="K229" i="53"/>
  <c r="C229" i="53"/>
  <c r="B229" i="53"/>
  <c r="AI228" i="53"/>
  <c r="AE228" i="53"/>
  <c r="AD228" i="53"/>
  <c r="K228" i="53"/>
  <c r="C228" i="53"/>
  <c r="B228" i="53"/>
  <c r="AI227" i="53"/>
  <c r="AE227" i="53"/>
  <c r="AD227" i="53"/>
  <c r="K227" i="53"/>
  <c r="C227" i="53"/>
  <c r="B227" i="53"/>
  <c r="AI226" i="53"/>
  <c r="AE226" i="53"/>
  <c r="AD226" i="53"/>
  <c r="K226" i="53"/>
  <c r="C226" i="53"/>
  <c r="B226" i="53"/>
  <c r="AF225" i="53"/>
  <c r="AE225" i="53"/>
  <c r="AD225" i="53"/>
  <c r="AC225" i="53"/>
  <c r="AB225" i="53"/>
  <c r="AA225" i="53"/>
  <c r="Z225" i="53"/>
  <c r="Y225" i="53"/>
  <c r="X225" i="53"/>
  <c r="W225" i="53"/>
  <c r="V225" i="53"/>
  <c r="U225" i="53"/>
  <c r="T225" i="53"/>
  <c r="S225" i="53"/>
  <c r="R225" i="53"/>
  <c r="Q225" i="53"/>
  <c r="P225" i="53"/>
  <c r="O225" i="53"/>
  <c r="N225" i="53"/>
  <c r="M225" i="53"/>
  <c r="L225" i="53"/>
  <c r="K225" i="53"/>
  <c r="J225" i="53"/>
  <c r="I225" i="53"/>
  <c r="H225" i="53"/>
  <c r="G225" i="53"/>
  <c r="F225" i="53"/>
  <c r="E225" i="53"/>
  <c r="D225" i="53"/>
  <c r="C225" i="53"/>
  <c r="B225" i="53"/>
  <c r="AI224" i="53"/>
  <c r="AH224" i="53"/>
  <c r="AG224" i="53"/>
  <c r="AF224" i="53"/>
  <c r="AE224" i="53"/>
  <c r="AD224" i="53"/>
  <c r="AC224" i="53"/>
  <c r="AB224" i="53"/>
  <c r="AA224" i="53"/>
  <c r="Z224" i="53"/>
  <c r="Y224" i="53"/>
  <c r="X224" i="53"/>
  <c r="W224" i="53"/>
  <c r="V224" i="53"/>
  <c r="U224" i="53"/>
  <c r="T224" i="53"/>
  <c r="S224" i="53"/>
  <c r="R224" i="53"/>
  <c r="Q224" i="53"/>
  <c r="P224" i="53"/>
  <c r="O224" i="53"/>
  <c r="N224" i="53"/>
  <c r="M224" i="53"/>
  <c r="L224" i="53"/>
  <c r="K224" i="53"/>
  <c r="J224" i="53"/>
  <c r="I224" i="53"/>
  <c r="H224" i="53"/>
  <c r="G224" i="53"/>
  <c r="F224" i="53"/>
  <c r="E224" i="53"/>
  <c r="D224" i="53"/>
  <c r="C224" i="53"/>
  <c r="B224" i="53"/>
  <c r="B223" i="53"/>
  <c r="B222" i="53"/>
  <c r="B221" i="53"/>
  <c r="B220" i="53"/>
  <c r="B219" i="53"/>
  <c r="B218" i="53"/>
  <c r="B217" i="53"/>
  <c r="AK115" i="53"/>
  <c r="N327" i="53"/>
  <c r="AF105" i="53"/>
  <c r="AF321" i="53" s="1"/>
  <c r="AF104" i="53"/>
  <c r="AP104" i="53" s="1"/>
  <c r="AF103" i="53"/>
  <c r="AF319" i="53" s="1"/>
  <c r="AF102" i="53"/>
  <c r="AP102" i="53" s="1"/>
  <c r="AF101" i="53"/>
  <c r="AO101" i="53" s="1"/>
  <c r="AR101" i="53" s="1"/>
  <c r="AS101" i="53" s="1"/>
  <c r="AF96" i="53"/>
  <c r="AF312" i="53" s="1"/>
  <c r="AF95" i="53"/>
  <c r="AF311" i="53" s="1"/>
  <c r="AF94" i="53"/>
  <c r="AF310" i="53" s="1"/>
  <c r="AF93" i="53"/>
  <c r="AF309" i="53" s="1"/>
  <c r="AF92" i="53"/>
  <c r="AP92" i="53" s="1"/>
  <c r="AR87" i="53"/>
  <c r="AS87" i="53" s="1"/>
  <c r="AF87" i="53"/>
  <c r="AF303" i="53" s="1"/>
  <c r="AR86" i="53"/>
  <c r="AS86" i="53" s="1"/>
  <c r="AF86" i="53"/>
  <c r="AP86" i="53" s="1"/>
  <c r="AN86" i="53" s="1"/>
  <c r="AR84" i="53"/>
  <c r="AS84" i="53" s="1"/>
  <c r="AF84" i="53"/>
  <c r="AO84" i="53" s="1"/>
  <c r="AT84" i="53" s="1"/>
  <c r="AU84" i="53" s="1"/>
  <c r="AR83" i="53"/>
  <c r="AS83" i="53" s="1"/>
  <c r="AF83" i="53"/>
  <c r="AF299" i="53" s="1"/>
  <c r="AR82" i="53"/>
  <c r="AS82" i="53" s="1"/>
  <c r="AF82" i="53"/>
  <c r="AO82" i="53" s="1"/>
  <c r="AM82" i="53" s="1"/>
  <c r="AR81" i="53"/>
  <c r="AS81" i="53" s="1"/>
  <c r="AF81" i="53"/>
  <c r="AF297" i="53" s="1"/>
  <c r="AR80" i="53"/>
  <c r="AS80" i="53" s="1"/>
  <c r="AF80" i="53"/>
  <c r="AO80" i="53" s="1"/>
  <c r="AM80" i="53" s="1"/>
  <c r="AR79" i="53"/>
  <c r="AS79" i="53" s="1"/>
  <c r="AF79" i="53"/>
  <c r="AF295" i="53" s="1"/>
  <c r="AF78" i="53"/>
  <c r="AF73" i="53"/>
  <c r="AF289" i="53" s="1"/>
  <c r="AF72" i="53"/>
  <c r="AF288" i="53" s="1"/>
  <c r="AF71" i="53"/>
  <c r="AP71" i="53" s="1"/>
  <c r="AN71" i="53" s="1"/>
  <c r="AF70" i="53"/>
  <c r="AO70" i="53" s="1"/>
  <c r="AT70" i="53" s="1"/>
  <c r="AU70" i="53" s="1"/>
  <c r="AT69" i="53"/>
  <c r="AU69" i="53" s="1"/>
  <c r="AM69" i="53" s="1"/>
  <c r="AO69" i="53"/>
  <c r="AF68" i="53"/>
  <c r="AF284" i="53" s="1"/>
  <c r="AP67" i="53"/>
  <c r="AO67" i="53"/>
  <c r="AT67" i="53" s="1"/>
  <c r="AU67" i="53" s="1"/>
  <c r="AF62" i="53"/>
  <c r="AO62" i="53" s="1"/>
  <c r="AT62" i="53" s="1"/>
  <c r="AF57" i="53"/>
  <c r="AP57" i="53" s="1"/>
  <c r="AU56" i="53"/>
  <c r="AF56" i="53"/>
  <c r="AF272" i="53" s="1"/>
  <c r="AF55" i="53"/>
  <c r="AF271" i="53" s="1"/>
  <c r="AF54" i="53"/>
  <c r="AF270" i="53" s="1"/>
  <c r="AF53" i="53"/>
  <c r="AP53" i="53" s="1"/>
  <c r="AR41" i="53"/>
  <c r="AS41" i="53" s="1"/>
  <c r="AF41" i="53"/>
  <c r="AP41" i="53" s="1"/>
  <c r="AQ40" i="53"/>
  <c r="AP40" i="53"/>
  <c r="AF40" i="53"/>
  <c r="AF256" i="53" s="1"/>
  <c r="S40" i="53"/>
  <c r="S256" i="53" s="1"/>
  <c r="AQ38" i="53"/>
  <c r="AT38" i="53" s="1"/>
  <c r="AU38" i="53" s="1"/>
  <c r="AP38" i="53"/>
  <c r="AO38" i="53"/>
  <c r="AF38" i="53"/>
  <c r="AF254" i="53" s="1"/>
  <c r="S38" i="53"/>
  <c r="S254" i="53" s="1"/>
  <c r="AQ36" i="53"/>
  <c r="AP36" i="53"/>
  <c r="AO36" i="53"/>
  <c r="AF36" i="53"/>
  <c r="AF252" i="53" s="1"/>
  <c r="S36" i="53"/>
  <c r="S252" i="53" s="1"/>
  <c r="AN35" i="53"/>
  <c r="AF35" i="53"/>
  <c r="X35" i="53"/>
  <c r="X251" i="53" s="1"/>
  <c r="S35" i="53"/>
  <c r="S251" i="53" s="1"/>
  <c r="P35" i="53"/>
  <c r="P251" i="53" s="1"/>
  <c r="AQ34" i="53"/>
  <c r="S34" i="53"/>
  <c r="S250" i="53" s="1"/>
  <c r="P34" i="53"/>
  <c r="P250" i="53" s="1"/>
  <c r="AK27" i="53"/>
  <c r="AK24" i="53"/>
  <c r="AK22" i="53"/>
  <c r="AK21" i="53"/>
  <c r="AK20" i="53"/>
  <c r="AU19" i="53"/>
  <c r="AF16" i="53"/>
  <c r="AU15" i="53"/>
  <c r="AF15" i="53"/>
  <c r="AU14" i="53"/>
  <c r="AF14" i="53"/>
  <c r="AO1" i="53"/>
  <c r="AI1" i="53"/>
  <c r="AI218" i="53" s="1"/>
  <c r="AQ12" i="54" l="1"/>
  <c r="AQ282" i="54" s="1"/>
  <c r="AO112" i="53"/>
  <c r="AM112" i="53" s="1"/>
  <c r="AP70" i="53"/>
  <c r="AP101" i="53"/>
  <c r="AP87" i="53"/>
  <c r="AN87" i="53" s="1"/>
  <c r="AO81" i="53"/>
  <c r="AM81" i="53" s="1"/>
  <c r="AP84" i="53"/>
  <c r="AO68" i="53"/>
  <c r="AT68" i="53" s="1"/>
  <c r="AU68" i="53" s="1"/>
  <c r="AM68" i="53" s="1"/>
  <c r="AP81" i="53"/>
  <c r="AN81" i="53" s="1"/>
  <c r="AO102" i="53"/>
  <c r="AR102" i="53" s="1"/>
  <c r="AS102" i="53" s="1"/>
  <c r="AM102" i="53" s="1"/>
  <c r="BU82" i="54"/>
  <c r="BV82" i="54" s="1"/>
  <c r="BU87" i="54"/>
  <c r="BV87" i="54" s="1"/>
  <c r="BU88" i="54"/>
  <c r="BV88" i="54" s="1"/>
  <c r="BU86" i="54"/>
  <c r="BV86" i="54" s="1"/>
  <c r="BU85" i="54"/>
  <c r="BV85" i="54" s="1"/>
  <c r="BU92" i="54"/>
  <c r="BV92" i="54" s="1"/>
  <c r="BU91" i="54"/>
  <c r="BV91" i="54" s="1"/>
  <c r="BU83" i="54"/>
  <c r="BV83" i="54" s="1"/>
  <c r="BU89" i="54"/>
  <c r="BV89" i="54" s="1"/>
  <c r="BU90" i="54"/>
  <c r="BV90" i="54" s="1"/>
  <c r="BU84" i="54"/>
  <c r="BV84" i="54" s="1"/>
  <c r="AO73" i="53"/>
  <c r="AM73" i="53" s="1"/>
  <c r="AO83" i="53"/>
  <c r="AM83" i="53" s="1"/>
  <c r="AO86" i="53"/>
  <c r="AM86" i="53" s="1"/>
  <c r="AF302" i="53"/>
  <c r="AO94" i="53"/>
  <c r="AR94" i="53" s="1"/>
  <c r="AS94" i="53" s="1"/>
  <c r="AN94" i="53" s="1"/>
  <c r="AP94" i="53"/>
  <c r="AP103" i="53"/>
  <c r="AF298" i="53"/>
  <c r="AF318" i="53"/>
  <c r="AP82" i="53"/>
  <c r="AN82" i="53" s="1"/>
  <c r="AR36" i="53"/>
  <c r="AS36" i="53" s="1"/>
  <c r="AF231" i="53"/>
  <c r="AP15" i="53"/>
  <c r="AO15" i="53"/>
  <c r="AP14" i="53"/>
  <c r="AO14" i="53"/>
  <c r="AM14" i="53" s="1"/>
  <c r="BU129" i="54"/>
  <c r="BU130" i="54"/>
  <c r="AS12" i="54"/>
  <c r="AS282" i="54" s="1"/>
  <c r="AS14" i="54"/>
  <c r="AS284" i="54" s="1"/>
  <c r="AQ18" i="54"/>
  <c r="AQ288" i="54" s="1"/>
  <c r="BE79" i="54"/>
  <c r="BE87" i="54"/>
  <c r="AW80" i="54"/>
  <c r="AW88" i="54"/>
  <c r="AW90" i="54"/>
  <c r="BE82" i="54"/>
  <c r="BE90" i="54"/>
  <c r="AW83" i="54"/>
  <c r="AW91" i="54"/>
  <c r="AW85" i="54"/>
  <c r="AW78" i="54"/>
  <c r="BE88" i="54"/>
  <c r="BE89" i="54"/>
  <c r="BE83" i="54"/>
  <c r="BE91" i="54"/>
  <c r="AW84" i="54"/>
  <c r="AW92" i="54"/>
  <c r="BE92" i="54"/>
  <c r="AW81" i="54"/>
  <c r="BE81" i="54"/>
  <c r="BE84" i="54"/>
  <c r="AW89" i="54"/>
  <c r="BE85" i="54"/>
  <c r="BE78" i="54"/>
  <c r="AW86" i="54"/>
  <c r="BE86" i="54"/>
  <c r="AW79" i="54"/>
  <c r="AW87" i="54"/>
  <c r="BE80" i="54"/>
  <c r="AW82" i="54"/>
  <c r="AO16" i="53"/>
  <c r="AT16" i="53" s="1"/>
  <c r="AQ16" i="54"/>
  <c r="AQ286" i="54" s="1"/>
  <c r="AW13" i="54"/>
  <c r="AW283" i="54" s="1"/>
  <c r="AS18" i="54"/>
  <c r="AS288" i="54" s="1"/>
  <c r="AQ20" i="54"/>
  <c r="AQ290" i="54" s="1"/>
  <c r="AW15" i="54"/>
  <c r="AW285" i="54" s="1"/>
  <c r="AS20" i="54"/>
  <c r="AS290" i="54" s="1"/>
  <c r="AW14" i="54"/>
  <c r="AW284" i="54" s="1"/>
  <c r="AP78" i="53"/>
  <c r="AF294" i="53"/>
  <c r="AP62" i="53"/>
  <c r="AZ129" i="54"/>
  <c r="AZ399" i="54" s="1"/>
  <c r="AW319" i="54"/>
  <c r="BV49" i="54"/>
  <c r="BH49" i="54"/>
  <c r="BH319" i="54" s="1"/>
  <c r="BH47" i="54"/>
  <c r="BH317" i="54" s="1"/>
  <c r="BV47" i="54"/>
  <c r="AJ52" i="54"/>
  <c r="AJ322" i="54" s="1"/>
  <c r="BV52" i="54"/>
  <c r="BH52" i="54"/>
  <c r="BH322" i="54" s="1"/>
  <c r="AW321" i="54"/>
  <c r="BU67" i="54"/>
  <c r="BU52" i="54"/>
  <c r="BQ52" i="54"/>
  <c r="BR49" i="54"/>
  <c r="BT62" i="54"/>
  <c r="BQ62" i="54"/>
  <c r="BT49" i="54"/>
  <c r="BR47" i="54"/>
  <c r="BU47" i="54"/>
  <c r="BQ47" i="54"/>
  <c r="BU49" i="54"/>
  <c r="BQ67" i="54"/>
  <c r="BU62" i="54"/>
  <c r="BR62" i="54"/>
  <c r="BT47" i="54"/>
  <c r="BT67" i="54"/>
  <c r="BR67" i="54"/>
  <c r="BT52" i="54"/>
  <c r="BQ49" i="54"/>
  <c r="BR52" i="54"/>
  <c r="BW67" i="54"/>
  <c r="BW62" i="54"/>
  <c r="AJ61" i="54"/>
  <c r="AJ331" i="54" s="1"/>
  <c r="BU16" i="54"/>
  <c r="BT12" i="54"/>
  <c r="BT20" i="54"/>
  <c r="BR18" i="54"/>
  <c r="BQ16" i="54"/>
  <c r="BU17" i="54"/>
  <c r="BT13" i="54"/>
  <c r="BT11" i="54"/>
  <c r="BR19" i="54"/>
  <c r="BQ17" i="54"/>
  <c r="BU18" i="54"/>
  <c r="BT14" i="54"/>
  <c r="BR12" i="54"/>
  <c r="BR20" i="54"/>
  <c r="BQ18" i="54"/>
  <c r="BU19" i="54"/>
  <c r="BT15" i="54"/>
  <c r="BR13" i="54"/>
  <c r="BR11" i="54"/>
  <c r="BQ19" i="54"/>
  <c r="BU15" i="54"/>
  <c r="BU12" i="54"/>
  <c r="BU20" i="54"/>
  <c r="BT16" i="54"/>
  <c r="BR14" i="54"/>
  <c r="BQ12" i="54"/>
  <c r="BQ20" i="54"/>
  <c r="BT19" i="54"/>
  <c r="BU13" i="54"/>
  <c r="BU11" i="54"/>
  <c r="BT17" i="54"/>
  <c r="BR15" i="54"/>
  <c r="BQ13" i="54"/>
  <c r="BQ11" i="54"/>
  <c r="BR17" i="54"/>
  <c r="BU14" i="54"/>
  <c r="BT18" i="54"/>
  <c r="BR16" i="54"/>
  <c r="BQ14" i="54"/>
  <c r="BQ15" i="54"/>
  <c r="AJ49" i="54"/>
  <c r="AJ319" i="54" s="1"/>
  <c r="BW47" i="54"/>
  <c r="AJ51" i="54"/>
  <c r="AJ321" i="54" s="1"/>
  <c r="AQ28" i="54"/>
  <c r="AQ298" i="54" s="1"/>
  <c r="AQ33" i="54"/>
  <c r="AQ303" i="54" s="1"/>
  <c r="AS28" i="54"/>
  <c r="AS298" i="54" s="1"/>
  <c r="AS33" i="54"/>
  <c r="AS303" i="54" s="1"/>
  <c r="BB36" i="54"/>
  <c r="BB306" i="54" s="1"/>
  <c r="AQ11" i="54"/>
  <c r="AQ281" i="54" s="1"/>
  <c r="AS11" i="54"/>
  <c r="AS281" i="54" s="1"/>
  <c r="BA305" i="54"/>
  <c r="BB35" i="54"/>
  <c r="BB305" i="54" s="1"/>
  <c r="W305" i="54"/>
  <c r="AW314" i="54"/>
  <c r="W301" i="54"/>
  <c r="AP302" i="54"/>
  <c r="AQ32" i="54"/>
  <c r="AQ302" i="54" s="1"/>
  <c r="W304" i="54"/>
  <c r="AJ44" i="54"/>
  <c r="AJ314" i="54" s="1"/>
  <c r="AP289" i="54"/>
  <c r="AQ19" i="54"/>
  <c r="AQ289" i="54" s="1"/>
  <c r="AR129" i="54"/>
  <c r="AR399" i="54" s="1"/>
  <c r="AR130" i="54"/>
  <c r="AR400" i="54" s="1"/>
  <c r="BA128" i="54"/>
  <c r="BA127" i="54"/>
  <c r="AR126" i="54"/>
  <c r="BA129" i="54"/>
  <c r="BA130" i="54"/>
  <c r="AR283" i="54"/>
  <c r="AS13" i="54"/>
  <c r="AS283" i="54" s="1"/>
  <c r="BA298" i="54"/>
  <c r="BB28" i="54"/>
  <c r="BB298" i="54" s="1"/>
  <c r="AP332" i="54"/>
  <c r="AQ62" i="54"/>
  <c r="AQ332" i="54" s="1"/>
  <c r="AW46" i="54"/>
  <c r="AP317" i="54"/>
  <c r="AQ47" i="54"/>
  <c r="AQ317" i="54" s="1"/>
  <c r="AP320" i="54"/>
  <c r="AQ50" i="54"/>
  <c r="AQ320" i="54" s="1"/>
  <c r="AZ65" i="54"/>
  <c r="AZ335" i="54" s="1"/>
  <c r="AW11" i="54"/>
  <c r="AW12" i="54"/>
  <c r="AQ17" i="54"/>
  <c r="AQ287" i="54" s="1"/>
  <c r="AS19" i="54"/>
  <c r="AS289" i="54" s="1"/>
  <c r="AW20" i="54"/>
  <c r="AQ51" i="54"/>
  <c r="AQ321" i="54" s="1"/>
  <c r="AQ63" i="54"/>
  <c r="AQ333" i="54" s="1"/>
  <c r="AW337" i="54"/>
  <c r="BE65" i="54"/>
  <c r="BE335" i="54" s="1"/>
  <c r="AW19" i="54"/>
  <c r="AY314" i="54"/>
  <c r="AZ44" i="54"/>
  <c r="AZ314" i="54" s="1"/>
  <c r="AP330" i="54"/>
  <c r="AQ60" i="54"/>
  <c r="AQ330" i="54" s="1"/>
  <c r="AW333" i="54"/>
  <c r="AJ63" i="54"/>
  <c r="AJ333" i="54" s="1"/>
  <c r="AP338" i="54"/>
  <c r="AQ68" i="54"/>
  <c r="AQ338" i="54" s="1"/>
  <c r="AR302" i="54"/>
  <c r="AS32" i="54"/>
  <c r="AS302" i="54" s="1"/>
  <c r="AQ15" i="54"/>
  <c r="AQ285" i="54" s="1"/>
  <c r="AS17" i="54"/>
  <c r="AS287" i="54" s="1"/>
  <c r="AW18" i="54"/>
  <c r="AQ36" i="54"/>
  <c r="AQ306" i="54" s="1"/>
  <c r="BE44" i="54"/>
  <c r="BE314" i="54" s="1"/>
  <c r="AQ45" i="54"/>
  <c r="AQ315" i="54" s="1"/>
  <c r="AY318" i="54"/>
  <c r="AW48" i="54"/>
  <c r="AY330" i="54"/>
  <c r="AZ60" i="54"/>
  <c r="AZ330" i="54" s="1"/>
  <c r="AW60" i="54"/>
  <c r="AY333" i="54"/>
  <c r="BE63" i="54"/>
  <c r="BE333" i="54" s="1"/>
  <c r="AZ63" i="54"/>
  <c r="AZ333" i="54" s="1"/>
  <c r="AY338" i="54"/>
  <c r="BE68" i="54"/>
  <c r="BE338" i="54" s="1"/>
  <c r="AZ68" i="54"/>
  <c r="AZ338" i="54" s="1"/>
  <c r="AW68" i="54"/>
  <c r="AW317" i="54"/>
  <c r="AJ47" i="54"/>
  <c r="AJ317" i="54" s="1"/>
  <c r="AW332" i="54"/>
  <c r="AQ14" i="54"/>
  <c r="AQ284" i="54" s="1"/>
  <c r="AS16" i="54"/>
  <c r="AS286" i="54" s="1"/>
  <c r="AW17" i="54"/>
  <c r="BB32" i="54"/>
  <c r="BB302" i="54" s="1"/>
  <c r="AR306" i="54"/>
  <c r="AS36" i="54"/>
  <c r="AS306" i="54" s="1"/>
  <c r="AW315" i="54"/>
  <c r="AJ45" i="54"/>
  <c r="AJ315" i="54" s="1"/>
  <c r="AZ48" i="54"/>
  <c r="AZ318" i="54" s="1"/>
  <c r="AQ52" i="54"/>
  <c r="AQ322" i="54" s="1"/>
  <c r="BW52" i="54"/>
  <c r="BE60" i="54"/>
  <c r="BE330" i="54" s="1"/>
  <c r="AQ61" i="54"/>
  <c r="AQ331" i="54" s="1"/>
  <c r="AW334" i="54"/>
  <c r="AQ65" i="54"/>
  <c r="AQ335" i="54" s="1"/>
  <c r="AP335" i="54"/>
  <c r="AY316" i="54"/>
  <c r="BE46" i="54"/>
  <c r="BE316" i="54" s="1"/>
  <c r="AY320" i="54"/>
  <c r="AZ50" i="54"/>
  <c r="AZ320" i="54" s="1"/>
  <c r="AW50" i="54"/>
  <c r="BR50" i="54" s="1"/>
  <c r="AQ13" i="54"/>
  <c r="AQ283" i="54" s="1"/>
  <c r="AS15" i="54"/>
  <c r="AS285" i="54" s="1"/>
  <c r="AW16" i="54"/>
  <c r="AY315" i="54"/>
  <c r="BE45" i="54"/>
  <c r="BQ45" i="54" s="1"/>
  <c r="BE48" i="54"/>
  <c r="BE318" i="54" s="1"/>
  <c r="BW49" i="54"/>
  <c r="AW322" i="54"/>
  <c r="AJ62" i="54"/>
  <c r="AJ332" i="54" s="1"/>
  <c r="AY334" i="54"/>
  <c r="BE64" i="54"/>
  <c r="BW64" i="54" s="1"/>
  <c r="AW65" i="54"/>
  <c r="AQ49" i="54"/>
  <c r="AQ319" i="54" s="1"/>
  <c r="AZ52" i="54"/>
  <c r="AZ322" i="54" s="1"/>
  <c r="AZ62" i="54"/>
  <c r="AZ332" i="54" s="1"/>
  <c r="AQ67" i="54"/>
  <c r="AQ337" i="54" s="1"/>
  <c r="BE51" i="54"/>
  <c r="BW51" i="54" s="1"/>
  <c r="BE61" i="54"/>
  <c r="BR61" i="54" s="1"/>
  <c r="AW66" i="54"/>
  <c r="BR66" i="54" s="1"/>
  <c r="AY396" i="54"/>
  <c r="AZ126" i="54"/>
  <c r="AZ396" i="54" s="1"/>
  <c r="AY397" i="54"/>
  <c r="AZ127" i="54"/>
  <c r="AZ397" i="54" s="1"/>
  <c r="AZ128" i="54"/>
  <c r="AZ398" i="54" s="1"/>
  <c r="AP400" i="54"/>
  <c r="AQ130" i="54"/>
  <c r="AQ400" i="54" s="1"/>
  <c r="AY400" i="54"/>
  <c r="AQ129" i="54"/>
  <c r="AQ399" i="54" s="1"/>
  <c r="AQ128" i="54"/>
  <c r="AQ398" i="54" s="1"/>
  <c r="AQ126" i="54"/>
  <c r="AQ396" i="54" s="1"/>
  <c r="AQ127" i="54"/>
  <c r="AQ397" i="54" s="1"/>
  <c r="AP79" i="53"/>
  <c r="AN79" i="53" s="1"/>
  <c r="AO96" i="53"/>
  <c r="AR96" i="53" s="1"/>
  <c r="AS96" i="53" s="1"/>
  <c r="AM96" i="53" s="1"/>
  <c r="AN69" i="53"/>
  <c r="AO57" i="53"/>
  <c r="AT57" i="53" s="1"/>
  <c r="AU57" i="53" s="1"/>
  <c r="AM57" i="53" s="1"/>
  <c r="AO54" i="53"/>
  <c r="AT54" i="53" s="1"/>
  <c r="AU54" i="53" s="1"/>
  <c r="AM54" i="53" s="1"/>
  <c r="AP96" i="53"/>
  <c r="AO79" i="53"/>
  <c r="AM79" i="53" s="1"/>
  <c r="AO41" i="53"/>
  <c r="AT41" i="53" s="1"/>
  <c r="AU41" i="53" s="1"/>
  <c r="AN41" i="53" s="1"/>
  <c r="AF34" i="53"/>
  <c r="AP34" i="53" s="1"/>
  <c r="AA32" i="53"/>
  <c r="AA248" i="53" s="1"/>
  <c r="AO35" i="53"/>
  <c r="AM35" i="53" s="1"/>
  <c r="AO56" i="53"/>
  <c r="AM56" i="53" s="1"/>
  <c r="AP56" i="53"/>
  <c r="AN56" i="53" s="1"/>
  <c r="AP16" i="53"/>
  <c r="AN84" i="53"/>
  <c r="AN70" i="53"/>
  <c r="AM70" i="53"/>
  <c r="AM94" i="53"/>
  <c r="AM67" i="53"/>
  <c r="AN67" i="53"/>
  <c r="AN101" i="53"/>
  <c r="AM101" i="53"/>
  <c r="AM15" i="53"/>
  <c r="AO55" i="53"/>
  <c r="AT55" i="53" s="1"/>
  <c r="AU55" i="53" s="1"/>
  <c r="AN15" i="53"/>
  <c r="AP55" i="53"/>
  <c r="AP72" i="53"/>
  <c r="AN72" i="53" s="1"/>
  <c r="AP80" i="53"/>
  <c r="AN80" i="53" s="1"/>
  <c r="AP95" i="53"/>
  <c r="AF251" i="53"/>
  <c r="AF269" i="53"/>
  <c r="AF286" i="53"/>
  <c r="AF296" i="53"/>
  <c r="AF300" i="53"/>
  <c r="AF308" i="53"/>
  <c r="AF320" i="53"/>
  <c r="AO53" i="53"/>
  <c r="AT53" i="53" s="1"/>
  <c r="AU53" i="53" s="1"/>
  <c r="AP54" i="53"/>
  <c r="AO78" i="53"/>
  <c r="AR78" i="53" s="1"/>
  <c r="AS78" i="53" s="1"/>
  <c r="AM84" i="53"/>
  <c r="AO93" i="53"/>
  <c r="AR93" i="53" s="1"/>
  <c r="AS93" i="53" s="1"/>
  <c r="AO105" i="53"/>
  <c r="AR105" i="53" s="1"/>
  <c r="AS105" i="53" s="1"/>
  <c r="AF257" i="53"/>
  <c r="AT40" i="53"/>
  <c r="AU40" i="53" s="1"/>
  <c r="AO95" i="53"/>
  <c r="AR95" i="53" s="1"/>
  <c r="AS95" i="53" s="1"/>
  <c r="AT36" i="53"/>
  <c r="AU36" i="53" s="1"/>
  <c r="AN36" i="53" s="1"/>
  <c r="AN14" i="53"/>
  <c r="AR38" i="53"/>
  <c r="AS38" i="53" s="1"/>
  <c r="AN38" i="53" s="1"/>
  <c r="AO40" i="53"/>
  <c r="AR40" i="53" s="1"/>
  <c r="AS40" i="53" s="1"/>
  <c r="AT52" i="53"/>
  <c r="AO71" i="53"/>
  <c r="AM71" i="53" s="1"/>
  <c r="AO92" i="53"/>
  <c r="AR92" i="53" s="1"/>
  <c r="AS92" i="53" s="1"/>
  <c r="AP93" i="53"/>
  <c r="AO104" i="53"/>
  <c r="AR104" i="53" s="1"/>
  <c r="AS104" i="53" s="1"/>
  <c r="AP105" i="53"/>
  <c r="AF230" i="53"/>
  <c r="AF232" i="53"/>
  <c r="AF278" i="53"/>
  <c r="AF287" i="53"/>
  <c r="AF317" i="53"/>
  <c r="AO72" i="53"/>
  <c r="AM72" i="53" s="1"/>
  <c r="AO87" i="53"/>
  <c r="AM87" i="53" s="1"/>
  <c r="AO103" i="53"/>
  <c r="AR103" i="53" s="1"/>
  <c r="AS103" i="53" s="1"/>
  <c r="AF273" i="53"/>
  <c r="AP73" i="53"/>
  <c r="AN73" i="53" s="1"/>
  <c r="AP83" i="53"/>
  <c r="AN83" i="53" s="1"/>
  <c r="AN102" i="53" l="1"/>
  <c r="AN68" i="53"/>
  <c r="AP112" i="53"/>
  <c r="AN112" i="53" s="1"/>
  <c r="AF328" i="53"/>
  <c r="BH78" i="54"/>
  <c r="AR128" i="54"/>
  <c r="BH128" i="54" s="1"/>
  <c r="BH398" i="54" s="1"/>
  <c r="AR127" i="54"/>
  <c r="BR127" i="54" s="1"/>
  <c r="BU127" i="54" s="1"/>
  <c r="BH129" i="54"/>
  <c r="BH399" i="54" s="1"/>
  <c r="BA126" i="54"/>
  <c r="BQ126" i="54" s="1"/>
  <c r="BU126" i="54" s="1"/>
  <c r="BH130" i="54"/>
  <c r="BH400" i="54" s="1"/>
  <c r="BU60" i="54"/>
  <c r="BQ68" i="54"/>
  <c r="BR65" i="54"/>
  <c r="BR68" i="54"/>
  <c r="BT61" i="54"/>
  <c r="BR64" i="54"/>
  <c r="BT66" i="54"/>
  <c r="BU46" i="54"/>
  <c r="BT64" i="54"/>
  <c r="BU64" i="54"/>
  <c r="BU61" i="54"/>
  <c r="BQ60" i="54"/>
  <c r="BU68" i="54"/>
  <c r="BQ65" i="54"/>
  <c r="BU66" i="54"/>
  <c r="BT68" i="54"/>
  <c r="BT60" i="54"/>
  <c r="BT65" i="54"/>
  <c r="BT48" i="54"/>
  <c r="BQ61" i="54"/>
  <c r="BQ66" i="54"/>
  <c r="BQ63" i="54"/>
  <c r="BU65" i="54"/>
  <c r="BR63" i="54"/>
  <c r="BQ64" i="54"/>
  <c r="BT63" i="54"/>
  <c r="BR60" i="54"/>
  <c r="BU63" i="54"/>
  <c r="BR46" i="54"/>
  <c r="BQ50" i="54"/>
  <c r="BQ46" i="54"/>
  <c r="BU51" i="54"/>
  <c r="BR44" i="54"/>
  <c r="BV51" i="54"/>
  <c r="BH44" i="54"/>
  <c r="BH314" i="54" s="1"/>
  <c r="BV48" i="54"/>
  <c r="BH48" i="54"/>
  <c r="BH318" i="54" s="1"/>
  <c r="BT46" i="54"/>
  <c r="BU45" i="54"/>
  <c r="BH51" i="54"/>
  <c r="BH321" i="54" s="1"/>
  <c r="BV44" i="54"/>
  <c r="BQ48" i="54"/>
  <c r="BU50" i="54"/>
  <c r="BT51" i="54"/>
  <c r="BU44" i="54"/>
  <c r="BH45" i="54"/>
  <c r="BH315" i="54" s="1"/>
  <c r="BQ51" i="54"/>
  <c r="BV45" i="54"/>
  <c r="BH50" i="54"/>
  <c r="BH320" i="54" s="1"/>
  <c r="BV50" i="54"/>
  <c r="BH46" i="54"/>
  <c r="BH316" i="54" s="1"/>
  <c r="BV46" i="54"/>
  <c r="BT44" i="54"/>
  <c r="BR45" i="54"/>
  <c r="BR48" i="54"/>
  <c r="BR51" i="54"/>
  <c r="BU48" i="54"/>
  <c r="BT50" i="54"/>
  <c r="BT45" i="54"/>
  <c r="BQ44" i="54"/>
  <c r="AW336" i="54"/>
  <c r="AJ66" i="54"/>
  <c r="AJ336" i="54" s="1"/>
  <c r="BW66" i="54"/>
  <c r="BA300" i="54"/>
  <c r="BB30" i="54"/>
  <c r="BB300" i="54" s="1"/>
  <c r="AW282" i="54"/>
  <c r="AR396" i="54"/>
  <c r="BA397" i="54"/>
  <c r="AP304" i="54"/>
  <c r="AQ34" i="54"/>
  <c r="AQ304" i="54" s="1"/>
  <c r="AR301" i="54"/>
  <c r="AS31" i="54"/>
  <c r="AS301" i="54" s="1"/>
  <c r="AR304" i="54"/>
  <c r="AS34" i="54"/>
  <c r="AS304" i="54" s="1"/>
  <c r="BA301" i="54"/>
  <c r="BB31" i="54"/>
  <c r="BB301" i="54" s="1"/>
  <c r="BW61" i="54"/>
  <c r="AW335" i="54"/>
  <c r="AJ65" i="54"/>
  <c r="AJ335" i="54" s="1"/>
  <c r="BW65" i="54"/>
  <c r="BW63" i="54"/>
  <c r="AY299" i="54"/>
  <c r="AZ29" i="54"/>
  <c r="AZ299" i="54" s="1"/>
  <c r="BE29" i="54"/>
  <c r="BE299" i="54" s="1"/>
  <c r="AW281" i="54"/>
  <c r="BM11" i="54"/>
  <c r="AY304" i="54"/>
  <c r="BE34" i="54"/>
  <c r="BE304" i="54" s="1"/>
  <c r="AZ34" i="54"/>
  <c r="AZ304" i="54" s="1"/>
  <c r="AP305" i="54"/>
  <c r="AQ35" i="54"/>
  <c r="AQ305" i="54" s="1"/>
  <c r="AY302" i="54"/>
  <c r="BE32" i="54"/>
  <c r="BE302" i="54" s="1"/>
  <c r="AZ32" i="54"/>
  <c r="AZ302" i="54" s="1"/>
  <c r="BE331" i="54"/>
  <c r="BE334" i="54"/>
  <c r="BE315" i="54"/>
  <c r="AW330" i="54"/>
  <c r="BW60" i="54"/>
  <c r="AJ60" i="54"/>
  <c r="AJ330" i="54" s="1"/>
  <c r="AP300" i="54"/>
  <c r="AQ30" i="54"/>
  <c r="AQ300" i="54" s="1"/>
  <c r="AW289" i="54"/>
  <c r="BA304" i="54"/>
  <c r="BB34" i="54"/>
  <c r="BB304" i="54" s="1"/>
  <c r="AY301" i="54"/>
  <c r="BE31" i="54"/>
  <c r="BE301" i="54" s="1"/>
  <c r="AZ31" i="54"/>
  <c r="AZ301" i="54" s="1"/>
  <c r="AR305" i="54"/>
  <c r="AS35" i="54"/>
  <c r="AS305" i="54" s="1"/>
  <c r="AW286" i="54"/>
  <c r="AF250" i="53"/>
  <c r="AY303" i="54"/>
  <c r="AZ33" i="54"/>
  <c r="AZ303" i="54" s="1"/>
  <c r="BE33" i="54"/>
  <c r="BE303" i="54" s="1"/>
  <c r="BB29" i="54"/>
  <c r="BB299" i="54" s="1"/>
  <c r="BA299" i="54"/>
  <c r="AW338" i="54"/>
  <c r="BW68" i="54"/>
  <c r="AJ68" i="54"/>
  <c r="AJ338" i="54" s="1"/>
  <c r="AW316" i="54"/>
  <c r="BW46" i="54"/>
  <c r="AJ46" i="54"/>
  <c r="AJ316" i="54" s="1"/>
  <c r="BA399" i="54"/>
  <c r="BV129" i="54"/>
  <c r="AY305" i="54"/>
  <c r="BE35" i="54"/>
  <c r="BE305" i="54" s="1"/>
  <c r="AZ35" i="54"/>
  <c r="AZ305" i="54" s="1"/>
  <c r="BE321" i="54"/>
  <c r="AR300" i="54"/>
  <c r="AS30" i="54"/>
  <c r="AS300" i="54" s="1"/>
  <c r="AW320" i="54"/>
  <c r="BW50" i="54"/>
  <c r="AJ50" i="54"/>
  <c r="AJ320" i="54" s="1"/>
  <c r="BW45" i="54"/>
  <c r="AY298" i="54"/>
  <c r="AZ28" i="54"/>
  <c r="AZ298" i="54" s="1"/>
  <c r="BE28" i="54"/>
  <c r="BE298" i="54" s="1"/>
  <c r="AW288" i="54"/>
  <c r="AY300" i="54"/>
  <c r="BE30" i="54"/>
  <c r="BE300" i="54" s="1"/>
  <c r="AZ30" i="54"/>
  <c r="AZ300" i="54" s="1"/>
  <c r="AR299" i="54"/>
  <c r="AS29" i="54"/>
  <c r="AS299" i="54" s="1"/>
  <c r="AY306" i="54"/>
  <c r="BE36" i="54"/>
  <c r="BE306" i="54" s="1"/>
  <c r="AZ36" i="54"/>
  <c r="AZ306" i="54" s="1"/>
  <c r="AP299" i="54"/>
  <c r="AQ29" i="54"/>
  <c r="AQ299" i="54" s="1"/>
  <c r="AW287" i="54"/>
  <c r="AW318" i="54"/>
  <c r="AJ48" i="54"/>
  <c r="AJ318" i="54" s="1"/>
  <c r="BW48" i="54"/>
  <c r="AW290" i="54"/>
  <c r="BA400" i="54"/>
  <c r="BV130" i="54"/>
  <c r="BW44" i="54"/>
  <c r="AO34" i="53"/>
  <c r="AR34" i="53" s="1"/>
  <c r="AS34" i="53" s="1"/>
  <c r="BA303" i="54"/>
  <c r="BB33" i="54"/>
  <c r="BB303" i="54" s="1"/>
  <c r="BA398" i="54"/>
  <c r="AP301" i="54"/>
  <c r="AQ31" i="54"/>
  <c r="AQ301" i="54" s="1"/>
  <c r="AN54" i="53"/>
  <c r="AM41" i="53"/>
  <c r="AN96" i="53"/>
  <c r="AN57" i="53"/>
  <c r="AM36" i="53"/>
  <c r="AM38" i="53"/>
  <c r="AN40" i="53"/>
  <c r="AM40" i="53"/>
  <c r="AN103" i="53"/>
  <c r="AM103" i="53"/>
  <c r="AN78" i="53"/>
  <c r="AM78" i="53"/>
  <c r="AN104" i="53"/>
  <c r="AM104" i="53"/>
  <c r="AN95" i="53"/>
  <c r="AM95" i="53"/>
  <c r="AM53" i="53"/>
  <c r="AN53" i="53"/>
  <c r="AN92" i="53"/>
  <c r="AM92" i="53"/>
  <c r="AN55" i="53"/>
  <c r="AM55" i="53"/>
  <c r="AN105" i="53"/>
  <c r="AM105" i="53"/>
  <c r="AM93" i="53"/>
  <c r="AN93" i="53"/>
  <c r="BM126" i="54" l="1"/>
  <c r="AR398" i="54"/>
  <c r="BS128" i="54"/>
  <c r="BU128" i="54" s="1"/>
  <c r="BV128" i="54" s="1"/>
  <c r="BH127" i="54"/>
  <c r="BH397" i="54" s="1"/>
  <c r="AR397" i="54"/>
  <c r="BV127" i="54"/>
  <c r="BA396" i="54"/>
  <c r="BH126" i="54"/>
  <c r="BH396" i="54" s="1"/>
  <c r="BM281" i="54"/>
  <c r="BQ28" i="54"/>
  <c r="BU28" i="54"/>
  <c r="BT28" i="54"/>
  <c r="BR28" i="54"/>
  <c r="BU33" i="54"/>
  <c r="BQ33" i="54"/>
  <c r="BR33" i="54"/>
  <c r="BT33" i="54"/>
  <c r="BQ32" i="54"/>
  <c r="BT32" i="54"/>
  <c r="BR32" i="54"/>
  <c r="BU32" i="54"/>
  <c r="BT31" i="54"/>
  <c r="BQ31" i="54"/>
  <c r="BU31" i="54"/>
  <c r="BR31" i="54"/>
  <c r="BU35" i="54"/>
  <c r="BT35" i="54"/>
  <c r="BQ35" i="54"/>
  <c r="BR35" i="54"/>
  <c r="BQ29" i="54"/>
  <c r="BR29" i="54"/>
  <c r="BT29" i="54"/>
  <c r="BU29" i="54"/>
  <c r="BQ36" i="54"/>
  <c r="BR36" i="54"/>
  <c r="BU36" i="54"/>
  <c r="BT36" i="54"/>
  <c r="BQ30" i="54"/>
  <c r="BR30" i="54"/>
  <c r="BT30" i="54"/>
  <c r="BU30" i="54"/>
  <c r="BU34" i="54"/>
  <c r="BQ34" i="54"/>
  <c r="BT34" i="54"/>
  <c r="BR34" i="54"/>
  <c r="BW132" i="54"/>
  <c r="AW298" i="54"/>
  <c r="AJ28" i="54"/>
  <c r="AJ298" i="54" s="1"/>
  <c r="AL28" i="54"/>
  <c r="AL298" i="54" s="1"/>
  <c r="AW304" i="54"/>
  <c r="AL34" i="54"/>
  <c r="AL304" i="54" s="1"/>
  <c r="AJ34" i="54"/>
  <c r="AJ304" i="54" s="1"/>
  <c r="AW299" i="54"/>
  <c r="AL29" i="54"/>
  <c r="AL299" i="54" s="1"/>
  <c r="AJ29" i="54"/>
  <c r="AJ299" i="54" s="1"/>
  <c r="AW300" i="54"/>
  <c r="AL30" i="54"/>
  <c r="AL300" i="54" s="1"/>
  <c r="AJ30" i="54"/>
  <c r="AJ300" i="54" s="1"/>
  <c r="AW305" i="54"/>
  <c r="AL35" i="54"/>
  <c r="AL305" i="54" s="1"/>
  <c r="AJ35" i="54"/>
  <c r="AJ305" i="54" s="1"/>
  <c r="AW303" i="54"/>
  <c r="AL33" i="54"/>
  <c r="AL303" i="54" s="1"/>
  <c r="AJ33" i="54"/>
  <c r="AJ303" i="54" s="1"/>
  <c r="AW301" i="54"/>
  <c r="AL31" i="54"/>
  <c r="AL301" i="54" s="1"/>
  <c r="AJ31" i="54"/>
  <c r="AJ301" i="54" s="1"/>
  <c r="AW302" i="54"/>
  <c r="AL32" i="54"/>
  <c r="AL302" i="54" s="1"/>
  <c r="AJ32" i="54"/>
  <c r="AJ302" i="54" s="1"/>
  <c r="AT34" i="53"/>
  <c r="AW306" i="54"/>
  <c r="AJ36" i="54"/>
  <c r="AJ306" i="54" s="1"/>
  <c r="AL36" i="54"/>
  <c r="AL306" i="54" s="1"/>
  <c r="BM396" i="54" l="1"/>
  <c r="BV126" i="54"/>
  <c r="BV132" i="54" s="1"/>
  <c r="BH132" i="54"/>
  <c r="AF51" i="53" s="1"/>
  <c r="AU34" i="53"/>
  <c r="AN34" i="53" s="1"/>
  <c r="W293" i="52"/>
  <c r="W326" i="52"/>
  <c r="W277" i="52"/>
  <c r="W271" i="52"/>
  <c r="K266" i="52"/>
  <c r="X256" i="52"/>
  <c r="X251" i="52"/>
  <c r="X249" i="52"/>
  <c r="S248" i="52"/>
  <c r="O248" i="52"/>
  <c r="M250" i="52"/>
  <c r="M249" i="52"/>
  <c r="J250" i="52"/>
  <c r="B315" i="52"/>
  <c r="C315" i="52"/>
  <c r="D315" i="52"/>
  <c r="E315" i="52"/>
  <c r="F315" i="52"/>
  <c r="G315" i="52"/>
  <c r="H315" i="52"/>
  <c r="I315" i="52"/>
  <c r="J315" i="52"/>
  <c r="K315" i="52"/>
  <c r="L315" i="52"/>
  <c r="M315" i="52"/>
  <c r="N315" i="52"/>
  <c r="O315" i="52"/>
  <c r="P315" i="52"/>
  <c r="Q315" i="52"/>
  <c r="R315" i="52"/>
  <c r="S315" i="52"/>
  <c r="T315" i="52"/>
  <c r="U315" i="52"/>
  <c r="V315" i="52"/>
  <c r="W315" i="52"/>
  <c r="X315" i="52"/>
  <c r="Y315" i="52"/>
  <c r="Z315" i="52"/>
  <c r="AA315" i="52"/>
  <c r="AB315" i="52"/>
  <c r="AC315" i="52"/>
  <c r="AD315" i="52"/>
  <c r="AE315" i="52"/>
  <c r="AF315" i="52"/>
  <c r="AG315" i="52"/>
  <c r="AH315" i="52"/>
  <c r="AI315" i="52"/>
  <c r="B316" i="52"/>
  <c r="C316" i="52"/>
  <c r="D316" i="52"/>
  <c r="E316" i="52"/>
  <c r="F316" i="52"/>
  <c r="G316" i="52"/>
  <c r="H316" i="52"/>
  <c r="I316" i="52"/>
  <c r="J316" i="52"/>
  <c r="K316" i="52"/>
  <c r="L316" i="52"/>
  <c r="M316" i="52"/>
  <c r="N316" i="52"/>
  <c r="O316" i="52"/>
  <c r="P316" i="52"/>
  <c r="Q316" i="52"/>
  <c r="R316" i="52"/>
  <c r="S316" i="52"/>
  <c r="T316" i="52"/>
  <c r="U316" i="52"/>
  <c r="V316" i="52"/>
  <c r="W316" i="52"/>
  <c r="X316" i="52"/>
  <c r="Y316" i="52"/>
  <c r="Z316" i="52"/>
  <c r="AA316" i="52"/>
  <c r="AB316" i="52"/>
  <c r="AC316" i="52"/>
  <c r="AD316" i="52"/>
  <c r="AE316" i="52"/>
  <c r="AG316" i="52"/>
  <c r="AH316" i="52"/>
  <c r="AI316" i="52"/>
  <c r="B317" i="52"/>
  <c r="C317" i="52"/>
  <c r="D317" i="52"/>
  <c r="E317" i="52"/>
  <c r="F317" i="52"/>
  <c r="G317" i="52"/>
  <c r="H317" i="52"/>
  <c r="I317" i="52"/>
  <c r="J317" i="52"/>
  <c r="K317" i="52"/>
  <c r="L317" i="52"/>
  <c r="M317" i="52"/>
  <c r="N317" i="52"/>
  <c r="O317" i="52"/>
  <c r="P317" i="52"/>
  <c r="Q317" i="52"/>
  <c r="R317" i="52"/>
  <c r="S317" i="52"/>
  <c r="T317" i="52"/>
  <c r="U317" i="52"/>
  <c r="V317" i="52"/>
  <c r="W317" i="52"/>
  <c r="X317" i="52"/>
  <c r="Y317" i="52"/>
  <c r="Z317" i="52"/>
  <c r="AA317" i="52"/>
  <c r="AB317" i="52"/>
  <c r="AC317" i="52"/>
  <c r="AD317" i="52"/>
  <c r="AE317" i="52"/>
  <c r="AG317" i="52"/>
  <c r="AH317" i="52"/>
  <c r="AI317" i="52"/>
  <c r="B318" i="52"/>
  <c r="C318" i="52"/>
  <c r="D318" i="52"/>
  <c r="E318" i="52"/>
  <c r="F318" i="52"/>
  <c r="G318" i="52"/>
  <c r="H318" i="52"/>
  <c r="I318" i="52"/>
  <c r="J318" i="52"/>
  <c r="K318" i="52"/>
  <c r="L318" i="52"/>
  <c r="M318" i="52"/>
  <c r="N318" i="52"/>
  <c r="O318" i="52"/>
  <c r="P318" i="52"/>
  <c r="Q318" i="52"/>
  <c r="R318" i="52"/>
  <c r="S318" i="52"/>
  <c r="T318" i="52"/>
  <c r="U318" i="52"/>
  <c r="V318" i="52"/>
  <c r="W318" i="52"/>
  <c r="X318" i="52"/>
  <c r="Y318" i="52"/>
  <c r="Z318" i="52"/>
  <c r="AA318" i="52"/>
  <c r="AB318" i="52"/>
  <c r="AC318" i="52"/>
  <c r="AD318" i="52"/>
  <c r="AE318" i="52"/>
  <c r="AG318" i="52"/>
  <c r="AH318" i="52"/>
  <c r="AI318" i="52"/>
  <c r="B319" i="52"/>
  <c r="C319" i="52"/>
  <c r="D319" i="52"/>
  <c r="E319" i="52"/>
  <c r="F319" i="52"/>
  <c r="G319" i="52"/>
  <c r="H319" i="52"/>
  <c r="I319" i="52"/>
  <c r="J319" i="52"/>
  <c r="K319" i="52"/>
  <c r="L319" i="52"/>
  <c r="M319" i="52"/>
  <c r="N319" i="52"/>
  <c r="O319" i="52"/>
  <c r="P319" i="52"/>
  <c r="Q319" i="52"/>
  <c r="R319" i="52"/>
  <c r="S319" i="52"/>
  <c r="T319" i="52"/>
  <c r="U319" i="52"/>
  <c r="V319" i="52"/>
  <c r="W319" i="52"/>
  <c r="X319" i="52"/>
  <c r="Y319" i="52"/>
  <c r="Z319" i="52"/>
  <c r="AA319" i="52"/>
  <c r="AB319" i="52"/>
  <c r="AC319" i="52"/>
  <c r="AD319" i="52"/>
  <c r="AE319" i="52"/>
  <c r="AG319" i="52"/>
  <c r="AH319" i="52"/>
  <c r="AI319" i="52"/>
  <c r="B320" i="52"/>
  <c r="C320" i="52"/>
  <c r="D320" i="52"/>
  <c r="E320" i="52"/>
  <c r="F320" i="52"/>
  <c r="G320" i="52"/>
  <c r="H320" i="52"/>
  <c r="I320" i="52"/>
  <c r="J320" i="52"/>
  <c r="K320" i="52"/>
  <c r="L320" i="52"/>
  <c r="M320" i="52"/>
  <c r="N320" i="52"/>
  <c r="O320" i="52"/>
  <c r="P320" i="52"/>
  <c r="Q320" i="52"/>
  <c r="R320" i="52"/>
  <c r="S320" i="52"/>
  <c r="T320" i="52"/>
  <c r="U320" i="52"/>
  <c r="V320" i="52"/>
  <c r="W320" i="52"/>
  <c r="X320" i="52"/>
  <c r="Y320" i="52"/>
  <c r="Z320" i="52"/>
  <c r="AA320" i="52"/>
  <c r="AB320" i="52"/>
  <c r="AC320" i="52"/>
  <c r="AD320" i="52"/>
  <c r="AE320" i="52"/>
  <c r="AG320" i="52"/>
  <c r="AH320" i="52"/>
  <c r="AI320" i="52"/>
  <c r="B321" i="52"/>
  <c r="C321" i="52"/>
  <c r="D321" i="52"/>
  <c r="E321" i="52"/>
  <c r="F321" i="52"/>
  <c r="G321" i="52"/>
  <c r="H321" i="52"/>
  <c r="I321" i="52"/>
  <c r="J321" i="52"/>
  <c r="K321" i="52"/>
  <c r="L321" i="52"/>
  <c r="M321" i="52"/>
  <c r="N321" i="52"/>
  <c r="O321" i="52"/>
  <c r="P321" i="52"/>
  <c r="Q321" i="52"/>
  <c r="R321" i="52"/>
  <c r="S321" i="52"/>
  <c r="T321" i="52"/>
  <c r="U321" i="52"/>
  <c r="V321" i="52"/>
  <c r="W321" i="52"/>
  <c r="X321" i="52"/>
  <c r="Y321" i="52"/>
  <c r="Z321" i="52"/>
  <c r="AA321" i="52"/>
  <c r="AB321" i="52"/>
  <c r="AC321" i="52"/>
  <c r="AD321" i="52"/>
  <c r="AE321" i="52"/>
  <c r="AF321" i="52"/>
  <c r="AG321" i="52"/>
  <c r="AH321" i="52"/>
  <c r="AI321" i="52"/>
  <c r="B322" i="52"/>
  <c r="C322" i="52"/>
  <c r="D322" i="52"/>
  <c r="E322" i="52"/>
  <c r="F322" i="52"/>
  <c r="G322" i="52"/>
  <c r="H322" i="52"/>
  <c r="I322" i="52"/>
  <c r="J322" i="52"/>
  <c r="K322" i="52"/>
  <c r="L322" i="52"/>
  <c r="M322" i="52"/>
  <c r="N322" i="52"/>
  <c r="O322" i="52"/>
  <c r="P322" i="52"/>
  <c r="Q322" i="52"/>
  <c r="R322" i="52"/>
  <c r="S322" i="52"/>
  <c r="T322" i="52"/>
  <c r="U322" i="52"/>
  <c r="V322" i="52"/>
  <c r="W322" i="52"/>
  <c r="X322" i="52"/>
  <c r="Y322" i="52"/>
  <c r="Z322" i="52"/>
  <c r="AA322" i="52"/>
  <c r="AB322" i="52"/>
  <c r="AC322" i="52"/>
  <c r="AD322" i="52"/>
  <c r="AE322" i="52"/>
  <c r="AF322" i="52"/>
  <c r="AG322" i="52"/>
  <c r="AH322" i="52"/>
  <c r="AI322" i="52"/>
  <c r="B323" i="52"/>
  <c r="C323" i="52"/>
  <c r="D323" i="52"/>
  <c r="E323" i="52"/>
  <c r="F323" i="52"/>
  <c r="G323" i="52"/>
  <c r="H323" i="52"/>
  <c r="I323" i="52"/>
  <c r="J323" i="52"/>
  <c r="K323" i="52"/>
  <c r="L323" i="52"/>
  <c r="M323" i="52"/>
  <c r="N323" i="52"/>
  <c r="O323" i="52"/>
  <c r="P323" i="52"/>
  <c r="Q323" i="52"/>
  <c r="R323" i="52"/>
  <c r="S323" i="52"/>
  <c r="T323" i="52"/>
  <c r="U323" i="52"/>
  <c r="V323" i="52"/>
  <c r="W323" i="52"/>
  <c r="X323" i="52"/>
  <c r="Y323" i="52"/>
  <c r="Z323" i="52"/>
  <c r="AA323" i="52"/>
  <c r="AB323" i="52"/>
  <c r="AC323" i="52"/>
  <c r="AD323" i="52"/>
  <c r="AE323" i="52"/>
  <c r="AF323" i="52"/>
  <c r="AG323" i="52"/>
  <c r="AH323" i="52"/>
  <c r="AI323" i="52"/>
  <c r="B324" i="52"/>
  <c r="C324" i="52"/>
  <c r="D324" i="52"/>
  <c r="E324" i="52"/>
  <c r="F324" i="52"/>
  <c r="G324" i="52"/>
  <c r="H324" i="52"/>
  <c r="I324" i="52"/>
  <c r="J324" i="52"/>
  <c r="K324" i="52"/>
  <c r="L324" i="52"/>
  <c r="M324" i="52"/>
  <c r="N324" i="52"/>
  <c r="O324" i="52"/>
  <c r="P324" i="52"/>
  <c r="Q324" i="52"/>
  <c r="R324" i="52"/>
  <c r="S324" i="52"/>
  <c r="T324" i="52"/>
  <c r="U324" i="52"/>
  <c r="V324" i="52"/>
  <c r="W324" i="52"/>
  <c r="X324" i="52"/>
  <c r="Y324" i="52"/>
  <c r="Z324" i="52"/>
  <c r="AA324" i="52"/>
  <c r="AB324" i="52"/>
  <c r="AC324" i="52"/>
  <c r="AD324" i="52"/>
  <c r="AE324" i="52"/>
  <c r="AF324" i="52"/>
  <c r="AG324" i="52"/>
  <c r="AH324" i="52"/>
  <c r="AI324" i="52"/>
  <c r="B325" i="52"/>
  <c r="C325" i="52"/>
  <c r="D325" i="52"/>
  <c r="E325" i="52"/>
  <c r="F325" i="52"/>
  <c r="G325" i="52"/>
  <c r="H325" i="52"/>
  <c r="I325" i="52"/>
  <c r="J325" i="52"/>
  <c r="K325" i="52"/>
  <c r="L325" i="52"/>
  <c r="M325" i="52"/>
  <c r="N325" i="52"/>
  <c r="O325" i="52"/>
  <c r="P325" i="52"/>
  <c r="Q325" i="52"/>
  <c r="R325" i="52"/>
  <c r="S325" i="52"/>
  <c r="T325" i="52"/>
  <c r="U325" i="52"/>
  <c r="V325" i="52"/>
  <c r="W325" i="52"/>
  <c r="X325" i="52"/>
  <c r="Y325" i="52"/>
  <c r="Z325" i="52"/>
  <c r="AA325" i="52"/>
  <c r="AB325" i="52"/>
  <c r="AC325" i="52"/>
  <c r="AD325" i="52"/>
  <c r="AE325" i="52"/>
  <c r="AF325" i="52"/>
  <c r="AG325" i="52"/>
  <c r="AH325" i="52"/>
  <c r="AI325" i="52"/>
  <c r="B326" i="52"/>
  <c r="C326" i="52"/>
  <c r="O326" i="52"/>
  <c r="V326" i="52"/>
  <c r="Y326" i="52"/>
  <c r="AD326" i="52"/>
  <c r="AE326" i="52"/>
  <c r="AI326" i="52"/>
  <c r="B327" i="52"/>
  <c r="C327" i="52"/>
  <c r="D327" i="52"/>
  <c r="E327" i="52"/>
  <c r="F327" i="52"/>
  <c r="G327" i="52"/>
  <c r="H327" i="52"/>
  <c r="I327" i="52"/>
  <c r="J327" i="52"/>
  <c r="K327" i="52"/>
  <c r="L327" i="52"/>
  <c r="M327" i="52"/>
  <c r="N327" i="52"/>
  <c r="O327" i="52"/>
  <c r="P327" i="52"/>
  <c r="Q327" i="52"/>
  <c r="R327" i="52"/>
  <c r="S327" i="52"/>
  <c r="T327" i="52"/>
  <c r="U327" i="52"/>
  <c r="V327" i="52"/>
  <c r="W327" i="52"/>
  <c r="X327" i="52"/>
  <c r="Y327" i="52"/>
  <c r="Z327" i="52"/>
  <c r="AA327" i="52"/>
  <c r="AB327" i="52"/>
  <c r="AC327" i="52"/>
  <c r="AD327" i="52"/>
  <c r="AE327" i="52"/>
  <c r="AF327" i="52"/>
  <c r="AG327" i="52"/>
  <c r="AH327" i="52"/>
  <c r="AI327" i="52"/>
  <c r="B328" i="52"/>
  <c r="C328" i="52"/>
  <c r="D328" i="52"/>
  <c r="E328" i="52"/>
  <c r="F328" i="52"/>
  <c r="G328" i="52"/>
  <c r="H328" i="52"/>
  <c r="I328" i="52"/>
  <c r="J328" i="52"/>
  <c r="K328" i="52"/>
  <c r="L328" i="52"/>
  <c r="M328" i="52"/>
  <c r="N328" i="52"/>
  <c r="O328" i="52"/>
  <c r="P328" i="52"/>
  <c r="Q328" i="52"/>
  <c r="R328" i="52"/>
  <c r="S328" i="52"/>
  <c r="T328" i="52"/>
  <c r="U328" i="52"/>
  <c r="V328" i="52"/>
  <c r="W328" i="52"/>
  <c r="X328" i="52"/>
  <c r="Y328" i="52"/>
  <c r="Z328" i="52"/>
  <c r="AA328" i="52"/>
  <c r="AB328" i="52"/>
  <c r="AC328" i="52"/>
  <c r="AD328" i="52"/>
  <c r="AE328" i="52"/>
  <c r="AF328" i="52"/>
  <c r="AG328" i="52"/>
  <c r="AH328" i="52"/>
  <c r="AI328" i="52"/>
  <c r="AD329" i="52"/>
  <c r="AE329" i="52"/>
  <c r="AI329" i="52"/>
  <c r="B330" i="52"/>
  <c r="C330" i="52"/>
  <c r="D330" i="52"/>
  <c r="E330" i="52"/>
  <c r="F330" i="52"/>
  <c r="G330" i="52"/>
  <c r="H330" i="52"/>
  <c r="I330" i="52"/>
  <c r="J330" i="52"/>
  <c r="K330" i="52"/>
  <c r="L330" i="52"/>
  <c r="M330" i="52"/>
  <c r="N330" i="52"/>
  <c r="O330" i="52"/>
  <c r="P330" i="52"/>
  <c r="Q330" i="52"/>
  <c r="R330" i="52"/>
  <c r="S330" i="52"/>
  <c r="T330" i="52"/>
  <c r="U330" i="52"/>
  <c r="V330" i="52"/>
  <c r="W330" i="52"/>
  <c r="X330" i="52"/>
  <c r="Y330" i="52"/>
  <c r="Z330" i="52"/>
  <c r="AA330" i="52"/>
  <c r="AB330" i="52"/>
  <c r="AC330" i="52"/>
  <c r="AD330" i="52"/>
  <c r="AE330" i="52"/>
  <c r="AF330" i="52"/>
  <c r="AG330" i="52"/>
  <c r="AH330" i="52"/>
  <c r="AI330" i="52"/>
  <c r="AI331" i="52"/>
  <c r="B290" i="52"/>
  <c r="C290" i="52"/>
  <c r="D290" i="52"/>
  <c r="E290" i="52"/>
  <c r="F290" i="52"/>
  <c r="G290" i="52"/>
  <c r="H290" i="52"/>
  <c r="I290" i="52"/>
  <c r="J290" i="52"/>
  <c r="K290" i="52"/>
  <c r="L290" i="52"/>
  <c r="M290" i="52"/>
  <c r="N290" i="52"/>
  <c r="O290" i="52"/>
  <c r="P290" i="52"/>
  <c r="Q290" i="52"/>
  <c r="R290" i="52"/>
  <c r="S290" i="52"/>
  <c r="T290" i="52"/>
  <c r="U290" i="52"/>
  <c r="V290" i="52"/>
  <c r="W290" i="52"/>
  <c r="X290" i="52"/>
  <c r="Y290" i="52"/>
  <c r="Z290" i="52"/>
  <c r="AA290" i="52"/>
  <c r="AB290" i="52"/>
  <c r="AC290" i="52"/>
  <c r="AD290" i="52"/>
  <c r="AE290" i="52"/>
  <c r="AF290" i="52"/>
  <c r="AG290" i="52"/>
  <c r="AH290" i="52"/>
  <c r="AI290" i="52"/>
  <c r="B291" i="52"/>
  <c r="B292" i="52"/>
  <c r="C292" i="52"/>
  <c r="D292" i="52"/>
  <c r="E292" i="52"/>
  <c r="F292" i="52"/>
  <c r="G292" i="52"/>
  <c r="H292" i="52"/>
  <c r="I292" i="52"/>
  <c r="J292" i="52"/>
  <c r="K292" i="52"/>
  <c r="L292" i="52"/>
  <c r="M292" i="52"/>
  <c r="N292" i="52"/>
  <c r="O292" i="52"/>
  <c r="P292" i="52"/>
  <c r="Q292" i="52"/>
  <c r="R292" i="52"/>
  <c r="S292" i="52"/>
  <c r="T292" i="52"/>
  <c r="U292" i="52"/>
  <c r="V292" i="52"/>
  <c r="W292" i="52"/>
  <c r="X292" i="52"/>
  <c r="Y292" i="52"/>
  <c r="Z292" i="52"/>
  <c r="AA292" i="52"/>
  <c r="AB292" i="52"/>
  <c r="AC292" i="52"/>
  <c r="AD292" i="52"/>
  <c r="AE292" i="52"/>
  <c r="AF292" i="52"/>
  <c r="B293" i="52"/>
  <c r="C293" i="52"/>
  <c r="V293" i="52"/>
  <c r="AD293" i="52"/>
  <c r="AE293" i="52"/>
  <c r="AI293" i="52"/>
  <c r="B294" i="52"/>
  <c r="C294" i="52"/>
  <c r="D294" i="52"/>
  <c r="E294" i="52"/>
  <c r="F294" i="52"/>
  <c r="G294" i="52"/>
  <c r="H294" i="52"/>
  <c r="I294" i="52"/>
  <c r="J294" i="52"/>
  <c r="K294" i="52"/>
  <c r="L294" i="52"/>
  <c r="M294" i="52"/>
  <c r="N294" i="52"/>
  <c r="O294" i="52"/>
  <c r="P294" i="52"/>
  <c r="Q294" i="52"/>
  <c r="R294" i="52"/>
  <c r="S294" i="52"/>
  <c r="T294" i="52"/>
  <c r="U294" i="52"/>
  <c r="V294" i="52"/>
  <c r="W294" i="52"/>
  <c r="X294" i="52"/>
  <c r="Y294" i="52"/>
  <c r="Z294" i="52"/>
  <c r="AA294" i="52"/>
  <c r="AB294" i="52"/>
  <c r="AC294" i="52"/>
  <c r="AD294" i="52"/>
  <c r="AE294" i="52"/>
  <c r="AG294" i="52"/>
  <c r="AH294" i="52"/>
  <c r="AI294" i="52"/>
  <c r="B295" i="52"/>
  <c r="C295" i="52"/>
  <c r="D295" i="52"/>
  <c r="E295" i="52"/>
  <c r="F295" i="52"/>
  <c r="G295" i="52"/>
  <c r="H295" i="52"/>
  <c r="I295" i="52"/>
  <c r="J295" i="52"/>
  <c r="K295" i="52"/>
  <c r="L295" i="52"/>
  <c r="M295" i="52"/>
  <c r="N295" i="52"/>
  <c r="O295" i="52"/>
  <c r="P295" i="52"/>
  <c r="Q295" i="52"/>
  <c r="R295" i="52"/>
  <c r="S295" i="52"/>
  <c r="T295" i="52"/>
  <c r="U295" i="52"/>
  <c r="V295" i="52"/>
  <c r="W295" i="52"/>
  <c r="X295" i="52"/>
  <c r="Y295" i="52"/>
  <c r="Z295" i="52"/>
  <c r="AA295" i="52"/>
  <c r="AB295" i="52"/>
  <c r="AC295" i="52"/>
  <c r="AD295" i="52"/>
  <c r="AE295" i="52"/>
  <c r="AG295" i="52"/>
  <c r="AH295" i="52"/>
  <c r="AI295" i="52"/>
  <c r="B296" i="52"/>
  <c r="C296" i="52"/>
  <c r="D296" i="52"/>
  <c r="E296" i="52"/>
  <c r="F296" i="52"/>
  <c r="G296" i="52"/>
  <c r="H296" i="52"/>
  <c r="I296" i="52"/>
  <c r="J296" i="52"/>
  <c r="K296" i="52"/>
  <c r="L296" i="52"/>
  <c r="M296" i="52"/>
  <c r="N296" i="52"/>
  <c r="O296" i="52"/>
  <c r="P296" i="52"/>
  <c r="Q296" i="52"/>
  <c r="R296" i="52"/>
  <c r="S296" i="52"/>
  <c r="T296" i="52"/>
  <c r="U296" i="52"/>
  <c r="V296" i="52"/>
  <c r="W296" i="52"/>
  <c r="X296" i="52"/>
  <c r="Y296" i="52"/>
  <c r="Z296" i="52"/>
  <c r="AA296" i="52"/>
  <c r="AB296" i="52"/>
  <c r="AC296" i="52"/>
  <c r="AD296" i="52"/>
  <c r="AE296" i="52"/>
  <c r="AG296" i="52"/>
  <c r="AH296" i="52"/>
  <c r="AI296" i="52"/>
  <c r="B297" i="52"/>
  <c r="C297" i="52"/>
  <c r="D297" i="52"/>
  <c r="E297" i="52"/>
  <c r="F297" i="52"/>
  <c r="G297" i="52"/>
  <c r="H297" i="52"/>
  <c r="I297" i="52"/>
  <c r="J297" i="52"/>
  <c r="K297" i="52"/>
  <c r="L297" i="52"/>
  <c r="M297" i="52"/>
  <c r="N297" i="52"/>
  <c r="O297" i="52"/>
  <c r="P297" i="52"/>
  <c r="Q297" i="52"/>
  <c r="R297" i="52"/>
  <c r="S297" i="52"/>
  <c r="T297" i="52"/>
  <c r="U297" i="52"/>
  <c r="V297" i="52"/>
  <c r="W297" i="52"/>
  <c r="X297" i="52"/>
  <c r="Y297" i="52"/>
  <c r="Z297" i="52"/>
  <c r="AA297" i="52"/>
  <c r="AB297" i="52"/>
  <c r="AC297" i="52"/>
  <c r="AD297" i="52"/>
  <c r="AE297" i="52"/>
  <c r="AG297" i="52"/>
  <c r="AH297" i="52"/>
  <c r="AI297" i="52"/>
  <c r="B298" i="52"/>
  <c r="C298" i="52"/>
  <c r="D298" i="52"/>
  <c r="E298" i="52"/>
  <c r="F298" i="52"/>
  <c r="G298" i="52"/>
  <c r="H298" i="52"/>
  <c r="I298" i="52"/>
  <c r="J298" i="52"/>
  <c r="K298" i="52"/>
  <c r="L298" i="52"/>
  <c r="M298" i="52"/>
  <c r="N298" i="52"/>
  <c r="O298" i="52"/>
  <c r="P298" i="52"/>
  <c r="Q298" i="52"/>
  <c r="R298" i="52"/>
  <c r="S298" i="52"/>
  <c r="T298" i="52"/>
  <c r="U298" i="52"/>
  <c r="V298" i="52"/>
  <c r="W298" i="52"/>
  <c r="X298" i="52"/>
  <c r="Y298" i="52"/>
  <c r="Z298" i="52"/>
  <c r="AA298" i="52"/>
  <c r="AB298" i="52"/>
  <c r="AC298" i="52"/>
  <c r="AD298" i="52"/>
  <c r="AE298" i="52"/>
  <c r="AG298" i="52"/>
  <c r="AH298" i="52"/>
  <c r="AI298" i="52"/>
  <c r="B299" i="52"/>
  <c r="C299" i="52"/>
  <c r="D299" i="52"/>
  <c r="E299" i="52"/>
  <c r="F299" i="52"/>
  <c r="G299" i="52"/>
  <c r="H299" i="52"/>
  <c r="I299" i="52"/>
  <c r="J299" i="52"/>
  <c r="K299" i="52"/>
  <c r="L299" i="52"/>
  <c r="M299" i="52"/>
  <c r="N299" i="52"/>
  <c r="O299" i="52"/>
  <c r="P299" i="52"/>
  <c r="Q299" i="52"/>
  <c r="R299" i="52"/>
  <c r="S299" i="52"/>
  <c r="T299" i="52"/>
  <c r="U299" i="52"/>
  <c r="V299" i="52"/>
  <c r="W299" i="52"/>
  <c r="X299" i="52"/>
  <c r="Y299" i="52"/>
  <c r="Z299" i="52"/>
  <c r="AA299" i="52"/>
  <c r="AB299" i="52"/>
  <c r="AC299" i="52"/>
  <c r="AD299" i="52"/>
  <c r="AE299" i="52"/>
  <c r="AG299" i="52"/>
  <c r="AH299" i="52"/>
  <c r="AI299" i="52"/>
  <c r="B300" i="52"/>
  <c r="C300" i="52"/>
  <c r="D300" i="52"/>
  <c r="E300" i="52"/>
  <c r="F300" i="52"/>
  <c r="G300" i="52"/>
  <c r="H300" i="52"/>
  <c r="I300" i="52"/>
  <c r="J300" i="52"/>
  <c r="K300" i="52"/>
  <c r="L300" i="52"/>
  <c r="M300" i="52"/>
  <c r="N300" i="52"/>
  <c r="O300" i="52"/>
  <c r="P300" i="52"/>
  <c r="Q300" i="52"/>
  <c r="R300" i="52"/>
  <c r="S300" i="52"/>
  <c r="T300" i="52"/>
  <c r="U300" i="52"/>
  <c r="V300" i="52"/>
  <c r="W300" i="52"/>
  <c r="X300" i="52"/>
  <c r="Y300" i="52"/>
  <c r="Z300" i="52"/>
  <c r="AA300" i="52"/>
  <c r="AB300" i="52"/>
  <c r="AC300" i="52"/>
  <c r="AD300" i="52"/>
  <c r="AE300" i="52"/>
  <c r="AF300" i="52"/>
  <c r="AG300" i="52"/>
  <c r="AH300" i="52"/>
  <c r="AI300" i="52"/>
  <c r="B301" i="52"/>
  <c r="C301" i="52"/>
  <c r="D301" i="52"/>
  <c r="E301" i="52"/>
  <c r="F301" i="52"/>
  <c r="G301" i="52"/>
  <c r="H301" i="52"/>
  <c r="I301" i="52"/>
  <c r="J301" i="52"/>
  <c r="K301" i="52"/>
  <c r="L301" i="52"/>
  <c r="M301" i="52"/>
  <c r="N301" i="52"/>
  <c r="O301" i="52"/>
  <c r="P301" i="52"/>
  <c r="Q301" i="52"/>
  <c r="R301" i="52"/>
  <c r="S301" i="52"/>
  <c r="T301" i="52"/>
  <c r="U301" i="52"/>
  <c r="V301" i="52"/>
  <c r="W301" i="52"/>
  <c r="X301" i="52"/>
  <c r="Y301" i="52"/>
  <c r="Z301" i="52"/>
  <c r="AA301" i="52"/>
  <c r="AB301" i="52"/>
  <c r="AC301" i="52"/>
  <c r="AD301" i="52"/>
  <c r="AE301" i="52"/>
  <c r="AG301" i="52"/>
  <c r="AH301" i="52"/>
  <c r="AI301" i="52"/>
  <c r="B302" i="52"/>
  <c r="C302" i="52"/>
  <c r="D302" i="52"/>
  <c r="E302" i="52"/>
  <c r="F302" i="52"/>
  <c r="G302" i="52"/>
  <c r="H302" i="52"/>
  <c r="I302" i="52"/>
  <c r="J302" i="52"/>
  <c r="K302" i="52"/>
  <c r="L302" i="52"/>
  <c r="M302" i="52"/>
  <c r="N302" i="52"/>
  <c r="O302" i="52"/>
  <c r="P302" i="52"/>
  <c r="Q302" i="52"/>
  <c r="R302" i="52"/>
  <c r="S302" i="52"/>
  <c r="T302" i="52"/>
  <c r="U302" i="52"/>
  <c r="V302" i="52"/>
  <c r="W302" i="52"/>
  <c r="X302" i="52"/>
  <c r="Y302" i="52"/>
  <c r="Z302" i="52"/>
  <c r="AA302" i="52"/>
  <c r="AB302" i="52"/>
  <c r="AC302" i="52"/>
  <c r="AD302" i="52"/>
  <c r="AE302" i="52"/>
  <c r="AG302" i="52"/>
  <c r="AH302" i="52"/>
  <c r="AI302" i="52"/>
  <c r="B303" i="52"/>
  <c r="C303" i="52"/>
  <c r="D303" i="52"/>
  <c r="E303" i="52"/>
  <c r="F303" i="52"/>
  <c r="G303" i="52"/>
  <c r="H303" i="52"/>
  <c r="I303" i="52"/>
  <c r="J303" i="52"/>
  <c r="K303" i="52"/>
  <c r="L303" i="52"/>
  <c r="M303" i="52"/>
  <c r="N303" i="52"/>
  <c r="O303" i="52"/>
  <c r="P303" i="52"/>
  <c r="Q303" i="52"/>
  <c r="R303" i="52"/>
  <c r="S303" i="52"/>
  <c r="T303" i="52"/>
  <c r="U303" i="52"/>
  <c r="V303" i="52"/>
  <c r="W303" i="52"/>
  <c r="X303" i="52"/>
  <c r="Y303" i="52"/>
  <c r="Z303" i="52"/>
  <c r="AA303" i="52"/>
  <c r="AB303" i="52"/>
  <c r="AC303" i="52"/>
  <c r="AD303" i="52"/>
  <c r="AE303" i="52"/>
  <c r="AF303" i="52"/>
  <c r="AG303" i="52"/>
  <c r="AH303" i="52"/>
  <c r="AI303" i="52"/>
  <c r="B304" i="52"/>
  <c r="C304" i="52"/>
  <c r="D304" i="52"/>
  <c r="E304" i="52"/>
  <c r="F304" i="52"/>
  <c r="G304" i="52"/>
  <c r="H304" i="52"/>
  <c r="I304" i="52"/>
  <c r="J304" i="52"/>
  <c r="K304" i="52"/>
  <c r="L304" i="52"/>
  <c r="M304" i="52"/>
  <c r="N304" i="52"/>
  <c r="O304" i="52"/>
  <c r="P304" i="52"/>
  <c r="Q304" i="52"/>
  <c r="R304" i="52"/>
  <c r="S304" i="52"/>
  <c r="T304" i="52"/>
  <c r="U304" i="52"/>
  <c r="V304" i="52"/>
  <c r="W304" i="52"/>
  <c r="X304" i="52"/>
  <c r="Y304" i="52"/>
  <c r="Z304" i="52"/>
  <c r="AA304" i="52"/>
  <c r="AB304" i="52"/>
  <c r="AC304" i="52"/>
  <c r="AD304" i="52"/>
  <c r="AE304" i="52"/>
  <c r="AF304" i="52"/>
  <c r="AG304" i="52"/>
  <c r="AH304" i="52"/>
  <c r="AI304" i="52"/>
  <c r="B305" i="52"/>
  <c r="C305" i="52"/>
  <c r="D305" i="52"/>
  <c r="E305" i="52"/>
  <c r="F305" i="52"/>
  <c r="G305" i="52"/>
  <c r="H305" i="52"/>
  <c r="I305" i="52"/>
  <c r="J305" i="52"/>
  <c r="K305" i="52"/>
  <c r="L305" i="52"/>
  <c r="M305" i="52"/>
  <c r="N305" i="52"/>
  <c r="O305" i="52"/>
  <c r="P305" i="52"/>
  <c r="Q305" i="52"/>
  <c r="R305" i="52"/>
  <c r="S305" i="52"/>
  <c r="T305" i="52"/>
  <c r="U305" i="52"/>
  <c r="V305" i="52"/>
  <c r="W305" i="52"/>
  <c r="X305" i="52"/>
  <c r="Y305" i="52"/>
  <c r="Z305" i="52"/>
  <c r="AA305" i="52"/>
  <c r="AB305" i="52"/>
  <c r="AC305" i="52"/>
  <c r="AD305" i="52"/>
  <c r="AE305" i="52"/>
  <c r="AF305" i="52"/>
  <c r="AG305" i="52"/>
  <c r="AH305" i="52"/>
  <c r="AI305" i="52"/>
  <c r="B306" i="52"/>
  <c r="C306" i="52"/>
  <c r="D306" i="52"/>
  <c r="E306" i="52"/>
  <c r="F306" i="52"/>
  <c r="G306" i="52"/>
  <c r="H306" i="52"/>
  <c r="I306" i="52"/>
  <c r="J306" i="52"/>
  <c r="K306" i="52"/>
  <c r="L306" i="52"/>
  <c r="M306" i="52"/>
  <c r="N306" i="52"/>
  <c r="O306" i="52"/>
  <c r="P306" i="52"/>
  <c r="Q306" i="52"/>
  <c r="R306" i="52"/>
  <c r="S306" i="52"/>
  <c r="T306" i="52"/>
  <c r="U306" i="52"/>
  <c r="V306" i="52"/>
  <c r="W306" i="52"/>
  <c r="X306" i="52"/>
  <c r="Y306" i="52"/>
  <c r="Z306" i="52"/>
  <c r="AA306" i="52"/>
  <c r="AB306" i="52"/>
  <c r="AC306" i="52"/>
  <c r="AD306" i="52"/>
  <c r="AE306" i="52"/>
  <c r="AF306" i="52"/>
  <c r="AG306" i="52"/>
  <c r="AH306" i="52"/>
  <c r="AI306" i="52"/>
  <c r="B307" i="52"/>
  <c r="C307" i="52"/>
  <c r="D307" i="52"/>
  <c r="E307" i="52"/>
  <c r="F307" i="52"/>
  <c r="G307" i="52"/>
  <c r="H307" i="52"/>
  <c r="I307" i="52"/>
  <c r="J307" i="52"/>
  <c r="K307" i="52"/>
  <c r="L307" i="52"/>
  <c r="M307" i="52"/>
  <c r="N307" i="52"/>
  <c r="O307" i="52"/>
  <c r="P307" i="52"/>
  <c r="Q307" i="52"/>
  <c r="R307" i="52"/>
  <c r="S307" i="52"/>
  <c r="T307" i="52"/>
  <c r="U307" i="52"/>
  <c r="V307" i="52"/>
  <c r="W307" i="52"/>
  <c r="X307" i="52"/>
  <c r="Y307" i="52"/>
  <c r="Z307" i="52"/>
  <c r="AA307" i="52"/>
  <c r="AB307" i="52"/>
  <c r="AC307" i="52"/>
  <c r="AD307" i="52"/>
  <c r="AE307" i="52"/>
  <c r="AG307" i="52"/>
  <c r="AH307" i="52"/>
  <c r="AI307" i="52"/>
  <c r="B308" i="52"/>
  <c r="C308" i="52"/>
  <c r="D308" i="52"/>
  <c r="E308" i="52"/>
  <c r="F308" i="52"/>
  <c r="G308" i="52"/>
  <c r="H308" i="52"/>
  <c r="I308" i="52"/>
  <c r="J308" i="52"/>
  <c r="K308" i="52"/>
  <c r="L308" i="52"/>
  <c r="M308" i="52"/>
  <c r="N308" i="52"/>
  <c r="O308" i="52"/>
  <c r="P308" i="52"/>
  <c r="Q308" i="52"/>
  <c r="R308" i="52"/>
  <c r="S308" i="52"/>
  <c r="T308" i="52"/>
  <c r="U308" i="52"/>
  <c r="V308" i="52"/>
  <c r="W308" i="52"/>
  <c r="X308" i="52"/>
  <c r="Y308" i="52"/>
  <c r="Z308" i="52"/>
  <c r="AA308" i="52"/>
  <c r="AB308" i="52"/>
  <c r="AC308" i="52"/>
  <c r="AD308" i="52"/>
  <c r="AE308" i="52"/>
  <c r="AG308" i="52"/>
  <c r="AH308" i="52"/>
  <c r="AI308" i="52"/>
  <c r="B309" i="52"/>
  <c r="C309" i="52"/>
  <c r="D309" i="52"/>
  <c r="E309" i="52"/>
  <c r="F309" i="52"/>
  <c r="G309" i="52"/>
  <c r="H309" i="52"/>
  <c r="I309" i="52"/>
  <c r="J309" i="52"/>
  <c r="K309" i="52"/>
  <c r="L309" i="52"/>
  <c r="M309" i="52"/>
  <c r="N309" i="52"/>
  <c r="O309" i="52"/>
  <c r="P309" i="52"/>
  <c r="Q309" i="52"/>
  <c r="R309" i="52"/>
  <c r="S309" i="52"/>
  <c r="T309" i="52"/>
  <c r="U309" i="52"/>
  <c r="V309" i="52"/>
  <c r="W309" i="52"/>
  <c r="X309" i="52"/>
  <c r="Y309" i="52"/>
  <c r="Z309" i="52"/>
  <c r="AA309" i="52"/>
  <c r="AB309" i="52"/>
  <c r="AC309" i="52"/>
  <c r="AD309" i="52"/>
  <c r="AE309" i="52"/>
  <c r="AG309" i="52"/>
  <c r="AH309" i="52"/>
  <c r="AI309" i="52"/>
  <c r="B310" i="52"/>
  <c r="C310" i="52"/>
  <c r="D310" i="52"/>
  <c r="E310" i="52"/>
  <c r="F310" i="52"/>
  <c r="G310" i="52"/>
  <c r="H310" i="52"/>
  <c r="I310" i="52"/>
  <c r="J310" i="52"/>
  <c r="K310" i="52"/>
  <c r="L310" i="52"/>
  <c r="M310" i="52"/>
  <c r="N310" i="52"/>
  <c r="O310" i="52"/>
  <c r="P310" i="52"/>
  <c r="Q310" i="52"/>
  <c r="R310" i="52"/>
  <c r="S310" i="52"/>
  <c r="T310" i="52"/>
  <c r="U310" i="52"/>
  <c r="V310" i="52"/>
  <c r="W310" i="52"/>
  <c r="X310" i="52"/>
  <c r="Y310" i="52"/>
  <c r="Z310" i="52"/>
  <c r="AA310" i="52"/>
  <c r="AB310" i="52"/>
  <c r="AC310" i="52"/>
  <c r="AD310" i="52"/>
  <c r="AE310" i="52"/>
  <c r="AG310" i="52"/>
  <c r="AH310" i="52"/>
  <c r="AI310" i="52"/>
  <c r="B311" i="52"/>
  <c r="C311" i="52"/>
  <c r="D311" i="52"/>
  <c r="E311" i="52"/>
  <c r="F311" i="52"/>
  <c r="G311" i="52"/>
  <c r="H311" i="52"/>
  <c r="I311" i="52"/>
  <c r="J311" i="52"/>
  <c r="K311" i="52"/>
  <c r="L311" i="52"/>
  <c r="M311" i="52"/>
  <c r="N311" i="52"/>
  <c r="O311" i="52"/>
  <c r="P311" i="52"/>
  <c r="Q311" i="52"/>
  <c r="R311" i="52"/>
  <c r="S311" i="52"/>
  <c r="T311" i="52"/>
  <c r="U311" i="52"/>
  <c r="V311" i="52"/>
  <c r="W311" i="52"/>
  <c r="X311" i="52"/>
  <c r="Y311" i="52"/>
  <c r="Z311" i="52"/>
  <c r="AA311" i="52"/>
  <c r="AB311" i="52"/>
  <c r="AC311" i="52"/>
  <c r="AD311" i="52"/>
  <c r="AE311" i="52"/>
  <c r="AG311" i="52"/>
  <c r="AH311" i="52"/>
  <c r="AI311" i="52"/>
  <c r="B312" i="52"/>
  <c r="C312" i="52"/>
  <c r="D312" i="52"/>
  <c r="E312" i="52"/>
  <c r="F312" i="52"/>
  <c r="G312" i="52"/>
  <c r="H312" i="52"/>
  <c r="I312" i="52"/>
  <c r="J312" i="52"/>
  <c r="K312" i="52"/>
  <c r="L312" i="52"/>
  <c r="M312" i="52"/>
  <c r="N312" i="52"/>
  <c r="O312" i="52"/>
  <c r="P312" i="52"/>
  <c r="Q312" i="52"/>
  <c r="R312" i="52"/>
  <c r="S312" i="52"/>
  <c r="T312" i="52"/>
  <c r="U312" i="52"/>
  <c r="V312" i="52"/>
  <c r="W312" i="52"/>
  <c r="X312" i="52"/>
  <c r="Y312" i="52"/>
  <c r="Z312" i="52"/>
  <c r="AA312" i="52"/>
  <c r="AB312" i="52"/>
  <c r="AC312" i="52"/>
  <c r="AD312" i="52"/>
  <c r="AE312" i="52"/>
  <c r="AF312" i="52"/>
  <c r="AG312" i="52"/>
  <c r="AH312" i="52"/>
  <c r="AI312" i="52"/>
  <c r="B313" i="52"/>
  <c r="C313" i="52"/>
  <c r="D313" i="52"/>
  <c r="E313" i="52"/>
  <c r="F313" i="52"/>
  <c r="G313" i="52"/>
  <c r="H313" i="52"/>
  <c r="I313" i="52"/>
  <c r="J313" i="52"/>
  <c r="K313" i="52"/>
  <c r="L313" i="52"/>
  <c r="M313" i="52"/>
  <c r="N313" i="52"/>
  <c r="O313" i="52"/>
  <c r="P313" i="52"/>
  <c r="Q313" i="52"/>
  <c r="R313" i="52"/>
  <c r="S313" i="52"/>
  <c r="T313" i="52"/>
  <c r="U313" i="52"/>
  <c r="V313" i="52"/>
  <c r="W313" i="52"/>
  <c r="X313" i="52"/>
  <c r="Y313" i="52"/>
  <c r="Z313" i="52"/>
  <c r="AA313" i="52"/>
  <c r="AB313" i="52"/>
  <c r="AC313" i="52"/>
  <c r="AD313" i="52"/>
  <c r="AE313" i="52"/>
  <c r="AF313" i="52"/>
  <c r="AG313" i="52"/>
  <c r="AH313" i="52"/>
  <c r="AI313" i="52"/>
  <c r="B314" i="52"/>
  <c r="C314" i="52"/>
  <c r="D314" i="52"/>
  <c r="E314" i="52"/>
  <c r="F314" i="52"/>
  <c r="G314" i="52"/>
  <c r="H314" i="52"/>
  <c r="I314" i="52"/>
  <c r="J314" i="52"/>
  <c r="K314" i="52"/>
  <c r="L314" i="52"/>
  <c r="M314" i="52"/>
  <c r="N314" i="52"/>
  <c r="O314" i="52"/>
  <c r="P314" i="52"/>
  <c r="Q314" i="52"/>
  <c r="R314" i="52"/>
  <c r="S314" i="52"/>
  <c r="T314" i="52"/>
  <c r="U314" i="52"/>
  <c r="V314" i="52"/>
  <c r="W314" i="52"/>
  <c r="X314" i="52"/>
  <c r="Y314" i="52"/>
  <c r="Z314" i="52"/>
  <c r="AA314" i="52"/>
  <c r="AB314" i="52"/>
  <c r="AC314" i="52"/>
  <c r="AD314" i="52"/>
  <c r="AE314" i="52"/>
  <c r="AF314" i="52"/>
  <c r="AG314" i="52"/>
  <c r="AH314" i="52"/>
  <c r="AI314" i="52"/>
  <c r="B289" i="52"/>
  <c r="C289" i="52"/>
  <c r="D289" i="52"/>
  <c r="E289" i="52"/>
  <c r="F289" i="52"/>
  <c r="G289" i="52"/>
  <c r="H289" i="52"/>
  <c r="I289" i="52"/>
  <c r="J289" i="52"/>
  <c r="K289" i="52"/>
  <c r="L289" i="52"/>
  <c r="M289" i="52"/>
  <c r="N289" i="52"/>
  <c r="O289" i="52"/>
  <c r="P289" i="52"/>
  <c r="Q289" i="52"/>
  <c r="R289" i="52"/>
  <c r="S289" i="52"/>
  <c r="T289" i="52"/>
  <c r="U289" i="52"/>
  <c r="V289" i="52"/>
  <c r="W289" i="52"/>
  <c r="X289" i="52"/>
  <c r="Y289" i="52"/>
  <c r="Z289" i="52"/>
  <c r="AA289" i="52"/>
  <c r="AB289" i="52"/>
  <c r="AC289" i="52"/>
  <c r="AD289" i="52"/>
  <c r="AE289" i="52"/>
  <c r="AF289" i="52"/>
  <c r="AG289" i="52"/>
  <c r="AH289" i="52"/>
  <c r="AI289" i="52"/>
  <c r="B271" i="52"/>
  <c r="C271" i="52"/>
  <c r="V271" i="52"/>
  <c r="Y271" i="52"/>
  <c r="AD271" i="52"/>
  <c r="AE271" i="52"/>
  <c r="AI271" i="52"/>
  <c r="B272" i="52"/>
  <c r="C272" i="52"/>
  <c r="D272" i="52"/>
  <c r="E272" i="52"/>
  <c r="F272" i="52"/>
  <c r="G272" i="52"/>
  <c r="H272" i="52"/>
  <c r="I272" i="52"/>
  <c r="J272" i="52"/>
  <c r="K272" i="52"/>
  <c r="L272" i="52"/>
  <c r="M272" i="52"/>
  <c r="N272" i="52"/>
  <c r="O272" i="52"/>
  <c r="P272" i="52"/>
  <c r="Q272" i="52"/>
  <c r="R272" i="52"/>
  <c r="S272" i="52"/>
  <c r="T272" i="52"/>
  <c r="U272" i="52"/>
  <c r="V272" i="52"/>
  <c r="W272" i="52"/>
  <c r="X272" i="52"/>
  <c r="Y272" i="52"/>
  <c r="AD272" i="52"/>
  <c r="AE272" i="52"/>
  <c r="AG272" i="52"/>
  <c r="AH272" i="52"/>
  <c r="AI272" i="52"/>
  <c r="B273" i="52"/>
  <c r="C273" i="52"/>
  <c r="D273" i="52"/>
  <c r="E273" i="52"/>
  <c r="F273" i="52"/>
  <c r="G273" i="52"/>
  <c r="H273" i="52"/>
  <c r="I273" i="52"/>
  <c r="J273" i="52"/>
  <c r="K273" i="52"/>
  <c r="L273" i="52"/>
  <c r="M273" i="52"/>
  <c r="N273" i="52"/>
  <c r="O273" i="52"/>
  <c r="P273" i="52"/>
  <c r="Q273" i="52"/>
  <c r="R273" i="52"/>
  <c r="S273" i="52"/>
  <c r="T273" i="52"/>
  <c r="U273" i="52"/>
  <c r="V273" i="52"/>
  <c r="W273" i="52"/>
  <c r="X273" i="52"/>
  <c r="Y273" i="52"/>
  <c r="Z273" i="52"/>
  <c r="AA273" i="52"/>
  <c r="AB273" i="52"/>
  <c r="AC273" i="52"/>
  <c r="AD273" i="52"/>
  <c r="AE273" i="52"/>
  <c r="AF273" i="52"/>
  <c r="AG273" i="52"/>
  <c r="AH273" i="52"/>
  <c r="AI273" i="52"/>
  <c r="B274" i="52"/>
  <c r="C274" i="52"/>
  <c r="D274" i="52"/>
  <c r="E274" i="52"/>
  <c r="F274" i="52"/>
  <c r="G274" i="52"/>
  <c r="H274" i="52"/>
  <c r="I274" i="52"/>
  <c r="J274" i="52"/>
  <c r="K274" i="52"/>
  <c r="L274" i="52"/>
  <c r="M274" i="52"/>
  <c r="N274" i="52"/>
  <c r="O274" i="52"/>
  <c r="P274" i="52"/>
  <c r="Q274" i="52"/>
  <c r="R274" i="52"/>
  <c r="S274" i="52"/>
  <c r="T274" i="52"/>
  <c r="U274" i="52"/>
  <c r="V274" i="52"/>
  <c r="W274" i="52"/>
  <c r="X274" i="52"/>
  <c r="Y274" i="52"/>
  <c r="Z274" i="52"/>
  <c r="AA274" i="52"/>
  <c r="AB274" i="52"/>
  <c r="AC274" i="52"/>
  <c r="AD274" i="52"/>
  <c r="AE274" i="52"/>
  <c r="AF274" i="52"/>
  <c r="AG274" i="52"/>
  <c r="AH274" i="52"/>
  <c r="AI274" i="52"/>
  <c r="B275" i="52"/>
  <c r="B276" i="52"/>
  <c r="C276" i="52"/>
  <c r="D276" i="52"/>
  <c r="E276" i="52"/>
  <c r="F276" i="52"/>
  <c r="G276" i="52"/>
  <c r="H276" i="52"/>
  <c r="I276" i="52"/>
  <c r="J276" i="52"/>
  <c r="K276" i="52"/>
  <c r="L276" i="52"/>
  <c r="M276" i="52"/>
  <c r="N276" i="52"/>
  <c r="O276" i="52"/>
  <c r="P276" i="52"/>
  <c r="Q276" i="52"/>
  <c r="R276" i="52"/>
  <c r="S276" i="52"/>
  <c r="T276" i="52"/>
  <c r="U276" i="52"/>
  <c r="V276" i="52"/>
  <c r="W276" i="52"/>
  <c r="X276" i="52"/>
  <c r="Y276" i="52"/>
  <c r="Z276" i="52"/>
  <c r="AA276" i="52"/>
  <c r="AB276" i="52"/>
  <c r="AC276" i="52"/>
  <c r="AD276" i="52"/>
  <c r="AE276" i="52"/>
  <c r="AF276" i="52"/>
  <c r="B277" i="52"/>
  <c r="C277" i="52"/>
  <c r="V277" i="52"/>
  <c r="Y277" i="52"/>
  <c r="AD277" i="52"/>
  <c r="AE277" i="52"/>
  <c r="AI277" i="52"/>
  <c r="B278" i="52"/>
  <c r="C278" i="52"/>
  <c r="D278" i="52"/>
  <c r="E278" i="52"/>
  <c r="F278" i="52"/>
  <c r="G278" i="52"/>
  <c r="H278" i="52"/>
  <c r="I278" i="52"/>
  <c r="J278" i="52"/>
  <c r="K278" i="52"/>
  <c r="L278" i="52"/>
  <c r="M278" i="52"/>
  <c r="N278" i="52"/>
  <c r="O278" i="52"/>
  <c r="P278" i="52"/>
  <c r="Q278" i="52"/>
  <c r="R278" i="52"/>
  <c r="S278" i="52"/>
  <c r="T278" i="52"/>
  <c r="U278" i="52"/>
  <c r="V278" i="52"/>
  <c r="W278" i="52"/>
  <c r="X278" i="52"/>
  <c r="Y278" i="52"/>
  <c r="Z278" i="52"/>
  <c r="AA278" i="52"/>
  <c r="AB278" i="52"/>
  <c r="AC278" i="52"/>
  <c r="AD278" i="52"/>
  <c r="AE278" i="52"/>
  <c r="AF278" i="52"/>
  <c r="AG278" i="52"/>
  <c r="AH278" i="52"/>
  <c r="AI278" i="52"/>
  <c r="B279" i="52"/>
  <c r="C279" i="52"/>
  <c r="D279" i="52"/>
  <c r="E279" i="52"/>
  <c r="F279" i="52"/>
  <c r="G279" i="52"/>
  <c r="H279" i="52"/>
  <c r="I279" i="52"/>
  <c r="J279" i="52"/>
  <c r="K279" i="52"/>
  <c r="L279" i="52"/>
  <c r="M279" i="52"/>
  <c r="N279" i="52"/>
  <c r="O279" i="52"/>
  <c r="P279" i="52"/>
  <c r="Q279" i="52"/>
  <c r="R279" i="52"/>
  <c r="S279" i="52"/>
  <c r="T279" i="52"/>
  <c r="U279" i="52"/>
  <c r="V279" i="52"/>
  <c r="W279" i="52"/>
  <c r="X279" i="52"/>
  <c r="Y279" i="52"/>
  <c r="Z279" i="52"/>
  <c r="AA279" i="52"/>
  <c r="AB279" i="52"/>
  <c r="AC279" i="52"/>
  <c r="AD279" i="52"/>
  <c r="AE279" i="52"/>
  <c r="AF279" i="52"/>
  <c r="AG279" i="52"/>
  <c r="AH279" i="52"/>
  <c r="AI279" i="52"/>
  <c r="B280" i="52"/>
  <c r="C280" i="52"/>
  <c r="D280" i="52"/>
  <c r="E280" i="52"/>
  <c r="F280" i="52"/>
  <c r="G280" i="52"/>
  <c r="H280" i="52"/>
  <c r="I280" i="52"/>
  <c r="J280" i="52"/>
  <c r="K280" i="52"/>
  <c r="L280" i="52"/>
  <c r="M280" i="52"/>
  <c r="N280" i="52"/>
  <c r="O280" i="52"/>
  <c r="P280" i="52"/>
  <c r="Q280" i="52"/>
  <c r="R280" i="52"/>
  <c r="S280" i="52"/>
  <c r="T280" i="52"/>
  <c r="U280" i="52"/>
  <c r="V280" i="52"/>
  <c r="W280" i="52"/>
  <c r="X280" i="52"/>
  <c r="Y280" i="52"/>
  <c r="Z280" i="52"/>
  <c r="AA280" i="52"/>
  <c r="AB280" i="52"/>
  <c r="AC280" i="52"/>
  <c r="AD280" i="52"/>
  <c r="AE280" i="52"/>
  <c r="AF280" i="52"/>
  <c r="AG280" i="52"/>
  <c r="AH280" i="52"/>
  <c r="AI280" i="52"/>
  <c r="B281" i="52"/>
  <c r="C281" i="52"/>
  <c r="D281" i="52"/>
  <c r="E281" i="52"/>
  <c r="F281" i="52"/>
  <c r="G281" i="52"/>
  <c r="H281" i="52"/>
  <c r="I281" i="52"/>
  <c r="J281" i="52"/>
  <c r="K281" i="52"/>
  <c r="L281" i="52"/>
  <c r="M281" i="52"/>
  <c r="N281" i="52"/>
  <c r="O281" i="52"/>
  <c r="P281" i="52"/>
  <c r="Q281" i="52"/>
  <c r="R281" i="52"/>
  <c r="S281" i="52"/>
  <c r="T281" i="52"/>
  <c r="U281" i="52"/>
  <c r="V281" i="52"/>
  <c r="W281" i="52"/>
  <c r="X281" i="52"/>
  <c r="Y281" i="52"/>
  <c r="Z281" i="52"/>
  <c r="AA281" i="52"/>
  <c r="AB281" i="52"/>
  <c r="AC281" i="52"/>
  <c r="AD281" i="52"/>
  <c r="AE281" i="52"/>
  <c r="AF281" i="52"/>
  <c r="AG281" i="52"/>
  <c r="AH281" i="52"/>
  <c r="AI281" i="52"/>
  <c r="B282" i="52"/>
  <c r="C282" i="52"/>
  <c r="D282" i="52"/>
  <c r="E282" i="52"/>
  <c r="F282" i="52"/>
  <c r="G282" i="52"/>
  <c r="H282" i="52"/>
  <c r="I282" i="52"/>
  <c r="J282" i="52"/>
  <c r="K282" i="52"/>
  <c r="L282" i="52"/>
  <c r="M282" i="52"/>
  <c r="N282" i="52"/>
  <c r="O282" i="52"/>
  <c r="P282" i="52"/>
  <c r="Q282" i="52"/>
  <c r="R282" i="52"/>
  <c r="S282" i="52"/>
  <c r="T282" i="52"/>
  <c r="U282" i="52"/>
  <c r="V282" i="52"/>
  <c r="W282" i="52"/>
  <c r="X282" i="52"/>
  <c r="Y282" i="52"/>
  <c r="Z282" i="52"/>
  <c r="AA282" i="52"/>
  <c r="AB282" i="52"/>
  <c r="AC282" i="52"/>
  <c r="AD282" i="52"/>
  <c r="AE282" i="52"/>
  <c r="AF282" i="52"/>
  <c r="AG282" i="52"/>
  <c r="AH282" i="52"/>
  <c r="AI282" i="52"/>
  <c r="B283" i="52"/>
  <c r="C283" i="52"/>
  <c r="D283" i="52"/>
  <c r="E283" i="52"/>
  <c r="F283" i="52"/>
  <c r="G283" i="52"/>
  <c r="H283" i="52"/>
  <c r="I283" i="52"/>
  <c r="J283" i="52"/>
  <c r="K283" i="52"/>
  <c r="L283" i="52"/>
  <c r="M283" i="52"/>
  <c r="N283" i="52"/>
  <c r="O283" i="52"/>
  <c r="P283" i="52"/>
  <c r="Q283" i="52"/>
  <c r="R283" i="52"/>
  <c r="S283" i="52"/>
  <c r="T283" i="52"/>
  <c r="U283" i="52"/>
  <c r="V283" i="52"/>
  <c r="W283" i="52"/>
  <c r="X283" i="52"/>
  <c r="Y283" i="52"/>
  <c r="Z283" i="52"/>
  <c r="AA283" i="52"/>
  <c r="AB283" i="52"/>
  <c r="AC283" i="52"/>
  <c r="AD283" i="52"/>
  <c r="AE283" i="52"/>
  <c r="AG283" i="52"/>
  <c r="AH283" i="52"/>
  <c r="AI283" i="52"/>
  <c r="B284" i="52"/>
  <c r="C284" i="52"/>
  <c r="D284" i="52"/>
  <c r="E284" i="52"/>
  <c r="F284" i="52"/>
  <c r="G284" i="52"/>
  <c r="H284" i="52"/>
  <c r="I284" i="52"/>
  <c r="J284" i="52"/>
  <c r="K284" i="52"/>
  <c r="L284" i="52"/>
  <c r="M284" i="52"/>
  <c r="N284" i="52"/>
  <c r="O284" i="52"/>
  <c r="P284" i="52"/>
  <c r="Q284" i="52"/>
  <c r="R284" i="52"/>
  <c r="S284" i="52"/>
  <c r="T284" i="52"/>
  <c r="U284" i="52"/>
  <c r="V284" i="52"/>
  <c r="W284" i="52"/>
  <c r="X284" i="52"/>
  <c r="Y284" i="52"/>
  <c r="Z284" i="52"/>
  <c r="AA284" i="52"/>
  <c r="AB284" i="52"/>
  <c r="AC284" i="52"/>
  <c r="AD284" i="52"/>
  <c r="AE284" i="52"/>
  <c r="AF284" i="52"/>
  <c r="AG284" i="52"/>
  <c r="AH284" i="52"/>
  <c r="AI284" i="52"/>
  <c r="B285" i="52"/>
  <c r="C285" i="52"/>
  <c r="D285" i="52"/>
  <c r="E285" i="52"/>
  <c r="F285" i="52"/>
  <c r="G285" i="52"/>
  <c r="H285" i="52"/>
  <c r="I285" i="52"/>
  <c r="J285" i="52"/>
  <c r="K285" i="52"/>
  <c r="L285" i="52"/>
  <c r="M285" i="52"/>
  <c r="N285" i="52"/>
  <c r="O285" i="52"/>
  <c r="P285" i="52"/>
  <c r="Q285" i="52"/>
  <c r="R285" i="52"/>
  <c r="S285" i="52"/>
  <c r="T285" i="52"/>
  <c r="U285" i="52"/>
  <c r="V285" i="52"/>
  <c r="W285" i="52"/>
  <c r="X285" i="52"/>
  <c r="Y285" i="52"/>
  <c r="Z285" i="52"/>
  <c r="AA285" i="52"/>
  <c r="AB285" i="52"/>
  <c r="AC285" i="52"/>
  <c r="AD285" i="52"/>
  <c r="AE285" i="52"/>
  <c r="AG285" i="52"/>
  <c r="AH285" i="52"/>
  <c r="AI285" i="52"/>
  <c r="B286" i="52"/>
  <c r="C286" i="52"/>
  <c r="D286" i="52"/>
  <c r="E286" i="52"/>
  <c r="F286" i="52"/>
  <c r="G286" i="52"/>
  <c r="H286" i="52"/>
  <c r="I286" i="52"/>
  <c r="J286" i="52"/>
  <c r="K286" i="52"/>
  <c r="L286" i="52"/>
  <c r="M286" i="52"/>
  <c r="N286" i="52"/>
  <c r="O286" i="52"/>
  <c r="P286" i="52"/>
  <c r="Q286" i="52"/>
  <c r="R286" i="52"/>
  <c r="S286" i="52"/>
  <c r="T286" i="52"/>
  <c r="U286" i="52"/>
  <c r="V286" i="52"/>
  <c r="W286" i="52"/>
  <c r="X286" i="52"/>
  <c r="Y286" i="52"/>
  <c r="Z286" i="52"/>
  <c r="AA286" i="52"/>
  <c r="AB286" i="52"/>
  <c r="AC286" i="52"/>
  <c r="AD286" i="52"/>
  <c r="AE286" i="52"/>
  <c r="AG286" i="52"/>
  <c r="AH286" i="52"/>
  <c r="AI286" i="52"/>
  <c r="B287" i="52"/>
  <c r="C287" i="52"/>
  <c r="D287" i="52"/>
  <c r="E287" i="52"/>
  <c r="F287" i="52"/>
  <c r="G287" i="52"/>
  <c r="H287" i="52"/>
  <c r="I287" i="52"/>
  <c r="J287" i="52"/>
  <c r="K287" i="52"/>
  <c r="L287" i="52"/>
  <c r="M287" i="52"/>
  <c r="N287" i="52"/>
  <c r="O287" i="52"/>
  <c r="P287" i="52"/>
  <c r="Q287" i="52"/>
  <c r="R287" i="52"/>
  <c r="S287" i="52"/>
  <c r="T287" i="52"/>
  <c r="U287" i="52"/>
  <c r="V287" i="52"/>
  <c r="W287" i="52"/>
  <c r="X287" i="52"/>
  <c r="Y287" i="52"/>
  <c r="Z287" i="52"/>
  <c r="AA287" i="52"/>
  <c r="AB287" i="52"/>
  <c r="AC287" i="52"/>
  <c r="AD287" i="52"/>
  <c r="AE287" i="52"/>
  <c r="AG287" i="52"/>
  <c r="AH287" i="52"/>
  <c r="AI287" i="52"/>
  <c r="B288" i="52"/>
  <c r="C288" i="52"/>
  <c r="D288" i="52"/>
  <c r="E288" i="52"/>
  <c r="F288" i="52"/>
  <c r="G288" i="52"/>
  <c r="H288" i="52"/>
  <c r="I288" i="52"/>
  <c r="J288" i="52"/>
  <c r="K288" i="52"/>
  <c r="L288" i="52"/>
  <c r="M288" i="52"/>
  <c r="N288" i="52"/>
  <c r="O288" i="52"/>
  <c r="P288" i="52"/>
  <c r="Q288" i="52"/>
  <c r="R288" i="52"/>
  <c r="S288" i="52"/>
  <c r="T288" i="52"/>
  <c r="U288" i="52"/>
  <c r="V288" i="52"/>
  <c r="W288" i="52"/>
  <c r="X288" i="52"/>
  <c r="Y288" i="52"/>
  <c r="Z288" i="52"/>
  <c r="AA288" i="52"/>
  <c r="AB288" i="52"/>
  <c r="AC288" i="52"/>
  <c r="AD288" i="52"/>
  <c r="AE288" i="52"/>
  <c r="AG288" i="52"/>
  <c r="AH288" i="52"/>
  <c r="AI288" i="52"/>
  <c r="O239" i="52"/>
  <c r="O237" i="52"/>
  <c r="O236" i="52"/>
  <c r="O233" i="52"/>
  <c r="W239" i="52"/>
  <c r="W237" i="52"/>
  <c r="W236" i="52"/>
  <c r="W235" i="52"/>
  <c r="W233" i="52"/>
  <c r="W231" i="52"/>
  <c r="W230" i="52"/>
  <c r="O230" i="52"/>
  <c r="K228" i="52"/>
  <c r="K227" i="52"/>
  <c r="K226" i="52"/>
  <c r="B243" i="52"/>
  <c r="C243" i="52"/>
  <c r="D243" i="52"/>
  <c r="E243" i="52"/>
  <c r="F243" i="52"/>
  <c r="G243" i="52"/>
  <c r="H243" i="52"/>
  <c r="I243" i="52"/>
  <c r="J243" i="52"/>
  <c r="K243" i="52"/>
  <c r="L243" i="52"/>
  <c r="M243" i="52"/>
  <c r="N243" i="52"/>
  <c r="O243" i="52"/>
  <c r="P243" i="52"/>
  <c r="Q243" i="52"/>
  <c r="R243" i="52"/>
  <c r="S243" i="52"/>
  <c r="T243" i="52"/>
  <c r="U243" i="52"/>
  <c r="V243" i="52"/>
  <c r="W243" i="52"/>
  <c r="X243" i="52"/>
  <c r="Y243" i="52"/>
  <c r="Z243" i="52"/>
  <c r="AA243" i="52"/>
  <c r="AB243" i="52"/>
  <c r="AC243" i="52"/>
  <c r="AD243" i="52"/>
  <c r="AE243" i="52"/>
  <c r="AF243" i="52"/>
  <c r="AG243" i="52"/>
  <c r="AH243" i="52"/>
  <c r="AI243" i="52"/>
  <c r="B244" i="52"/>
  <c r="C244" i="52"/>
  <c r="D244" i="52"/>
  <c r="E244" i="52"/>
  <c r="F244" i="52"/>
  <c r="G244" i="52"/>
  <c r="H244" i="52"/>
  <c r="I244" i="52"/>
  <c r="J244" i="52"/>
  <c r="K244" i="52"/>
  <c r="L244" i="52"/>
  <c r="M244" i="52"/>
  <c r="N244" i="52"/>
  <c r="O244" i="52"/>
  <c r="P244" i="52"/>
  <c r="Q244" i="52"/>
  <c r="R244" i="52"/>
  <c r="S244" i="52"/>
  <c r="T244" i="52"/>
  <c r="U244" i="52"/>
  <c r="V244" i="52"/>
  <c r="W244" i="52"/>
  <c r="X244" i="52"/>
  <c r="Y244" i="52"/>
  <c r="Z244" i="52"/>
  <c r="AA244" i="52"/>
  <c r="AB244" i="52"/>
  <c r="AC244" i="52"/>
  <c r="AD244" i="52"/>
  <c r="AE244" i="52"/>
  <c r="AF244" i="52"/>
  <c r="AG244" i="52"/>
  <c r="AH244" i="52"/>
  <c r="AI244" i="52"/>
  <c r="B245" i="52"/>
  <c r="B246" i="52"/>
  <c r="J247" i="52"/>
  <c r="Q247" i="52"/>
  <c r="R247" i="52"/>
  <c r="S247" i="52"/>
  <c r="T247" i="52"/>
  <c r="U247" i="52"/>
  <c r="V247" i="52"/>
  <c r="W247" i="52"/>
  <c r="X247" i="52"/>
  <c r="Y247" i="52"/>
  <c r="Z247" i="52"/>
  <c r="AE247" i="52"/>
  <c r="AF247" i="52"/>
  <c r="AG247" i="52"/>
  <c r="AH247" i="52"/>
  <c r="AI247" i="52"/>
  <c r="J248" i="52"/>
  <c r="M248" i="52"/>
  <c r="AF248" i="52"/>
  <c r="B249" i="52"/>
  <c r="C249" i="52"/>
  <c r="J249" i="52"/>
  <c r="L249" i="52"/>
  <c r="O249" i="52"/>
  <c r="R249" i="52"/>
  <c r="W249" i="52"/>
  <c r="Z249" i="52"/>
  <c r="AE249" i="52"/>
  <c r="AI249" i="52"/>
  <c r="B250" i="52"/>
  <c r="C250" i="52"/>
  <c r="L250" i="52"/>
  <c r="O250" i="52"/>
  <c r="R250" i="52"/>
  <c r="W250" i="52"/>
  <c r="Z250" i="52"/>
  <c r="AD250" i="52"/>
  <c r="AE250" i="52"/>
  <c r="AI250" i="52"/>
  <c r="B251" i="52"/>
  <c r="C251" i="52"/>
  <c r="D251" i="52"/>
  <c r="E251" i="52"/>
  <c r="F251" i="52"/>
  <c r="G251" i="52"/>
  <c r="H251" i="52"/>
  <c r="I251" i="52"/>
  <c r="J251" i="52"/>
  <c r="K251" i="52"/>
  <c r="L251" i="52"/>
  <c r="M251" i="52"/>
  <c r="N251" i="52"/>
  <c r="O251" i="52"/>
  <c r="P251" i="52"/>
  <c r="Q251" i="52"/>
  <c r="R251" i="52"/>
  <c r="T251" i="52"/>
  <c r="U251" i="52"/>
  <c r="V251" i="52"/>
  <c r="W251" i="52"/>
  <c r="Z251" i="52"/>
  <c r="AA251" i="52"/>
  <c r="AB251" i="52"/>
  <c r="AC251" i="52"/>
  <c r="AD251" i="52"/>
  <c r="AE251" i="52"/>
  <c r="AG251" i="52"/>
  <c r="AH251" i="52"/>
  <c r="AI251" i="52"/>
  <c r="B252" i="52"/>
  <c r="C252" i="52"/>
  <c r="D252" i="52"/>
  <c r="E252" i="52"/>
  <c r="F252" i="52"/>
  <c r="G252" i="52"/>
  <c r="H252" i="52"/>
  <c r="I252" i="52"/>
  <c r="J252" i="52"/>
  <c r="K252" i="52"/>
  <c r="L252" i="52"/>
  <c r="M252" i="52"/>
  <c r="N252" i="52"/>
  <c r="O252" i="52"/>
  <c r="P252" i="52"/>
  <c r="Q252" i="52"/>
  <c r="R252" i="52"/>
  <c r="S252" i="52"/>
  <c r="T252" i="52"/>
  <c r="U252" i="52"/>
  <c r="V252" i="52"/>
  <c r="W252" i="52"/>
  <c r="X252" i="52"/>
  <c r="Y252" i="52"/>
  <c r="Z252" i="52"/>
  <c r="AA252" i="52"/>
  <c r="AB252" i="52"/>
  <c r="AC252" i="52"/>
  <c r="AD252" i="52"/>
  <c r="AE252" i="52"/>
  <c r="AF252" i="52"/>
  <c r="AG252" i="52"/>
  <c r="AH252" i="52"/>
  <c r="AI252" i="52"/>
  <c r="B253" i="52"/>
  <c r="C253" i="52"/>
  <c r="D253" i="52"/>
  <c r="E253" i="52"/>
  <c r="F253" i="52"/>
  <c r="G253" i="52"/>
  <c r="H253" i="52"/>
  <c r="I253" i="52"/>
  <c r="J253" i="52"/>
  <c r="K253" i="52"/>
  <c r="L253" i="52"/>
  <c r="M253" i="52"/>
  <c r="N253" i="52"/>
  <c r="O253" i="52"/>
  <c r="P253" i="52"/>
  <c r="Q253" i="52"/>
  <c r="R253" i="52"/>
  <c r="T253" i="52"/>
  <c r="U253" i="52"/>
  <c r="V253" i="52"/>
  <c r="W253" i="52"/>
  <c r="X253" i="52"/>
  <c r="Y253" i="52"/>
  <c r="Z253" i="52"/>
  <c r="AA253" i="52"/>
  <c r="AB253" i="52"/>
  <c r="AC253" i="52"/>
  <c r="AD253" i="52"/>
  <c r="AE253" i="52"/>
  <c r="AG253" i="52"/>
  <c r="AH253" i="52"/>
  <c r="AI253" i="52"/>
  <c r="B254" i="52"/>
  <c r="C254" i="52"/>
  <c r="D254" i="52"/>
  <c r="E254" i="52"/>
  <c r="F254" i="52"/>
  <c r="G254" i="52"/>
  <c r="H254" i="52"/>
  <c r="I254" i="52"/>
  <c r="J254" i="52"/>
  <c r="K254" i="52"/>
  <c r="L254" i="52"/>
  <c r="M254" i="52"/>
  <c r="N254" i="52"/>
  <c r="O254" i="52"/>
  <c r="P254" i="52"/>
  <c r="Q254" i="52"/>
  <c r="R254" i="52"/>
  <c r="S254" i="52"/>
  <c r="T254" i="52"/>
  <c r="U254" i="52"/>
  <c r="V254" i="52"/>
  <c r="W254" i="52"/>
  <c r="X254" i="52"/>
  <c r="Y254" i="52"/>
  <c r="Z254" i="52"/>
  <c r="AA254" i="52"/>
  <c r="AB254" i="52"/>
  <c r="AC254" i="52"/>
  <c r="AD254" i="52"/>
  <c r="AE254" i="52"/>
  <c r="AF254" i="52"/>
  <c r="AG254" i="52"/>
  <c r="AH254" i="52"/>
  <c r="AI254" i="52"/>
  <c r="B255" i="52"/>
  <c r="C255" i="52"/>
  <c r="D255" i="52"/>
  <c r="E255" i="52"/>
  <c r="F255" i="52"/>
  <c r="G255" i="52"/>
  <c r="H255" i="52"/>
  <c r="I255" i="52"/>
  <c r="J255" i="52"/>
  <c r="K255" i="52"/>
  <c r="L255" i="52"/>
  <c r="M255" i="52"/>
  <c r="N255" i="52"/>
  <c r="O255" i="52"/>
  <c r="P255" i="52"/>
  <c r="Q255" i="52"/>
  <c r="R255" i="52"/>
  <c r="T255" i="52"/>
  <c r="U255" i="52"/>
  <c r="V255" i="52"/>
  <c r="W255" i="52"/>
  <c r="X255" i="52"/>
  <c r="Y255" i="52"/>
  <c r="Z255" i="52"/>
  <c r="AA255" i="52"/>
  <c r="AB255" i="52"/>
  <c r="AC255" i="52"/>
  <c r="AD255" i="52"/>
  <c r="AE255" i="52"/>
  <c r="AG255" i="52"/>
  <c r="AH255" i="52"/>
  <c r="AI255" i="52"/>
  <c r="B256" i="52"/>
  <c r="C256" i="52"/>
  <c r="W256" i="52"/>
  <c r="AD256" i="52"/>
  <c r="AE256" i="52"/>
  <c r="AI256" i="52"/>
  <c r="B257" i="52"/>
  <c r="C257" i="52"/>
  <c r="D257" i="52"/>
  <c r="E257" i="52"/>
  <c r="F257" i="52"/>
  <c r="G257" i="52"/>
  <c r="H257" i="52"/>
  <c r="I257" i="52"/>
  <c r="J257" i="52"/>
  <c r="K257" i="52"/>
  <c r="L257" i="52"/>
  <c r="M257" i="52"/>
  <c r="N257" i="52"/>
  <c r="O257" i="52"/>
  <c r="P257" i="52"/>
  <c r="Q257" i="52"/>
  <c r="R257" i="52"/>
  <c r="S257" i="52"/>
  <c r="T257" i="52"/>
  <c r="U257" i="52"/>
  <c r="V257" i="52"/>
  <c r="W257" i="52"/>
  <c r="X257" i="52"/>
  <c r="Y257" i="52"/>
  <c r="Z257" i="52"/>
  <c r="AA257" i="52"/>
  <c r="AB257" i="52"/>
  <c r="AC257" i="52"/>
  <c r="AD257" i="52"/>
  <c r="AE257" i="52"/>
  <c r="AF257" i="52"/>
  <c r="AG257" i="52"/>
  <c r="AH257" i="52"/>
  <c r="AI257" i="52"/>
  <c r="B258" i="52"/>
  <c r="B260" i="52"/>
  <c r="C260" i="52"/>
  <c r="D260" i="52"/>
  <c r="E260" i="52"/>
  <c r="F260" i="52"/>
  <c r="G260" i="52"/>
  <c r="H260" i="52"/>
  <c r="I260" i="52"/>
  <c r="J260" i="52"/>
  <c r="K260" i="52"/>
  <c r="L260" i="52"/>
  <c r="M260" i="52"/>
  <c r="N260" i="52"/>
  <c r="O260" i="52"/>
  <c r="P260" i="52"/>
  <c r="Q260" i="52"/>
  <c r="R260" i="52"/>
  <c r="S260" i="52"/>
  <c r="T260" i="52"/>
  <c r="U260" i="52"/>
  <c r="V260" i="52"/>
  <c r="W260" i="52"/>
  <c r="X260" i="52"/>
  <c r="Y260" i="52"/>
  <c r="Z260" i="52"/>
  <c r="AA260" i="52"/>
  <c r="AB260" i="52"/>
  <c r="AC260" i="52"/>
  <c r="AD260" i="52"/>
  <c r="AE260" i="52"/>
  <c r="AF260" i="52"/>
  <c r="AG260" i="52"/>
  <c r="AH260" i="52"/>
  <c r="AI260" i="52"/>
  <c r="B261" i="52"/>
  <c r="C261" i="52"/>
  <c r="D261" i="52"/>
  <c r="E261" i="52"/>
  <c r="F261" i="52"/>
  <c r="G261" i="52"/>
  <c r="H261" i="52"/>
  <c r="I261" i="52"/>
  <c r="J261" i="52"/>
  <c r="K261" i="52"/>
  <c r="L261" i="52"/>
  <c r="M261" i="52"/>
  <c r="N261" i="52"/>
  <c r="O261" i="52"/>
  <c r="P261" i="52"/>
  <c r="Q261" i="52"/>
  <c r="R261" i="52"/>
  <c r="S261" i="52"/>
  <c r="T261" i="52"/>
  <c r="U261" i="52"/>
  <c r="V261" i="52"/>
  <c r="W261" i="52"/>
  <c r="X261" i="52"/>
  <c r="Y261" i="52"/>
  <c r="Z261" i="52"/>
  <c r="AA261" i="52"/>
  <c r="AB261" i="52"/>
  <c r="AC261" i="52"/>
  <c r="AD261" i="52"/>
  <c r="AE261" i="52"/>
  <c r="AF261" i="52"/>
  <c r="AG261" i="52"/>
  <c r="AH261" i="52"/>
  <c r="AI261" i="52"/>
  <c r="B262" i="52"/>
  <c r="B263" i="52"/>
  <c r="C263" i="52"/>
  <c r="D263" i="52"/>
  <c r="E263" i="52"/>
  <c r="F263" i="52"/>
  <c r="G263" i="52"/>
  <c r="H263" i="52"/>
  <c r="I263" i="52"/>
  <c r="J263" i="52"/>
  <c r="K263" i="52"/>
  <c r="L263" i="52"/>
  <c r="M263" i="52"/>
  <c r="N263" i="52"/>
  <c r="O263" i="52"/>
  <c r="P263" i="52"/>
  <c r="Q263" i="52"/>
  <c r="R263" i="52"/>
  <c r="S263" i="52"/>
  <c r="T263" i="52"/>
  <c r="U263" i="52"/>
  <c r="V263" i="52"/>
  <c r="W263" i="52"/>
  <c r="X263" i="52"/>
  <c r="Y263" i="52"/>
  <c r="Z263" i="52"/>
  <c r="AA263" i="52"/>
  <c r="AB263" i="52"/>
  <c r="AC263" i="52"/>
  <c r="AD263" i="52"/>
  <c r="AE263" i="52"/>
  <c r="AF263" i="52"/>
  <c r="B264" i="52"/>
  <c r="C264" i="52"/>
  <c r="K264" i="52"/>
  <c r="AD264" i="52"/>
  <c r="AE264" i="52"/>
  <c r="AI264" i="52"/>
  <c r="B265" i="52"/>
  <c r="C265" i="52"/>
  <c r="K265" i="52"/>
  <c r="L265" i="52"/>
  <c r="M265" i="52"/>
  <c r="N265" i="52"/>
  <c r="O265" i="52"/>
  <c r="P265" i="52"/>
  <c r="Q265" i="52"/>
  <c r="AD265" i="52"/>
  <c r="AE265" i="52"/>
  <c r="AI265" i="52"/>
  <c r="B266" i="52"/>
  <c r="C266" i="52"/>
  <c r="AD266" i="52"/>
  <c r="AE266" i="52"/>
  <c r="AI266" i="52"/>
  <c r="B267" i="52"/>
  <c r="C267" i="52"/>
  <c r="V267" i="52"/>
  <c r="W267" i="52"/>
  <c r="Y267" i="52"/>
  <c r="AD267" i="52"/>
  <c r="AE267" i="52"/>
  <c r="AI267" i="52"/>
  <c r="B268" i="52"/>
  <c r="C268" i="52"/>
  <c r="D268" i="52"/>
  <c r="E268" i="52"/>
  <c r="F268" i="52"/>
  <c r="G268" i="52"/>
  <c r="H268" i="52"/>
  <c r="I268" i="52"/>
  <c r="J268" i="52"/>
  <c r="K268" i="52"/>
  <c r="L268" i="52"/>
  <c r="M268" i="52"/>
  <c r="N268" i="52"/>
  <c r="O268" i="52"/>
  <c r="P268" i="52"/>
  <c r="Q268" i="52"/>
  <c r="R268" i="52"/>
  <c r="S268" i="52"/>
  <c r="T268" i="52"/>
  <c r="U268" i="52"/>
  <c r="V268" i="52"/>
  <c r="W268" i="52"/>
  <c r="X268" i="52"/>
  <c r="Y268" i="52"/>
  <c r="AD268" i="52"/>
  <c r="AE268" i="52"/>
  <c r="AG268" i="52"/>
  <c r="AH268" i="52"/>
  <c r="AI268" i="52"/>
  <c r="B269" i="52"/>
  <c r="C269" i="52"/>
  <c r="D269" i="52"/>
  <c r="E269" i="52"/>
  <c r="F269" i="52"/>
  <c r="G269" i="52"/>
  <c r="H269" i="52"/>
  <c r="I269" i="52"/>
  <c r="J269" i="52"/>
  <c r="K269" i="52"/>
  <c r="L269" i="52"/>
  <c r="M269" i="52"/>
  <c r="N269" i="52"/>
  <c r="O269" i="52"/>
  <c r="P269" i="52"/>
  <c r="Q269" i="52"/>
  <c r="R269" i="52"/>
  <c r="S269" i="52"/>
  <c r="T269" i="52"/>
  <c r="U269" i="52"/>
  <c r="V269" i="52"/>
  <c r="W269" i="52"/>
  <c r="X269" i="52"/>
  <c r="Y269" i="52"/>
  <c r="AD269" i="52"/>
  <c r="AE269" i="52"/>
  <c r="AG269" i="52"/>
  <c r="AH269" i="52"/>
  <c r="AI269" i="52"/>
  <c r="B270" i="52"/>
  <c r="C270" i="52"/>
  <c r="D270" i="52"/>
  <c r="E270" i="52"/>
  <c r="F270" i="52"/>
  <c r="G270" i="52"/>
  <c r="H270" i="52"/>
  <c r="I270" i="52"/>
  <c r="J270" i="52"/>
  <c r="K270" i="52"/>
  <c r="L270" i="52"/>
  <c r="M270" i="52"/>
  <c r="N270" i="52"/>
  <c r="O270" i="52"/>
  <c r="P270" i="52"/>
  <c r="Q270" i="52"/>
  <c r="R270" i="52"/>
  <c r="S270" i="52"/>
  <c r="T270" i="52"/>
  <c r="U270" i="52"/>
  <c r="V270" i="52"/>
  <c r="W270" i="52"/>
  <c r="X270" i="52"/>
  <c r="Y270" i="52"/>
  <c r="AD270" i="52"/>
  <c r="AE270" i="52"/>
  <c r="AG270" i="52"/>
  <c r="AH270" i="52"/>
  <c r="AI270" i="52"/>
  <c r="C223" i="52"/>
  <c r="D223" i="52"/>
  <c r="E223" i="52"/>
  <c r="F223" i="52"/>
  <c r="G223" i="52"/>
  <c r="H223" i="52"/>
  <c r="I223" i="52"/>
  <c r="J223" i="52"/>
  <c r="K223" i="52"/>
  <c r="L223" i="52"/>
  <c r="M223" i="52"/>
  <c r="N223" i="52"/>
  <c r="O223" i="52"/>
  <c r="P223" i="52"/>
  <c r="Q223" i="52"/>
  <c r="R223" i="52"/>
  <c r="S223" i="52"/>
  <c r="T223" i="52"/>
  <c r="U223" i="52"/>
  <c r="V223" i="52"/>
  <c r="W223" i="52"/>
  <c r="X223" i="52"/>
  <c r="Y223" i="52"/>
  <c r="Z223" i="52"/>
  <c r="AA223" i="52"/>
  <c r="AB223" i="52"/>
  <c r="AC223" i="52"/>
  <c r="AD223" i="52"/>
  <c r="AE223" i="52"/>
  <c r="AF223" i="52"/>
  <c r="AG223" i="52"/>
  <c r="AH223" i="52"/>
  <c r="AI223" i="52"/>
  <c r="C224" i="52"/>
  <c r="D224" i="52"/>
  <c r="E224" i="52"/>
  <c r="F224" i="52"/>
  <c r="G224" i="52"/>
  <c r="H224" i="52"/>
  <c r="I224" i="52"/>
  <c r="J224" i="52"/>
  <c r="K224" i="52"/>
  <c r="L224" i="52"/>
  <c r="M224" i="52"/>
  <c r="N224" i="52"/>
  <c r="O224" i="52"/>
  <c r="P224" i="52"/>
  <c r="Q224" i="52"/>
  <c r="R224" i="52"/>
  <c r="S224" i="52"/>
  <c r="T224" i="52"/>
  <c r="U224" i="52"/>
  <c r="V224" i="52"/>
  <c r="W224" i="52"/>
  <c r="X224" i="52"/>
  <c r="Y224" i="52"/>
  <c r="Z224" i="52"/>
  <c r="AA224" i="52"/>
  <c r="AB224" i="52"/>
  <c r="AC224" i="52"/>
  <c r="AD224" i="52"/>
  <c r="AE224" i="52"/>
  <c r="AF224" i="52"/>
  <c r="C225" i="52"/>
  <c r="K225" i="52"/>
  <c r="AD225" i="52"/>
  <c r="AE225" i="52"/>
  <c r="AI225" i="52"/>
  <c r="C226" i="52"/>
  <c r="AD226" i="52"/>
  <c r="AE226" i="52"/>
  <c r="AI226" i="52"/>
  <c r="C227" i="52"/>
  <c r="AD227" i="52"/>
  <c r="AE227" i="52"/>
  <c r="AI227" i="52"/>
  <c r="C228" i="52"/>
  <c r="AD228" i="52"/>
  <c r="AE228" i="52"/>
  <c r="AI228" i="52"/>
  <c r="C229" i="52"/>
  <c r="N229" i="52"/>
  <c r="O229" i="52"/>
  <c r="Q229" i="52"/>
  <c r="V229" i="52"/>
  <c r="W229" i="52"/>
  <c r="Y229" i="52"/>
  <c r="AD229" i="52"/>
  <c r="AE229" i="52"/>
  <c r="AI229" i="52"/>
  <c r="C230" i="52"/>
  <c r="N230" i="52"/>
  <c r="Q230" i="52"/>
  <c r="V230" i="52"/>
  <c r="Y230" i="52"/>
  <c r="AD230" i="52"/>
  <c r="AE230" i="52"/>
  <c r="AI230" i="52"/>
  <c r="C231" i="52"/>
  <c r="V231" i="52"/>
  <c r="Y231" i="52"/>
  <c r="AD231" i="52"/>
  <c r="AE231" i="52"/>
  <c r="AI231" i="52"/>
  <c r="C232" i="52"/>
  <c r="AE232" i="52"/>
  <c r="AF232" i="52"/>
  <c r="AG232" i="52"/>
  <c r="AH232" i="52"/>
  <c r="AI232" i="52"/>
  <c r="C233" i="52"/>
  <c r="K233" i="52"/>
  <c r="L233" i="52"/>
  <c r="M233" i="52"/>
  <c r="N233" i="52"/>
  <c r="Q233" i="52"/>
  <c r="V233" i="52"/>
  <c r="Y233" i="52"/>
  <c r="AD233" i="52"/>
  <c r="AE233" i="52"/>
  <c r="AI233" i="52"/>
  <c r="C234" i="52"/>
  <c r="AE234" i="52"/>
  <c r="AF234" i="52"/>
  <c r="AG234" i="52"/>
  <c r="AH234" i="52"/>
  <c r="AI234" i="52"/>
  <c r="C235" i="52"/>
  <c r="O235" i="52"/>
  <c r="V235" i="52"/>
  <c r="Y235" i="52"/>
  <c r="AD235" i="52"/>
  <c r="AE235" i="52"/>
  <c r="AI235" i="52"/>
  <c r="C236" i="52"/>
  <c r="V236" i="52"/>
  <c r="Y236" i="52"/>
  <c r="AD236" i="52"/>
  <c r="AE236" i="52"/>
  <c r="AI236" i="52"/>
  <c r="C237" i="52"/>
  <c r="V237" i="52"/>
  <c r="Y237" i="52"/>
  <c r="AD237" i="52"/>
  <c r="AE237" i="52"/>
  <c r="AI237" i="52"/>
  <c r="C238" i="52"/>
  <c r="AE238" i="52"/>
  <c r="AF238" i="52"/>
  <c r="AG238" i="52"/>
  <c r="AH238" i="52"/>
  <c r="AI238" i="52"/>
  <c r="V239" i="52"/>
  <c r="Y239" i="52"/>
  <c r="AD239" i="52"/>
  <c r="AE239" i="52"/>
  <c r="AI239" i="52"/>
  <c r="C240" i="52"/>
  <c r="D240" i="52"/>
  <c r="E240" i="52"/>
  <c r="F240" i="52"/>
  <c r="G240" i="52"/>
  <c r="H240" i="52"/>
  <c r="I240" i="52"/>
  <c r="J240" i="52"/>
  <c r="K240" i="52"/>
  <c r="L240" i="52"/>
  <c r="M240" i="52"/>
  <c r="N240" i="52"/>
  <c r="O240" i="52"/>
  <c r="P240" i="52"/>
  <c r="Q240" i="52"/>
  <c r="R240" i="52"/>
  <c r="S240" i="52"/>
  <c r="T240" i="52"/>
  <c r="U240" i="52"/>
  <c r="V240" i="52"/>
  <c r="W240" i="52"/>
  <c r="X240" i="52"/>
  <c r="Y240" i="52"/>
  <c r="Z240" i="52"/>
  <c r="AA240" i="52"/>
  <c r="AB240" i="52"/>
  <c r="AC240" i="52"/>
  <c r="AD240" i="52"/>
  <c r="AE240" i="52"/>
  <c r="AF240" i="52"/>
  <c r="AG240" i="52"/>
  <c r="AH240" i="52"/>
  <c r="AI240" i="52"/>
  <c r="C241" i="52"/>
  <c r="D241" i="52"/>
  <c r="E241" i="52"/>
  <c r="F241" i="52"/>
  <c r="G241" i="52"/>
  <c r="H241" i="52"/>
  <c r="I241" i="52"/>
  <c r="J241" i="52"/>
  <c r="K241" i="52"/>
  <c r="L241" i="52"/>
  <c r="M241" i="52"/>
  <c r="N241" i="52"/>
  <c r="O241" i="52"/>
  <c r="P241" i="52"/>
  <c r="Q241" i="52"/>
  <c r="R241" i="52"/>
  <c r="S241" i="52"/>
  <c r="T241" i="52"/>
  <c r="U241" i="52"/>
  <c r="V241" i="52"/>
  <c r="W241" i="52"/>
  <c r="X241" i="52"/>
  <c r="Y241" i="52"/>
  <c r="Z241" i="52"/>
  <c r="AA241" i="52"/>
  <c r="AB241" i="52"/>
  <c r="AC241" i="52"/>
  <c r="AD241" i="52"/>
  <c r="AE241" i="52"/>
  <c r="AF241" i="52"/>
  <c r="AG241" i="52"/>
  <c r="AH241" i="52"/>
  <c r="AI241" i="52"/>
  <c r="AD242" i="52"/>
  <c r="AE242" i="52"/>
  <c r="AI242" i="52"/>
  <c r="B224" i="52"/>
  <c r="B225" i="52"/>
  <c r="B226" i="52"/>
  <c r="B227" i="52"/>
  <c r="B228" i="52"/>
  <c r="B229" i="52"/>
  <c r="B230" i="52"/>
  <c r="B231" i="52"/>
  <c r="B232" i="52"/>
  <c r="B233" i="52"/>
  <c r="B234" i="52"/>
  <c r="B235" i="52"/>
  <c r="B236" i="52"/>
  <c r="B237" i="52"/>
  <c r="B238" i="52"/>
  <c r="B239" i="52"/>
  <c r="B240" i="52"/>
  <c r="B241" i="52"/>
  <c r="B242" i="52"/>
  <c r="B219" i="52"/>
  <c r="B220" i="52"/>
  <c r="B221" i="52"/>
  <c r="B222" i="52"/>
  <c r="B223" i="52"/>
  <c r="B218" i="52"/>
  <c r="B217" i="52"/>
  <c r="B216" i="52"/>
  <c r="B207" i="21"/>
  <c r="B236" i="21"/>
  <c r="B235" i="21"/>
  <c r="W108" i="18"/>
  <c r="W109" i="18"/>
  <c r="W110" i="18"/>
  <c r="W111" i="18"/>
  <c r="W112" i="18"/>
  <c r="W113" i="18"/>
  <c r="W114" i="18"/>
  <c r="W115" i="18"/>
  <c r="W116" i="18"/>
  <c r="W117" i="18"/>
  <c r="W118" i="18"/>
  <c r="W119" i="18"/>
  <c r="W120" i="18"/>
  <c r="W121" i="18"/>
  <c r="BH402" i="54" l="1"/>
  <c r="AM34" i="53"/>
  <c r="AK112" i="52"/>
  <c r="AF111" i="52" s="1"/>
  <c r="AF326" i="52" s="1"/>
  <c r="N111" i="52"/>
  <c r="N326" i="52" s="1"/>
  <c r="AP51" i="53" l="1"/>
  <c r="AO51" i="53"/>
  <c r="AO111" i="52"/>
  <c r="AL12" i="5"/>
  <c r="AL282" i="5" s="1"/>
  <c r="AL13" i="5"/>
  <c r="AL283" i="5" s="1"/>
  <c r="AL14" i="5"/>
  <c r="AL284" i="5" s="1"/>
  <c r="AL15" i="5"/>
  <c r="AL285" i="5" s="1"/>
  <c r="AL16" i="5"/>
  <c r="AL286" i="5" s="1"/>
  <c r="AL17" i="5"/>
  <c r="AL287" i="5" s="1"/>
  <c r="AL18" i="5"/>
  <c r="AL288" i="5" s="1"/>
  <c r="AL19" i="5"/>
  <c r="AL289" i="5" s="1"/>
  <c r="AL20" i="5"/>
  <c r="AL290" i="5" s="1"/>
  <c r="AL11" i="5"/>
  <c r="AL281" i="5" s="1"/>
  <c r="AJ12" i="5"/>
  <c r="AJ282" i="5" s="1"/>
  <c r="AJ13" i="5"/>
  <c r="AJ283" i="5" s="1"/>
  <c r="AJ14" i="5"/>
  <c r="AJ284" i="5" s="1"/>
  <c r="AJ15" i="5"/>
  <c r="AJ285" i="5" s="1"/>
  <c r="AJ16" i="5"/>
  <c r="AJ286" i="5" s="1"/>
  <c r="AJ17" i="5"/>
  <c r="AJ287" i="5" s="1"/>
  <c r="AJ18" i="5"/>
  <c r="AJ288" i="5" s="1"/>
  <c r="AJ19" i="5"/>
  <c r="AJ289" i="5" s="1"/>
  <c r="AJ20" i="5"/>
  <c r="AJ290" i="5" s="1"/>
  <c r="AJ11" i="5"/>
  <c r="AJ281" i="5" s="1"/>
  <c r="AR12" i="5"/>
  <c r="AR282" i="5" s="1"/>
  <c r="AR13" i="5"/>
  <c r="AR283" i="5" s="1"/>
  <c r="AR14" i="5"/>
  <c r="AR284" i="5" s="1"/>
  <c r="AR15" i="5"/>
  <c r="AR285" i="5" s="1"/>
  <c r="AR16" i="5"/>
  <c r="AR286" i="5" s="1"/>
  <c r="AR17" i="5"/>
  <c r="AR287" i="5" s="1"/>
  <c r="AR18" i="5"/>
  <c r="AR288" i="5" s="1"/>
  <c r="AR19" i="5"/>
  <c r="AR289" i="5" s="1"/>
  <c r="AR20" i="5"/>
  <c r="AR290" i="5" s="1"/>
  <c r="AR11" i="5"/>
  <c r="AR281" i="5" s="1"/>
  <c r="AP12" i="5"/>
  <c r="AP282" i="5" s="1"/>
  <c r="AP13" i="5"/>
  <c r="AP283" i="5" s="1"/>
  <c r="AP14" i="5"/>
  <c r="AP284" i="5" s="1"/>
  <c r="AP15" i="5"/>
  <c r="AP285" i="5" s="1"/>
  <c r="AP16" i="5"/>
  <c r="AP286" i="5" s="1"/>
  <c r="AP17" i="5"/>
  <c r="AP287" i="5" s="1"/>
  <c r="AP18" i="5"/>
  <c r="AP288" i="5" s="1"/>
  <c r="AP19" i="5"/>
  <c r="AP289" i="5" s="1"/>
  <c r="AP20" i="5"/>
  <c r="AP290" i="5" s="1"/>
  <c r="AP11" i="5"/>
  <c r="AP281" i="5" s="1"/>
  <c r="AQ11" i="5" l="1"/>
  <c r="AQ281" i="5" s="1"/>
  <c r="AW12" i="5"/>
  <c r="AW282" i="5" s="1"/>
  <c r="AW13" i="5"/>
  <c r="AW283" i="5" s="1"/>
  <c r="AW14" i="5"/>
  <c r="AW284" i="5" s="1"/>
  <c r="AW15" i="5"/>
  <c r="AW285" i="5" s="1"/>
  <c r="AW16" i="5"/>
  <c r="AW286" i="5" s="1"/>
  <c r="AW17" i="5"/>
  <c r="AW287" i="5" s="1"/>
  <c r="AW18" i="5"/>
  <c r="AW288" i="5" s="1"/>
  <c r="AW19" i="5"/>
  <c r="AW289" i="5" s="1"/>
  <c r="AW290" i="5"/>
  <c r="AQ20" i="5"/>
  <c r="AQ290" i="5" s="1"/>
  <c r="AQ19" i="5"/>
  <c r="AQ289" i="5" s="1"/>
  <c r="AQ18" i="5"/>
  <c r="AQ288" i="5" s="1"/>
  <c r="AQ17" i="5"/>
  <c r="AQ287" i="5" s="1"/>
  <c r="AQ16" i="5"/>
  <c r="AQ286" i="5" s="1"/>
  <c r="AQ15" i="5"/>
  <c r="AQ285" i="5" s="1"/>
  <c r="AQ14" i="5"/>
  <c r="AQ284" i="5" s="1"/>
  <c r="AQ13" i="5"/>
  <c r="AQ283" i="5" s="1"/>
  <c r="AQ12" i="5"/>
  <c r="AQ282" i="5" s="1"/>
  <c r="AF24" i="52"/>
  <c r="AF239" i="52" s="1"/>
  <c r="AK24" i="52"/>
  <c r="AK21" i="52"/>
  <c r="AK22" i="52"/>
  <c r="AK20" i="52"/>
  <c r="AM62" i="23"/>
  <c r="T62" i="23" s="1"/>
  <c r="AL62" i="23"/>
  <c r="AK62" i="23"/>
  <c r="AM60" i="23"/>
  <c r="T60" i="23" s="1"/>
  <c r="AL60" i="23"/>
  <c r="AK60" i="23"/>
  <c r="AS1" i="53" l="1"/>
  <c r="BV1" i="54"/>
  <c r="AQ1" i="53"/>
  <c r="N23" i="53" s="1"/>
  <c r="N239" i="53" s="1"/>
  <c r="BT1" i="54"/>
  <c r="AQ1" i="52"/>
  <c r="N17" i="52" s="1"/>
  <c r="BH11" i="54" l="1"/>
  <c r="AN28" i="54"/>
  <c r="AN298" i="54" s="1"/>
  <c r="AN36" i="54"/>
  <c r="AN306" i="54" s="1"/>
  <c r="AN29" i="54"/>
  <c r="AN299" i="54" s="1"/>
  <c r="AN27" i="54"/>
  <c r="AN297" i="54" s="1"/>
  <c r="AN30" i="54"/>
  <c r="AN300" i="54" s="1"/>
  <c r="AN31" i="54"/>
  <c r="AN301" i="54" s="1"/>
  <c r="AN32" i="54"/>
  <c r="AN302" i="54" s="1"/>
  <c r="AN33" i="54"/>
  <c r="AN303" i="54" s="1"/>
  <c r="AN34" i="54"/>
  <c r="AN304" i="54" s="1"/>
  <c r="AN35" i="54"/>
  <c r="AN305" i="54" s="1"/>
  <c r="BV60" i="54"/>
  <c r="BV68" i="54"/>
  <c r="BV61" i="54"/>
  <c r="BV62" i="54"/>
  <c r="BV63" i="54"/>
  <c r="BV64" i="54"/>
  <c r="BV65" i="54"/>
  <c r="BV66" i="54"/>
  <c r="BV67" i="54"/>
  <c r="N17" i="53"/>
  <c r="N233" i="53" s="1"/>
  <c r="N22" i="53"/>
  <c r="N238" i="53" s="1"/>
  <c r="N24" i="53"/>
  <c r="N240" i="53" s="1"/>
  <c r="AF20" i="53"/>
  <c r="AO20" i="53" s="1"/>
  <c r="AF21" i="53"/>
  <c r="AP21" i="53" s="1"/>
  <c r="N20" i="53"/>
  <c r="N236" i="53" s="1"/>
  <c r="N21" i="53"/>
  <c r="N237" i="53" s="1"/>
  <c r="N19" i="53"/>
  <c r="N235" i="53" s="1"/>
  <c r="AF24" i="53"/>
  <c r="AO24" i="53" s="1"/>
  <c r="AM24" i="53" s="1"/>
  <c r="AF22" i="53"/>
  <c r="AO22" i="53" s="1"/>
  <c r="AU22" i="53" s="1"/>
  <c r="BH60" i="54"/>
  <c r="BH330" i="54" s="1"/>
  <c r="BH68" i="54"/>
  <c r="BH338" i="54" s="1"/>
  <c r="BH61" i="54"/>
  <c r="BH331" i="54" s="1"/>
  <c r="BH62" i="54"/>
  <c r="BH332" i="54" s="1"/>
  <c r="BH63" i="54"/>
  <c r="BH333" i="54" s="1"/>
  <c r="BH64" i="54"/>
  <c r="BH334" i="54" s="1"/>
  <c r="BH65" i="54"/>
  <c r="BH335" i="54" s="1"/>
  <c r="BH66" i="54"/>
  <c r="BH336" i="54" s="1"/>
  <c r="BH67" i="54"/>
  <c r="BH337" i="54" s="1"/>
  <c r="BW35" i="54"/>
  <c r="BW31" i="54"/>
  <c r="BW36" i="54"/>
  <c r="BW33" i="54"/>
  <c r="BW30" i="54"/>
  <c r="BW28" i="54"/>
  <c r="BW32" i="54"/>
  <c r="BW34" i="54"/>
  <c r="BW29" i="54"/>
  <c r="BV28" i="54"/>
  <c r="BV36" i="54"/>
  <c r="BV29" i="54"/>
  <c r="BV30" i="54"/>
  <c r="BV31" i="54"/>
  <c r="BV32" i="54"/>
  <c r="BV20" i="54"/>
  <c r="BV33" i="54"/>
  <c r="BV19" i="54"/>
  <c r="BV34" i="54"/>
  <c r="BV35" i="54"/>
  <c r="BH28" i="54"/>
  <c r="BH298" i="54" s="1"/>
  <c r="BH36" i="54"/>
  <c r="BH306" i="54" s="1"/>
  <c r="BW13" i="54"/>
  <c r="BH29" i="54"/>
  <c r="BH299" i="54" s="1"/>
  <c r="BW14" i="54"/>
  <c r="BW18" i="54"/>
  <c r="BW19" i="54"/>
  <c r="BW12" i="54"/>
  <c r="BH30" i="54"/>
  <c r="BH300" i="54" s="1"/>
  <c r="BW15" i="54"/>
  <c r="BH31" i="54"/>
  <c r="BH301" i="54" s="1"/>
  <c r="BW16" i="54"/>
  <c r="BH32" i="54"/>
  <c r="BH302" i="54" s="1"/>
  <c r="BW17" i="54"/>
  <c r="BH33" i="54"/>
  <c r="BH303" i="54" s="1"/>
  <c r="BH34" i="54"/>
  <c r="BH304" i="54" s="1"/>
  <c r="BH35" i="54"/>
  <c r="BH305" i="54" s="1"/>
  <c r="BW20" i="54"/>
  <c r="BW11" i="54"/>
  <c r="BH12" i="54"/>
  <c r="BH282" i="54" s="1"/>
  <c r="BH20" i="54"/>
  <c r="BH290" i="54" s="1"/>
  <c r="BV18" i="54"/>
  <c r="BH13" i="54"/>
  <c r="BH283" i="54" s="1"/>
  <c r="BH14" i="54"/>
  <c r="BH284" i="54" s="1"/>
  <c r="BV12" i="54"/>
  <c r="BH15" i="54"/>
  <c r="BH285" i="54" s="1"/>
  <c r="BV13" i="54"/>
  <c r="BV11" i="54"/>
  <c r="BH16" i="54"/>
  <c r="BH286" i="54" s="1"/>
  <c r="BV14" i="54"/>
  <c r="BH17" i="54"/>
  <c r="BH287" i="54" s="1"/>
  <c r="BV15" i="54"/>
  <c r="BV17" i="54"/>
  <c r="BH18" i="54"/>
  <c r="BH288" i="54" s="1"/>
  <c r="BV16" i="54"/>
  <c r="BH19" i="54"/>
  <c r="BH289" i="54" s="1"/>
  <c r="AO18" i="53"/>
  <c r="AM18" i="53" s="1"/>
  <c r="AP18" i="53"/>
  <c r="AN18" i="53" s="1"/>
  <c r="AF234" i="53"/>
  <c r="N24" i="52"/>
  <c r="N239" i="52" s="1"/>
  <c r="N23" i="52"/>
  <c r="N238" i="52" s="1"/>
  <c r="N232" i="52"/>
  <c r="N19" i="52"/>
  <c r="N234" i="52" s="1"/>
  <c r="AO24" i="52"/>
  <c r="N22" i="52"/>
  <c r="N237" i="52" s="1"/>
  <c r="N21" i="52"/>
  <c r="N236" i="52" s="1"/>
  <c r="N20" i="52"/>
  <c r="N235" i="52" s="1"/>
  <c r="AF21" i="52"/>
  <c r="AF236" i="52" s="1"/>
  <c r="AF20" i="52"/>
  <c r="AF22" i="52"/>
  <c r="AF237" i="52" s="1"/>
  <c r="AL45" i="23"/>
  <c r="AK45" i="23"/>
  <c r="AL34" i="23"/>
  <c r="AL33" i="23"/>
  <c r="AK34" i="23"/>
  <c r="AK33" i="23"/>
  <c r="AF70" i="52"/>
  <c r="AF285" i="52" s="1"/>
  <c r="AK114" i="52"/>
  <c r="AF104" i="52"/>
  <c r="AF319" i="52" s="1"/>
  <c r="S40" i="52"/>
  <c r="S255" i="52" s="1"/>
  <c r="S36" i="52"/>
  <c r="S251" i="52" s="1"/>
  <c r="S34" i="52"/>
  <c r="S249" i="52" s="1"/>
  <c r="AF96" i="52"/>
  <c r="AF311" i="52" s="1"/>
  <c r="AF92" i="52"/>
  <c r="AF307" i="52" s="1"/>
  <c r="AF72" i="52"/>
  <c r="AF287" i="52" s="1"/>
  <c r="AF57" i="52"/>
  <c r="AF272" i="52" s="1"/>
  <c r="AF55" i="52"/>
  <c r="AF270" i="52" s="1"/>
  <c r="AF54" i="52"/>
  <c r="AF269" i="52" s="1"/>
  <c r="AF53" i="52"/>
  <c r="AF268" i="52" s="1"/>
  <c r="AF36" i="52"/>
  <c r="AF251" i="52" s="1"/>
  <c r="AO36" i="52"/>
  <c r="AP36" i="52"/>
  <c r="AQ36" i="52"/>
  <c r="AT36" i="52" s="1"/>
  <c r="AU36" i="52" s="1"/>
  <c r="S38" i="52"/>
  <c r="S253" i="52" s="1"/>
  <c r="AF38" i="52"/>
  <c r="AF253" i="52" s="1"/>
  <c r="AO38" i="52"/>
  <c r="AP38" i="52"/>
  <c r="AQ38" i="52"/>
  <c r="AF40" i="52"/>
  <c r="AF255" i="52" s="1"/>
  <c r="AP40" i="52"/>
  <c r="AQ40" i="52"/>
  <c r="AP67" i="52"/>
  <c r="AO69" i="52"/>
  <c r="AO67" i="52"/>
  <c r="BR130" i="5"/>
  <c r="BR129" i="5"/>
  <c r="BR128" i="5"/>
  <c r="BR127" i="5"/>
  <c r="BR126" i="5"/>
  <c r="BR117" i="5"/>
  <c r="BR116" i="5"/>
  <c r="BR115" i="5"/>
  <c r="BR114" i="5"/>
  <c r="BR113" i="5"/>
  <c r="BR98" i="5"/>
  <c r="BR99" i="5"/>
  <c r="BR100" i="5"/>
  <c r="BR101" i="5"/>
  <c r="BR102" i="5"/>
  <c r="BR103" i="5"/>
  <c r="BR104" i="5"/>
  <c r="BR105" i="5"/>
  <c r="BR106" i="5"/>
  <c r="BR97" i="5"/>
  <c r="BR79" i="5"/>
  <c r="BR80" i="5"/>
  <c r="BR81" i="5"/>
  <c r="BR82" i="5"/>
  <c r="BR83" i="5"/>
  <c r="BR84" i="5"/>
  <c r="BR85" i="5"/>
  <c r="BR86" i="5"/>
  <c r="BR87" i="5"/>
  <c r="BR88" i="5"/>
  <c r="BR89" i="5"/>
  <c r="BR90" i="5"/>
  <c r="BR91" i="5"/>
  <c r="BR92" i="5"/>
  <c r="BR78" i="5"/>
  <c r="AD236" i="23"/>
  <c r="AK27" i="52"/>
  <c r="AO1" i="52"/>
  <c r="AF79" i="52" s="1"/>
  <c r="AF294" i="52" s="1"/>
  <c r="AU19" i="52"/>
  <c r="AS1" i="52"/>
  <c r="BR1" i="5"/>
  <c r="AF16" i="52"/>
  <c r="AF15" i="52"/>
  <c r="AU15" i="52"/>
  <c r="BR60" i="5" l="1"/>
  <c r="BR68" i="5"/>
  <c r="BQ67" i="5"/>
  <c r="BQ63" i="5"/>
  <c r="BR61" i="5"/>
  <c r="BQ60" i="5"/>
  <c r="BQ68" i="5"/>
  <c r="BR64" i="5"/>
  <c r="BR62" i="5"/>
  <c r="BQ61" i="5"/>
  <c r="BR63" i="5"/>
  <c r="BQ62" i="5"/>
  <c r="BR67" i="5"/>
  <c r="BR65" i="5"/>
  <c r="BQ64" i="5"/>
  <c r="BR66" i="5"/>
  <c r="BQ65" i="5"/>
  <c r="BQ66" i="5"/>
  <c r="AF240" i="53"/>
  <c r="AP24" i="53"/>
  <c r="AN24" i="53" s="1"/>
  <c r="AP20" i="53"/>
  <c r="AF238" i="53"/>
  <c r="AP22" i="53"/>
  <c r="AF236" i="53"/>
  <c r="AO21" i="53"/>
  <c r="AU21" i="53" s="1"/>
  <c r="AN21" i="53" s="1"/>
  <c r="BW22" i="54"/>
  <c r="AF237" i="53"/>
  <c r="BV22" i="54"/>
  <c r="BH281" i="54"/>
  <c r="BH22" i="54"/>
  <c r="AF10" i="53" s="1"/>
  <c r="AN22" i="53"/>
  <c r="AM22" i="53"/>
  <c r="AN15" i="52"/>
  <c r="AF230" i="52"/>
  <c r="AP16" i="52"/>
  <c r="AF231" i="52"/>
  <c r="AO20" i="52"/>
  <c r="AF235" i="52"/>
  <c r="AO40" i="52"/>
  <c r="AR40" i="52" s="1"/>
  <c r="AS40" i="52" s="1"/>
  <c r="AP111" i="52"/>
  <c r="AN111" i="52" s="1"/>
  <c r="AM111" i="52"/>
  <c r="AR38" i="52"/>
  <c r="AS38" i="52" s="1"/>
  <c r="AT40" i="52"/>
  <c r="AU40" i="52" s="1"/>
  <c r="AR36" i="52"/>
  <c r="AS36" i="52" s="1"/>
  <c r="AM36" i="52" s="1"/>
  <c r="AT38" i="52"/>
  <c r="AU38" i="52" s="1"/>
  <c r="AP21" i="52"/>
  <c r="AP22" i="52"/>
  <c r="AO21" i="52"/>
  <c r="AO22" i="52"/>
  <c r="AU22" i="52" s="1"/>
  <c r="AP20" i="52"/>
  <c r="AF18" i="52"/>
  <c r="AF233" i="52" s="1"/>
  <c r="AO16" i="52"/>
  <c r="AT16" i="52" s="1"/>
  <c r="AO15" i="52"/>
  <c r="AM15" i="52" s="1"/>
  <c r="AF14" i="52"/>
  <c r="AY60" i="5"/>
  <c r="AY61" i="5"/>
  <c r="AY62" i="5"/>
  <c r="AY63" i="5"/>
  <c r="AY64" i="5"/>
  <c r="AY65" i="5"/>
  <c r="AY66" i="5"/>
  <c r="AY67" i="5"/>
  <c r="AY68" i="5"/>
  <c r="AP60" i="5"/>
  <c r="AP61" i="5"/>
  <c r="AP62" i="5"/>
  <c r="AP63" i="5"/>
  <c r="AP64" i="5"/>
  <c r="AP65" i="5"/>
  <c r="AP66" i="5"/>
  <c r="AP67" i="5"/>
  <c r="AP68" i="5"/>
  <c r="W276" i="18"/>
  <c r="W215" i="18" s="1"/>
  <c r="W277" i="18"/>
  <c r="W218" i="18" s="1"/>
  <c r="W278" i="18"/>
  <c r="W221" i="18" s="1"/>
  <c r="W279" i="18"/>
  <c r="W224" i="18" s="1"/>
  <c r="W280" i="18"/>
  <c r="W227" i="18" s="1"/>
  <c r="W281" i="18"/>
  <c r="W230" i="18" s="1"/>
  <c r="W282" i="18"/>
  <c r="W283" i="18"/>
  <c r="W236" i="18" s="1"/>
  <c r="W284" i="18"/>
  <c r="W239" i="18" s="1"/>
  <c r="V276" i="18"/>
  <c r="V215" i="18" s="1"/>
  <c r="V277" i="18"/>
  <c r="V218" i="18" s="1"/>
  <c r="V278" i="18"/>
  <c r="V221" i="18" s="1"/>
  <c r="V279" i="18"/>
  <c r="V224" i="18" s="1"/>
  <c r="V280" i="18"/>
  <c r="V227" i="18" s="1"/>
  <c r="V281" i="18"/>
  <c r="V230" i="18" s="1"/>
  <c r="V282" i="18"/>
  <c r="V233" i="18" s="1"/>
  <c r="V283" i="18"/>
  <c r="V236" i="18" s="1"/>
  <c r="V284" i="18"/>
  <c r="V239" i="18" s="1"/>
  <c r="V275" i="18"/>
  <c r="V212" i="18" s="1"/>
  <c r="U276" i="18"/>
  <c r="U215" i="18" s="1"/>
  <c r="U277" i="18"/>
  <c r="U218" i="18" s="1"/>
  <c r="U278" i="18"/>
  <c r="U279" i="18"/>
  <c r="U224" i="18" s="1"/>
  <c r="U280" i="18"/>
  <c r="U227" i="18" s="1"/>
  <c r="U281" i="18"/>
  <c r="U282" i="18"/>
  <c r="U233" i="18" s="1"/>
  <c r="U283" i="18"/>
  <c r="U236" i="18" s="1"/>
  <c r="U284" i="18"/>
  <c r="U239" i="18" s="1"/>
  <c r="U275" i="18"/>
  <c r="U212" i="18" s="1"/>
  <c r="Y241" i="18"/>
  <c r="Y240" i="18"/>
  <c r="Y238" i="18"/>
  <c r="Y237" i="18"/>
  <c r="Y235" i="18"/>
  <c r="Y234" i="18"/>
  <c r="Y232" i="18"/>
  <c r="Y231" i="18"/>
  <c r="Y229" i="18"/>
  <c r="Y228" i="18"/>
  <c r="Y226" i="18"/>
  <c r="Y225" i="18"/>
  <c r="Y223" i="18"/>
  <c r="Y222" i="18"/>
  <c r="Y220" i="18"/>
  <c r="Y219" i="18"/>
  <c r="Y217" i="18"/>
  <c r="Y216" i="18"/>
  <c r="Y214" i="18"/>
  <c r="Y213" i="18"/>
  <c r="AY44" i="5"/>
  <c r="AY45" i="5"/>
  <c r="AY46" i="5"/>
  <c r="AY47" i="5"/>
  <c r="AY48" i="5"/>
  <c r="AY49" i="5"/>
  <c r="AY50" i="5"/>
  <c r="AY51" i="5"/>
  <c r="AY52" i="5"/>
  <c r="U262" i="18"/>
  <c r="AP44" i="5"/>
  <c r="AP45" i="5"/>
  <c r="AP46" i="5"/>
  <c r="AP47" i="5"/>
  <c r="AP48" i="5"/>
  <c r="AP49" i="5"/>
  <c r="AP50" i="5"/>
  <c r="AP51" i="5"/>
  <c r="AP52" i="5"/>
  <c r="E96" i="18"/>
  <c r="E95" i="18"/>
  <c r="E94" i="18"/>
  <c r="E93" i="18"/>
  <c r="E92" i="18"/>
  <c r="E91" i="18"/>
  <c r="E90" i="18"/>
  <c r="E89" i="18"/>
  <c r="E88" i="18"/>
  <c r="W263" i="18"/>
  <c r="W183" i="18" s="1"/>
  <c r="W264" i="18"/>
  <c r="W186" i="18" s="1"/>
  <c r="W265" i="18"/>
  <c r="W189" i="18" s="1"/>
  <c r="W266" i="18"/>
  <c r="W192" i="18" s="1"/>
  <c r="W267" i="18"/>
  <c r="W195" i="18" s="1"/>
  <c r="W268" i="18"/>
  <c r="W198" i="18" s="1"/>
  <c r="W269" i="18"/>
  <c r="W201" i="18" s="1"/>
  <c r="W270" i="18"/>
  <c r="W204" i="18" s="1"/>
  <c r="W271" i="18"/>
  <c r="W207" i="18" s="1"/>
  <c r="V263" i="18"/>
  <c r="V183" i="18" s="1"/>
  <c r="V264" i="18"/>
  <c r="V186" i="18" s="1"/>
  <c r="V265" i="18"/>
  <c r="V189" i="18" s="1"/>
  <c r="V266" i="18"/>
  <c r="V192" i="18" s="1"/>
  <c r="V267" i="18"/>
  <c r="V195" i="18" s="1"/>
  <c r="V268" i="18"/>
  <c r="V198" i="18" s="1"/>
  <c r="V269" i="18"/>
  <c r="V201" i="18" s="1"/>
  <c r="V270" i="18"/>
  <c r="V204" i="18" s="1"/>
  <c r="V271" i="18"/>
  <c r="V207" i="18" s="1"/>
  <c r="V262" i="18"/>
  <c r="V180" i="18" s="1"/>
  <c r="U263" i="18"/>
  <c r="U183" i="18" s="1"/>
  <c r="U264" i="18"/>
  <c r="U186" i="18" s="1"/>
  <c r="U265" i="18"/>
  <c r="U189" i="18" s="1"/>
  <c r="U266" i="18"/>
  <c r="U192" i="18" s="1"/>
  <c r="U267" i="18"/>
  <c r="U195" i="18" s="1"/>
  <c r="U268" i="18"/>
  <c r="U198" i="18" s="1"/>
  <c r="U269" i="18"/>
  <c r="U201" i="18" s="1"/>
  <c r="U270" i="18"/>
  <c r="U204" i="18" s="1"/>
  <c r="U271" i="18"/>
  <c r="U207" i="18" s="1"/>
  <c r="Y209" i="18"/>
  <c r="Y208" i="18"/>
  <c r="Y206" i="18"/>
  <c r="Y205" i="18"/>
  <c r="Y203" i="18"/>
  <c r="Y202" i="18"/>
  <c r="Y200" i="18"/>
  <c r="Y199" i="18"/>
  <c r="Y197" i="18"/>
  <c r="Y196" i="18"/>
  <c r="Y194" i="18"/>
  <c r="Y193" i="18"/>
  <c r="Y191" i="18"/>
  <c r="Y190" i="18"/>
  <c r="Y188" i="18"/>
  <c r="Y187" i="18"/>
  <c r="Y185" i="18"/>
  <c r="Y184" i="18"/>
  <c r="Y182" i="18"/>
  <c r="Y181" i="18"/>
  <c r="AT20" i="53" l="1"/>
  <c r="AM21" i="53"/>
  <c r="BH292" i="54"/>
  <c r="AQ49" i="5"/>
  <c r="AQ319" i="5" s="1"/>
  <c r="AP319" i="5"/>
  <c r="AW51" i="5"/>
  <c r="AY321" i="5"/>
  <c r="AQ61" i="5"/>
  <c r="AQ331" i="5" s="1"/>
  <c r="AP331" i="5"/>
  <c r="AW62" i="5"/>
  <c r="AY332" i="5"/>
  <c r="BE333" i="5"/>
  <c r="AY333" i="5"/>
  <c r="AQ48" i="5"/>
  <c r="AQ318" i="5" s="1"/>
  <c r="AP318" i="5"/>
  <c r="AZ50" i="5"/>
  <c r="AZ320" i="5" s="1"/>
  <c r="AY320" i="5"/>
  <c r="AQ68" i="5"/>
  <c r="AQ338" i="5" s="1"/>
  <c r="AP338" i="5"/>
  <c r="AQ60" i="5"/>
  <c r="AQ330" i="5" s="1"/>
  <c r="AP330" i="5"/>
  <c r="AZ61" i="5"/>
  <c r="AZ331" i="5" s="1"/>
  <c r="AY331" i="5"/>
  <c r="AQ50" i="5"/>
  <c r="AQ320" i="5" s="1"/>
  <c r="AP320" i="5"/>
  <c r="AQ47" i="5"/>
  <c r="AQ317" i="5" s="1"/>
  <c r="AP317" i="5"/>
  <c r="AW49" i="5"/>
  <c r="AY319" i="5"/>
  <c r="AQ67" i="5"/>
  <c r="AQ337" i="5" s="1"/>
  <c r="AP337" i="5"/>
  <c r="BE338" i="5"/>
  <c r="AY338" i="5"/>
  <c r="BE330" i="5"/>
  <c r="AY330" i="5"/>
  <c r="AW44" i="5"/>
  <c r="AY314" i="5"/>
  <c r="AQ62" i="5"/>
  <c r="AQ332" i="5" s="1"/>
  <c r="AP332" i="5"/>
  <c r="AQ46" i="5"/>
  <c r="AQ316" i="5" s="1"/>
  <c r="AP316" i="5"/>
  <c r="AZ48" i="5"/>
  <c r="AZ318" i="5" s="1"/>
  <c r="AY318" i="5"/>
  <c r="AQ66" i="5"/>
  <c r="AQ336" i="5" s="1"/>
  <c r="AP336" i="5"/>
  <c r="AZ67" i="5"/>
  <c r="AZ337" i="5" s="1"/>
  <c r="AY337" i="5"/>
  <c r="AQ45" i="5"/>
  <c r="AQ315" i="5" s="1"/>
  <c r="AP315" i="5"/>
  <c r="AW47" i="5"/>
  <c r="AY317" i="5"/>
  <c r="AQ65" i="5"/>
  <c r="AQ335" i="5" s="1"/>
  <c r="AP335" i="5"/>
  <c r="BE336" i="5"/>
  <c r="AY336" i="5"/>
  <c r="AQ52" i="5"/>
  <c r="AQ322" i="5" s="1"/>
  <c r="AP322" i="5"/>
  <c r="AQ44" i="5"/>
  <c r="AQ314" i="5" s="1"/>
  <c r="AP314" i="5"/>
  <c r="AZ46" i="5"/>
  <c r="AZ316" i="5" s="1"/>
  <c r="AY316" i="5"/>
  <c r="AQ64" i="5"/>
  <c r="AQ334" i="5" s="1"/>
  <c r="AP334" i="5"/>
  <c r="BE335" i="5"/>
  <c r="AY335" i="5"/>
  <c r="AZ52" i="5"/>
  <c r="AZ322" i="5" s="1"/>
  <c r="AY322" i="5"/>
  <c r="AQ51" i="5"/>
  <c r="AQ321" i="5" s="1"/>
  <c r="AP321" i="5"/>
  <c r="AW45" i="5"/>
  <c r="AY315" i="5"/>
  <c r="AQ63" i="5"/>
  <c r="AQ333" i="5" s="1"/>
  <c r="AP333" i="5"/>
  <c r="AZ64" i="5"/>
  <c r="AZ334" i="5" s="1"/>
  <c r="AY334" i="5"/>
  <c r="AN14" i="52"/>
  <c r="AF229" i="52"/>
  <c r="AM22" i="52"/>
  <c r="AN22" i="52"/>
  <c r="AT20" i="52"/>
  <c r="AN38" i="52"/>
  <c r="AM40" i="52"/>
  <c r="AN36" i="52"/>
  <c r="AM38" i="52"/>
  <c r="AN40" i="52"/>
  <c r="AP24" i="52"/>
  <c r="AN24" i="52" s="1"/>
  <c r="AM24" i="52"/>
  <c r="AP18" i="52"/>
  <c r="AN18" i="52" s="1"/>
  <c r="AO18" i="52"/>
  <c r="AM18" i="52" s="1"/>
  <c r="AO14" i="52"/>
  <c r="AM14" i="52" s="1"/>
  <c r="AW48" i="5"/>
  <c r="X278" i="18"/>
  <c r="X221" i="18" s="1"/>
  <c r="Z221" i="18" s="1"/>
  <c r="Z278" i="18" s="1"/>
  <c r="AW46" i="5"/>
  <c r="X282" i="18"/>
  <c r="X233" i="18" s="1"/>
  <c r="Z233" i="18" s="1"/>
  <c r="Z282" i="18" s="1"/>
  <c r="AW67" i="5"/>
  <c r="AL67" i="5" s="1"/>
  <c r="X279" i="18"/>
  <c r="X224" i="18" s="1"/>
  <c r="Z226" i="18" s="1"/>
  <c r="X280" i="18"/>
  <c r="X227" i="18" s="1"/>
  <c r="Z229" i="18" s="1"/>
  <c r="AW66" i="5"/>
  <c r="AL66" i="5" s="1"/>
  <c r="AZ66" i="5"/>
  <c r="AZ336" i="5" s="1"/>
  <c r="U221" i="18"/>
  <c r="X281" i="18"/>
  <c r="X230" i="18" s="1"/>
  <c r="Y230" i="18" s="1"/>
  <c r="Y281" i="18" s="1"/>
  <c r="W275" i="18"/>
  <c r="U230" i="18"/>
  <c r="X276" i="18"/>
  <c r="X215" i="18" s="1"/>
  <c r="Z216" i="18" s="1"/>
  <c r="X284" i="18"/>
  <c r="X239" i="18" s="1"/>
  <c r="Y239" i="18" s="1"/>
  <c r="Y284" i="18" s="1"/>
  <c r="W233" i="18"/>
  <c r="X283" i="18"/>
  <c r="X236" i="18" s="1"/>
  <c r="AW64" i="5"/>
  <c r="AL64" i="5" s="1"/>
  <c r="BE334" i="5"/>
  <c r="BE331" i="5"/>
  <c r="X277" i="18"/>
  <c r="X218" i="18" s="1"/>
  <c r="Y218" i="18" s="1"/>
  <c r="Y277" i="18" s="1"/>
  <c r="AW63" i="5"/>
  <c r="AL63" i="5" s="1"/>
  <c r="AW61" i="5"/>
  <c r="AL61" i="5" s="1"/>
  <c r="AZ47" i="5"/>
  <c r="AZ317" i="5" s="1"/>
  <c r="AW50" i="5"/>
  <c r="AZ63" i="5"/>
  <c r="AZ333" i="5" s="1"/>
  <c r="BE337" i="5"/>
  <c r="AW60" i="5"/>
  <c r="AL60" i="5" s="1"/>
  <c r="AZ62" i="5"/>
  <c r="AZ332" i="5" s="1"/>
  <c r="AW68" i="5"/>
  <c r="AL68" i="5" s="1"/>
  <c r="AL338" i="5" s="1"/>
  <c r="AZ60" i="5"/>
  <c r="AZ330" i="5" s="1"/>
  <c r="AZ68" i="5"/>
  <c r="AZ338" i="5" s="1"/>
  <c r="AW65" i="5"/>
  <c r="AL65" i="5" s="1"/>
  <c r="AZ51" i="5"/>
  <c r="AZ321" i="5" s="1"/>
  <c r="AZ65" i="5"/>
  <c r="AZ335" i="5" s="1"/>
  <c r="AZ45" i="5"/>
  <c r="AZ315" i="5" s="1"/>
  <c r="AW52" i="5"/>
  <c r="AZ44" i="5"/>
  <c r="AZ314" i="5" s="1"/>
  <c r="AZ49" i="5"/>
  <c r="AZ319" i="5" s="1"/>
  <c r="X263" i="18"/>
  <c r="X183" i="18" s="1"/>
  <c r="Y183" i="18" s="1"/>
  <c r="Y263" i="18" s="1"/>
  <c r="W262" i="18"/>
  <c r="X262" i="18" s="1"/>
  <c r="U180" i="18"/>
  <c r="X266" i="18"/>
  <c r="X192" i="18" s="1"/>
  <c r="Z194" i="18" s="1"/>
  <c r="X267" i="18"/>
  <c r="X195" i="18" s="1"/>
  <c r="X268" i="18"/>
  <c r="X198" i="18" s="1"/>
  <c r="Z199" i="18" s="1"/>
  <c r="X269" i="18"/>
  <c r="X201" i="18" s="1"/>
  <c r="Z201" i="18" s="1"/>
  <c r="Z269" i="18" s="1"/>
  <c r="X265" i="18"/>
  <c r="X189" i="18" s="1"/>
  <c r="Z189" i="18" s="1"/>
  <c r="Z265" i="18" s="1"/>
  <c r="X271" i="18"/>
  <c r="X207" i="18" s="1"/>
  <c r="X270" i="18"/>
  <c r="X204" i="18" s="1"/>
  <c r="Z204" i="18" s="1"/>
  <c r="Z270" i="18" s="1"/>
  <c r="X264" i="18"/>
  <c r="X186" i="18" s="1"/>
  <c r="Z187" i="18" s="1"/>
  <c r="BE46" i="5"/>
  <c r="BE316" i="5" s="1"/>
  <c r="BE44" i="5"/>
  <c r="BE48" i="5"/>
  <c r="BE318" i="5" s="1"/>
  <c r="BE52" i="5"/>
  <c r="BE322" i="5" s="1"/>
  <c r="BE49" i="5"/>
  <c r="AJ62" i="5" l="1"/>
  <c r="AJ332" i="5" s="1"/>
  <c r="AL62" i="5"/>
  <c r="AL332" i="5" s="1"/>
  <c r="AW335" i="5"/>
  <c r="AL334" i="5"/>
  <c r="AW334" i="5"/>
  <c r="AL333" i="5"/>
  <c r="AW330" i="5"/>
  <c r="AJ60" i="5"/>
  <c r="AW336" i="5"/>
  <c r="AL335" i="5"/>
  <c r="AW332" i="5"/>
  <c r="AL331" i="5"/>
  <c r="AW338" i="5"/>
  <c r="AL337" i="5"/>
  <c r="AW331" i="5"/>
  <c r="AL330" i="5"/>
  <c r="AW337" i="5"/>
  <c r="AL336" i="5"/>
  <c r="AW333" i="5"/>
  <c r="AW320" i="5"/>
  <c r="AW318" i="5"/>
  <c r="BU48" i="5"/>
  <c r="AW314" i="5"/>
  <c r="BU44" i="5"/>
  <c r="AW319" i="5"/>
  <c r="BU49" i="5"/>
  <c r="AW322" i="5"/>
  <c r="BU52" i="5"/>
  <c r="AW317" i="5"/>
  <c r="BU46" i="5"/>
  <c r="AW321" i="5"/>
  <c r="AP10" i="53"/>
  <c r="AO10" i="53"/>
  <c r="BH44" i="5"/>
  <c r="BH314" i="5" s="1"/>
  <c r="BE314" i="5"/>
  <c r="AJ46" i="5"/>
  <c r="AJ316" i="5" s="1"/>
  <c r="AW316" i="5"/>
  <c r="AJ45" i="5"/>
  <c r="AJ315" i="5" s="1"/>
  <c r="AW315" i="5"/>
  <c r="BH49" i="5"/>
  <c r="BH319" i="5" s="1"/>
  <c r="BE319" i="5"/>
  <c r="BH62" i="5"/>
  <c r="BH332" i="5" s="1"/>
  <c r="BE332" i="5"/>
  <c r="AJ67" i="5"/>
  <c r="AJ337" i="5" s="1"/>
  <c r="BT67" i="5"/>
  <c r="BH65" i="5"/>
  <c r="BH335" i="5" s="1"/>
  <c r="BT65" i="5"/>
  <c r="BH68" i="5"/>
  <c r="BH338" i="5" s="1"/>
  <c r="BT68" i="5"/>
  <c r="BT61" i="5"/>
  <c r="BV66" i="5"/>
  <c r="BT66" i="5"/>
  <c r="AJ64" i="5"/>
  <c r="AJ334" i="5" s="1"/>
  <c r="BT64" i="5"/>
  <c r="BW63" i="5"/>
  <c r="BT63" i="5"/>
  <c r="BH60" i="5"/>
  <c r="BH330" i="5" s="1"/>
  <c r="BT60" i="5"/>
  <c r="BT62" i="5"/>
  <c r="BH48" i="5"/>
  <c r="BH318" i="5" s="1"/>
  <c r="Z228" i="18"/>
  <c r="AJ66" i="5"/>
  <c r="AJ336" i="5" s="1"/>
  <c r="Z227" i="18"/>
  <c r="Z280" i="18" s="1"/>
  <c r="Z234" i="18"/>
  <c r="Y227" i="18"/>
  <c r="Y280" i="18" s="1"/>
  <c r="Y233" i="18"/>
  <c r="Y282" i="18" s="1"/>
  <c r="Z235" i="18"/>
  <c r="BH46" i="5"/>
  <c r="BH316" i="5" s="1"/>
  <c r="BW66" i="5"/>
  <c r="Y221" i="18"/>
  <c r="Y278" i="18" s="1"/>
  <c r="Z220" i="18"/>
  <c r="Z217" i="18"/>
  <c r="Z223" i="18"/>
  <c r="Z224" i="18"/>
  <c r="Z279" i="18" s="1"/>
  <c r="Z239" i="18"/>
  <c r="Z284" i="18" s="1"/>
  <c r="Y224" i="18"/>
  <c r="Y279" i="18" s="1"/>
  <c r="BW67" i="5"/>
  <c r="Z225" i="18"/>
  <c r="Z222" i="18"/>
  <c r="BV63" i="5"/>
  <c r="BH66" i="5"/>
  <c r="BH336" i="5" s="1"/>
  <c r="BW61" i="5"/>
  <c r="Z238" i="18"/>
  <c r="Y236" i="18"/>
  <c r="Y283" i="18" s="1"/>
  <c r="Z237" i="18"/>
  <c r="BH52" i="5"/>
  <c r="BH322" i="5" s="1"/>
  <c r="BV67" i="5"/>
  <c r="BH67" i="5"/>
  <c r="BH337" i="5" s="1"/>
  <c r="Y215" i="18"/>
  <c r="Y276" i="18" s="1"/>
  <c r="Z215" i="18"/>
  <c r="Z276" i="18" s="1"/>
  <c r="Z218" i="18"/>
  <c r="Z277" i="18" s="1"/>
  <c r="Z219" i="18"/>
  <c r="Z241" i="18"/>
  <c r="Z236" i="18"/>
  <c r="Z283" i="18" s="1"/>
  <c r="X275" i="18"/>
  <c r="W212" i="18"/>
  <c r="Z240" i="18"/>
  <c r="Z231" i="18"/>
  <c r="Z230" i="18"/>
  <c r="Z281" i="18" s="1"/>
  <c r="Z232" i="18"/>
  <c r="BV64" i="5"/>
  <c r="BV61" i="5"/>
  <c r="BW64" i="5"/>
  <c r="BH64" i="5"/>
  <c r="BH334" i="5" s="1"/>
  <c r="AJ61" i="5"/>
  <c r="AJ331" i="5" s="1"/>
  <c r="BH61" i="5"/>
  <c r="BH331" i="5" s="1"/>
  <c r="AJ63" i="5"/>
  <c r="AJ333" i="5" s="1"/>
  <c r="BH63" i="5"/>
  <c r="BH333" i="5" s="1"/>
  <c r="AJ330" i="5"/>
  <c r="BW60" i="5"/>
  <c r="BV60" i="5"/>
  <c r="BW65" i="5"/>
  <c r="BV65" i="5"/>
  <c r="AJ65" i="5"/>
  <c r="AJ335" i="5" s="1"/>
  <c r="BV62" i="5"/>
  <c r="BW62" i="5"/>
  <c r="AJ68" i="5"/>
  <c r="AJ338" i="5" s="1"/>
  <c r="BW68" i="5"/>
  <c r="BV68" i="5"/>
  <c r="X180" i="18"/>
  <c r="Z180" i="18" s="1"/>
  <c r="Z262" i="18" s="1"/>
  <c r="Z183" i="18"/>
  <c r="Z263" i="18" s="1"/>
  <c r="Z184" i="18"/>
  <c r="Z185" i="18"/>
  <c r="BE50" i="5"/>
  <c r="BU50" i="5" s="1"/>
  <c r="Z186" i="18"/>
  <c r="Z264" i="18" s="1"/>
  <c r="Y186" i="18"/>
  <c r="Y264" i="18" s="1"/>
  <c r="Z202" i="18"/>
  <c r="Z200" i="18"/>
  <c r="Z192" i="18"/>
  <c r="Z266" i="18" s="1"/>
  <c r="Z188" i="18"/>
  <c r="W180" i="18"/>
  <c r="Z205" i="18"/>
  <c r="Z198" i="18"/>
  <c r="Z268" i="18" s="1"/>
  <c r="Z197" i="18"/>
  <c r="Z196" i="18"/>
  <c r="Z195" i="18"/>
  <c r="Z267" i="18" s="1"/>
  <c r="Y195" i="18"/>
  <c r="Y267" i="18" s="1"/>
  <c r="Z190" i="18"/>
  <c r="Y189" i="18"/>
  <c r="Y265" i="18" s="1"/>
  <c r="Y192" i="18"/>
  <c r="Y266" i="18" s="1"/>
  <c r="Z193" i="18"/>
  <c r="Y198" i="18"/>
  <c r="Y268" i="18" s="1"/>
  <c r="Y204" i="18"/>
  <c r="Y270" i="18" s="1"/>
  <c r="Z206" i="18"/>
  <c r="Z191" i="18"/>
  <c r="Z209" i="18"/>
  <c r="Z208" i="18"/>
  <c r="Z207" i="18"/>
  <c r="Z271" i="18" s="1"/>
  <c r="Y207" i="18"/>
  <c r="Y271" i="18" s="1"/>
  <c r="Z203" i="18"/>
  <c r="Y201" i="18"/>
  <c r="Y269" i="18" s="1"/>
  <c r="AJ50" i="5"/>
  <c r="AJ320" i="5" s="1"/>
  <c r="BE51" i="5"/>
  <c r="BU51" i="5" s="1"/>
  <c r="AJ51" i="5"/>
  <c r="AJ321" i="5" s="1"/>
  <c r="AJ52" i="5"/>
  <c r="AJ322" i="5" s="1"/>
  <c r="BE45" i="5"/>
  <c r="BU45" i="5" s="1"/>
  <c r="BE47" i="5"/>
  <c r="BU47" i="5" s="1"/>
  <c r="AJ47" i="5"/>
  <c r="AJ317" i="5" s="1"/>
  <c r="AJ44" i="5"/>
  <c r="AJ314" i="5" s="1"/>
  <c r="BW46" i="5"/>
  <c r="BV46" i="5"/>
  <c r="AJ48" i="5"/>
  <c r="AJ318" i="5" s="1"/>
  <c r="AJ49" i="5"/>
  <c r="AJ319" i="5" s="1"/>
  <c r="BH47" i="5" l="1"/>
  <c r="BH317" i="5" s="1"/>
  <c r="BE317" i="5"/>
  <c r="BH45" i="5"/>
  <c r="BH315" i="5" s="1"/>
  <c r="BE315" i="5"/>
  <c r="BH50" i="5"/>
  <c r="BH320" i="5" s="1"/>
  <c r="BE320" i="5"/>
  <c r="BH51" i="5"/>
  <c r="BH321" i="5" s="1"/>
  <c r="BE321" i="5"/>
  <c r="X212" i="18"/>
  <c r="Z212" i="18" s="1"/>
  <c r="Z275" i="18" s="1"/>
  <c r="Z182" i="18"/>
  <c r="Y180" i="18"/>
  <c r="Y262" i="18" s="1"/>
  <c r="Z181" i="18"/>
  <c r="BV50" i="5"/>
  <c r="BW50" i="5"/>
  <c r="BW52" i="5"/>
  <c r="BV52" i="5"/>
  <c r="BV49" i="5"/>
  <c r="BW49" i="5"/>
  <c r="BW44" i="5"/>
  <c r="BV44" i="5"/>
  <c r="BW51" i="5"/>
  <c r="BV51" i="5"/>
  <c r="BW48" i="5"/>
  <c r="BV48" i="5"/>
  <c r="BW47" i="5"/>
  <c r="BV47" i="5"/>
  <c r="BV45" i="5"/>
  <c r="BW45" i="5"/>
  <c r="Z213" i="18" l="1"/>
  <c r="Y212" i="18"/>
  <c r="Y275" i="18" s="1"/>
  <c r="Z214" i="18"/>
  <c r="BA59" i="5" l="1"/>
  <c r="BA329" i="5" s="1"/>
  <c r="AY59" i="5"/>
  <c r="AR59" i="5"/>
  <c r="AR329" i="5" s="1"/>
  <c r="AP59" i="5"/>
  <c r="AP329" i="5" s="1"/>
  <c r="U250" i="18"/>
  <c r="U251" i="18"/>
  <c r="U252" i="18"/>
  <c r="U253" i="18"/>
  <c r="U254" i="18"/>
  <c r="U255" i="18"/>
  <c r="U256" i="18"/>
  <c r="U257" i="18"/>
  <c r="U258" i="18"/>
  <c r="U249" i="18"/>
  <c r="Y177" i="18"/>
  <c r="Y176" i="18"/>
  <c r="Y174" i="18"/>
  <c r="Y173" i="18"/>
  <c r="Y171" i="18"/>
  <c r="Y170" i="18"/>
  <c r="Y168" i="18"/>
  <c r="Y167" i="18"/>
  <c r="Y165" i="18"/>
  <c r="Y164" i="18"/>
  <c r="Y162" i="18"/>
  <c r="Y161" i="18"/>
  <c r="Y159" i="18"/>
  <c r="Y158" i="18"/>
  <c r="Y156" i="18"/>
  <c r="Y155" i="18"/>
  <c r="Y153" i="18"/>
  <c r="Y152" i="18"/>
  <c r="Y150" i="18"/>
  <c r="Y149" i="18"/>
  <c r="AY329" i="5" l="1"/>
  <c r="BE59" i="5"/>
  <c r="AW59" i="5"/>
  <c r="BM59" i="5" s="1"/>
  <c r="BB59" i="5"/>
  <c r="BB329" i="5" s="1"/>
  <c r="AS59" i="5"/>
  <c r="AS329" i="5" s="1"/>
  <c r="W250" i="18"/>
  <c r="W151" i="18" s="1"/>
  <c r="W251" i="18"/>
  <c r="W252" i="18"/>
  <c r="X252" i="18" s="1"/>
  <c r="X157" i="18" s="1"/>
  <c r="Y157" i="18" s="1"/>
  <c r="Y252" i="18" s="1"/>
  <c r="W253" i="18"/>
  <c r="W160" i="18" s="1"/>
  <c r="W254" i="18"/>
  <c r="X254" i="18" s="1"/>
  <c r="X163" i="18" s="1"/>
  <c r="Y163" i="18" s="1"/>
  <c r="Y254" i="18" s="1"/>
  <c r="W255" i="18"/>
  <c r="W166" i="18" s="1"/>
  <c r="W256" i="18"/>
  <c r="X256" i="18" s="1"/>
  <c r="X169" i="18" s="1"/>
  <c r="Y169" i="18" s="1"/>
  <c r="Y256" i="18" s="1"/>
  <c r="W257" i="18"/>
  <c r="W172" i="18" s="1"/>
  <c r="W258" i="18"/>
  <c r="X258" i="18" s="1"/>
  <c r="X175" i="18" s="1"/>
  <c r="Y175" i="18" s="1"/>
  <c r="Y258" i="18" s="1"/>
  <c r="U148" i="18"/>
  <c r="V250" i="18"/>
  <c r="V151" i="18" s="1"/>
  <c r="V251" i="18"/>
  <c r="V154" i="18" s="1"/>
  <c r="V252" i="18"/>
  <c r="V157" i="18" s="1"/>
  <c r="V253" i="18"/>
  <c r="V160" i="18" s="1"/>
  <c r="V254" i="18"/>
  <c r="V163" i="18" s="1"/>
  <c r="V255" i="18"/>
  <c r="V166" i="18" s="1"/>
  <c r="V256" i="18"/>
  <c r="V169" i="18" s="1"/>
  <c r="V257" i="18"/>
  <c r="V172" i="18" s="1"/>
  <c r="V258" i="18"/>
  <c r="V175" i="18" s="1"/>
  <c r="V249" i="18"/>
  <c r="U175" i="18"/>
  <c r="U172" i="18"/>
  <c r="U169" i="18"/>
  <c r="U166" i="18"/>
  <c r="U163" i="18"/>
  <c r="U160" i="18"/>
  <c r="U157" i="18"/>
  <c r="U151" i="18"/>
  <c r="BH59" i="5" l="1"/>
  <c r="BQ59" i="5"/>
  <c r="BR59" i="5"/>
  <c r="BT59" i="5"/>
  <c r="V148" i="18"/>
  <c r="W249" i="18"/>
  <c r="X249" i="18" s="1"/>
  <c r="W175" i="18"/>
  <c r="X253" i="18"/>
  <c r="X160" i="18" s="1"/>
  <c r="Y160" i="18" s="1"/>
  <c r="Y253" i="18" s="1"/>
  <c r="W157" i="18"/>
  <c r="X251" i="18"/>
  <c r="X154" i="18" s="1"/>
  <c r="Y154" i="18" s="1"/>
  <c r="Y251" i="18" s="1"/>
  <c r="U154" i="18"/>
  <c r="W169" i="18"/>
  <c r="X255" i="18"/>
  <c r="X166" i="18" s="1"/>
  <c r="X257" i="18"/>
  <c r="X172" i="18" s="1"/>
  <c r="W154" i="18"/>
  <c r="W163" i="18"/>
  <c r="X250" i="18"/>
  <c r="X151" i="18" s="1"/>
  <c r="Z177" i="18"/>
  <c r="Z170" i="18"/>
  <c r="Z169" i="18"/>
  <c r="Z256" i="18" s="1"/>
  <c r="Z165" i="18"/>
  <c r="Z164" i="18"/>
  <c r="Z157" i="18"/>
  <c r="Z252" i="18" s="1"/>
  <c r="AT34" i="5" l="1"/>
  <c r="BC34" i="5"/>
  <c r="AT30" i="5"/>
  <c r="BC30" i="5"/>
  <c r="Z162" i="18"/>
  <c r="X148" i="18"/>
  <c r="CG34" i="5"/>
  <c r="W304" i="5"/>
  <c r="W300" i="5"/>
  <c r="CG30" i="5"/>
  <c r="W148" i="18"/>
  <c r="Z166" i="18"/>
  <c r="Z255" i="18" s="1"/>
  <c r="Y166" i="18"/>
  <c r="Y255" i="18" s="1"/>
  <c r="Z154" i="18"/>
  <c r="Z251" i="18" s="1"/>
  <c r="Z155" i="18"/>
  <c r="Z153" i="18"/>
  <c r="Y151" i="18"/>
  <c r="Y250" i="18" s="1"/>
  <c r="Z172" i="18"/>
  <c r="Z257" i="18" s="1"/>
  <c r="Y172" i="18"/>
  <c r="Y257" i="18" s="1"/>
  <c r="Z156" i="18"/>
  <c r="Z174" i="18"/>
  <c r="Z167" i="18"/>
  <c r="Z168" i="18"/>
  <c r="Z151" i="18"/>
  <c r="Z250" i="18" s="1"/>
  <c r="Z152" i="18"/>
  <c r="Z158" i="18"/>
  <c r="Z160" i="18"/>
  <c r="Z253" i="18" s="1"/>
  <c r="Z159" i="18"/>
  <c r="Z161" i="18"/>
  <c r="Z163" i="18"/>
  <c r="Z254" i="18" s="1"/>
  <c r="Z171" i="18"/>
  <c r="Z173" i="18"/>
  <c r="Z175" i="18"/>
  <c r="Z258" i="18" s="1"/>
  <c r="Z176" i="18"/>
  <c r="AU30" i="5" l="1"/>
  <c r="AU300" i="5" s="1"/>
  <c r="AT300" i="5"/>
  <c r="BD34" i="5"/>
  <c r="BD304" i="5" s="1"/>
  <c r="BC304" i="5"/>
  <c r="BD30" i="5"/>
  <c r="BD300" i="5" s="1"/>
  <c r="BC300" i="5"/>
  <c r="AU34" i="5"/>
  <c r="AU304" i="5" s="1"/>
  <c r="AT304" i="5"/>
  <c r="BC29" i="5"/>
  <c r="AT29" i="5"/>
  <c r="AT31" i="5"/>
  <c r="BC31" i="5"/>
  <c r="BC32" i="5"/>
  <c r="AT32" i="5"/>
  <c r="AT28" i="5"/>
  <c r="BC28" i="5"/>
  <c r="AT33" i="5"/>
  <c r="BC33" i="5"/>
  <c r="BC35" i="5"/>
  <c r="AT35" i="5"/>
  <c r="AT36" i="5"/>
  <c r="BC36" i="5"/>
  <c r="Z148" i="18"/>
  <c r="Z249" i="18" s="1"/>
  <c r="W27" i="5" s="1"/>
  <c r="Y148" i="18"/>
  <c r="Y249" i="18" s="1"/>
  <c r="Z150" i="18"/>
  <c r="Z149" i="18"/>
  <c r="AY30" i="5"/>
  <c r="AW30" i="5" s="1"/>
  <c r="AR30" i="5"/>
  <c r="AP30" i="5"/>
  <c r="BA30" i="5"/>
  <c r="BA34" i="5"/>
  <c r="AY34" i="5"/>
  <c r="AP34" i="5"/>
  <c r="AR34" i="5"/>
  <c r="W301" i="5"/>
  <c r="CG31" i="5"/>
  <c r="CG35" i="5"/>
  <c r="W305" i="5"/>
  <c r="W298" i="5"/>
  <c r="CG28" i="5"/>
  <c r="W302" i="5"/>
  <c r="CG32" i="5"/>
  <c r="W299" i="5"/>
  <c r="CG29" i="5"/>
  <c r="W306" i="5"/>
  <c r="CG36" i="5"/>
  <c r="W303" i="5"/>
  <c r="CG33" i="5"/>
  <c r="BV1" i="5"/>
  <c r="BT1" i="5"/>
  <c r="AY3" i="5"/>
  <c r="Z234" i="23"/>
  <c r="B9" i="23"/>
  <c r="B234" i="23" s="1"/>
  <c r="T9" i="23"/>
  <c r="T234" i="23" s="1"/>
  <c r="M246" i="23"/>
  <c r="B246" i="23"/>
  <c r="B244" i="23"/>
  <c r="Z242" i="23"/>
  <c r="T242" i="23"/>
  <c r="M242" i="23"/>
  <c r="B242" i="23"/>
  <c r="Z240" i="23"/>
  <c r="T240" i="23"/>
  <c r="B240" i="23"/>
  <c r="AF238" i="23"/>
  <c r="AD238" i="23"/>
  <c r="T238" i="23"/>
  <c r="B238" i="23"/>
  <c r="AF11" i="23"/>
  <c r="AF236" i="23" s="1"/>
  <c r="T11" i="23"/>
  <c r="T236" i="23" s="1"/>
  <c r="B11" i="23"/>
  <c r="B236" i="23" s="1"/>
  <c r="T7" i="23"/>
  <c r="T232" i="23" s="1"/>
  <c r="B7" i="23"/>
  <c r="AU28" i="5" l="1"/>
  <c r="AU298" i="5" s="1"/>
  <c r="AT298" i="5"/>
  <c r="BD35" i="5"/>
  <c r="BD305" i="5" s="1"/>
  <c r="BC305" i="5"/>
  <c r="AU31" i="5"/>
  <c r="AU301" i="5" s="1"/>
  <c r="AT301" i="5"/>
  <c r="BD33" i="5"/>
  <c r="BD303" i="5" s="1"/>
  <c r="BC303" i="5"/>
  <c r="BD29" i="5"/>
  <c r="BD299" i="5" s="1"/>
  <c r="BC299" i="5"/>
  <c r="AU32" i="5"/>
  <c r="AU302" i="5" s="1"/>
  <c r="AT302" i="5"/>
  <c r="AU36" i="5"/>
  <c r="AU306" i="5" s="1"/>
  <c r="AT306" i="5"/>
  <c r="BD32" i="5"/>
  <c r="BD302" i="5" s="1"/>
  <c r="BC302" i="5"/>
  <c r="AU29" i="5"/>
  <c r="AU299" i="5" s="1"/>
  <c r="AT299" i="5"/>
  <c r="AU33" i="5"/>
  <c r="AU303" i="5" s="1"/>
  <c r="AT303" i="5"/>
  <c r="AW34" i="5"/>
  <c r="BD28" i="5"/>
  <c r="BD298" i="5" s="1"/>
  <c r="BC298" i="5"/>
  <c r="BD36" i="5"/>
  <c r="BD306" i="5" s="1"/>
  <c r="BC306" i="5"/>
  <c r="AU35" i="5"/>
  <c r="AU305" i="5" s="1"/>
  <c r="AT305" i="5"/>
  <c r="BD31" i="5"/>
  <c r="BD301" i="5" s="1"/>
  <c r="BC301" i="5"/>
  <c r="CG27" i="5"/>
  <c r="AT27" i="5"/>
  <c r="AT297" i="5" s="1"/>
  <c r="AN27" i="5"/>
  <c r="AN297" i="5" s="1"/>
  <c r="AN31" i="5"/>
  <c r="AN301" i="5" s="1"/>
  <c r="AN32" i="5"/>
  <c r="AN302" i="5" s="1"/>
  <c r="AN33" i="5"/>
  <c r="AN303" i="5" s="1"/>
  <c r="AN28" i="5"/>
  <c r="AN298" i="5" s="1"/>
  <c r="AN34" i="5"/>
  <c r="AN304" i="5" s="1"/>
  <c r="AN35" i="5"/>
  <c r="AN305" i="5" s="1"/>
  <c r="AN29" i="5"/>
  <c r="AN299" i="5" s="1"/>
  <c r="AN30" i="5"/>
  <c r="AN300" i="5" s="1"/>
  <c r="AN36" i="5"/>
  <c r="AN306" i="5" s="1"/>
  <c r="AY300" i="5"/>
  <c r="AY304" i="5"/>
  <c r="AY274" i="5"/>
  <c r="AY274" i="54"/>
  <c r="AY4" i="54"/>
  <c r="W297" i="54"/>
  <c r="BB34" i="5"/>
  <c r="BB304" i="5" s="1"/>
  <c r="BA304" i="5"/>
  <c r="BB30" i="5"/>
  <c r="BB300" i="5" s="1"/>
  <c r="BA300" i="5"/>
  <c r="AQ30" i="5"/>
  <c r="AQ300" i="5" s="1"/>
  <c r="AP300" i="5"/>
  <c r="AS30" i="5"/>
  <c r="AS300" i="5" s="1"/>
  <c r="AR300" i="5"/>
  <c r="AS34" i="5"/>
  <c r="AS304" i="5" s="1"/>
  <c r="AR304" i="5"/>
  <c r="AQ34" i="5"/>
  <c r="AQ304" i="5" s="1"/>
  <c r="AP304" i="5"/>
  <c r="AY4" i="5"/>
  <c r="B232" i="23"/>
  <c r="BU63" i="5"/>
  <c r="BT48" i="5"/>
  <c r="BR49" i="5"/>
  <c r="BQ46" i="5"/>
  <c r="BS68" i="5"/>
  <c r="BU64" i="5"/>
  <c r="BS60" i="5"/>
  <c r="BT47" i="5"/>
  <c r="BR48" i="5"/>
  <c r="BQ47" i="5"/>
  <c r="BU65" i="5"/>
  <c r="BS61" i="5"/>
  <c r="BT46" i="5"/>
  <c r="BR47" i="5"/>
  <c r="BQ48" i="5"/>
  <c r="BR50" i="5"/>
  <c r="BU66" i="5"/>
  <c r="BT45" i="5"/>
  <c r="BR46" i="5"/>
  <c r="BQ49" i="5"/>
  <c r="BU62" i="5"/>
  <c r="BT49" i="5"/>
  <c r="BQ45" i="5"/>
  <c r="BU67" i="5"/>
  <c r="BT52" i="5"/>
  <c r="BT44" i="5"/>
  <c r="BR45" i="5"/>
  <c r="BQ50" i="5"/>
  <c r="BU68" i="5"/>
  <c r="BU60" i="5"/>
  <c r="BT51" i="5"/>
  <c r="BR52" i="5"/>
  <c r="BR44" i="5"/>
  <c r="BQ51" i="5"/>
  <c r="BU61" i="5"/>
  <c r="BT50" i="5"/>
  <c r="BR51" i="5"/>
  <c r="BQ44" i="5"/>
  <c r="BQ52" i="5"/>
  <c r="AZ34" i="5"/>
  <c r="AZ304" i="5" s="1"/>
  <c r="AZ30" i="5"/>
  <c r="AZ300" i="5" s="1"/>
  <c r="BE34" i="5"/>
  <c r="BE304" i="5" s="1"/>
  <c r="AR29" i="5"/>
  <c r="AP29" i="5"/>
  <c r="AY29" i="5"/>
  <c r="BA29" i="5"/>
  <c r="AP28" i="5"/>
  <c r="AR28" i="5"/>
  <c r="BA28" i="5"/>
  <c r="AY28" i="5"/>
  <c r="BA32" i="5"/>
  <c r="AY32" i="5"/>
  <c r="AP32" i="5"/>
  <c r="AR32" i="5"/>
  <c r="AP35" i="5"/>
  <c r="AR35" i="5"/>
  <c r="BA35" i="5"/>
  <c r="AY35" i="5"/>
  <c r="AW35" i="5" s="1"/>
  <c r="BE30" i="5"/>
  <c r="BE300" i="5" s="1"/>
  <c r="BA31" i="5"/>
  <c r="AY31" i="5"/>
  <c r="AR31" i="5"/>
  <c r="AP31" i="5"/>
  <c r="BA33" i="5"/>
  <c r="AY33" i="5"/>
  <c r="AR33" i="5"/>
  <c r="AP33" i="5"/>
  <c r="AP36" i="5"/>
  <c r="AR36" i="5"/>
  <c r="BA36" i="5"/>
  <c r="AY36" i="5"/>
  <c r="BU13" i="5"/>
  <c r="BU15" i="5"/>
  <c r="BU17" i="5"/>
  <c r="BU14" i="5"/>
  <c r="BU16" i="5"/>
  <c r="BU11" i="5"/>
  <c r="BT14" i="5"/>
  <c r="BR18" i="5"/>
  <c r="BQ16" i="5"/>
  <c r="BT17" i="5"/>
  <c r="BR13" i="5"/>
  <c r="BQ19" i="5"/>
  <c r="BT12" i="5"/>
  <c r="BT15" i="5"/>
  <c r="BR19" i="5"/>
  <c r="BQ17" i="5"/>
  <c r="BR11" i="5"/>
  <c r="BQ14" i="5"/>
  <c r="BT16" i="5"/>
  <c r="BR12" i="5"/>
  <c r="BR20" i="5"/>
  <c r="BQ18" i="5"/>
  <c r="BT20" i="5"/>
  <c r="BR17" i="5"/>
  <c r="BT18" i="5"/>
  <c r="BR14" i="5"/>
  <c r="BQ12" i="5"/>
  <c r="BQ20" i="5"/>
  <c r="BR16" i="5"/>
  <c r="BT13" i="5"/>
  <c r="BT11" i="5"/>
  <c r="BT19" i="5"/>
  <c r="BR15" i="5"/>
  <c r="BQ13" i="5"/>
  <c r="BQ11" i="5"/>
  <c r="BQ15" i="5"/>
  <c r="BU20" i="5"/>
  <c r="BU12" i="5"/>
  <c r="BU19" i="5"/>
  <c r="BU18" i="5"/>
  <c r="AS12" i="5"/>
  <c r="AS282" i="5" s="1"/>
  <c r="AS13" i="5"/>
  <c r="AS283" i="5" s="1"/>
  <c r="AS14" i="5"/>
  <c r="AS284" i="5" s="1"/>
  <c r="AS15" i="5"/>
  <c r="AS285" i="5" s="1"/>
  <c r="AS16" i="5"/>
  <c r="AS286" i="5" s="1"/>
  <c r="AS17" i="5"/>
  <c r="AS287" i="5" s="1"/>
  <c r="AS18" i="5"/>
  <c r="AS288" i="5" s="1"/>
  <c r="AS19" i="5"/>
  <c r="AS289" i="5" s="1"/>
  <c r="AS20" i="5"/>
  <c r="AS290" i="5" s="1"/>
  <c r="AW11" i="5"/>
  <c r="AW28" i="5" l="1"/>
  <c r="AW33" i="5"/>
  <c r="AW31" i="5"/>
  <c r="AW36" i="5"/>
  <c r="AW29" i="5"/>
  <c r="AW32" i="5"/>
  <c r="BQ34" i="5"/>
  <c r="BR34" i="5"/>
  <c r="BQ30" i="5"/>
  <c r="BR30" i="5"/>
  <c r="W297" i="5"/>
  <c r="AU27" i="5"/>
  <c r="AU297" i="5" s="1"/>
  <c r="BA27" i="5"/>
  <c r="BC27" i="5"/>
  <c r="AR27" i="5"/>
  <c r="AW304" i="5"/>
  <c r="AW300" i="5"/>
  <c r="AY301" i="5"/>
  <c r="AY299" i="5"/>
  <c r="AY302" i="5"/>
  <c r="AY305" i="5"/>
  <c r="AY303" i="5"/>
  <c r="AY306" i="5"/>
  <c r="AY298" i="5"/>
  <c r="AW281" i="5"/>
  <c r="BM281" i="5" s="1"/>
  <c r="BM11" i="5"/>
  <c r="AY297" i="54"/>
  <c r="BE297" i="54"/>
  <c r="AZ27" i="54"/>
  <c r="AZ297" i="54" s="1"/>
  <c r="AP297" i="54"/>
  <c r="AQ297" i="54"/>
  <c r="AR297" i="54"/>
  <c r="AS27" i="54"/>
  <c r="AS297" i="54" s="1"/>
  <c r="BA297" i="54"/>
  <c r="BB27" i="54"/>
  <c r="BB297" i="54" s="1"/>
  <c r="AS33" i="5"/>
  <c r="AS303" i="5" s="1"/>
  <c r="AR303" i="5"/>
  <c r="BB33" i="5"/>
  <c r="BB303" i="5" s="1"/>
  <c r="BA303" i="5"/>
  <c r="AS35" i="5"/>
  <c r="AS305" i="5" s="1"/>
  <c r="AR305" i="5"/>
  <c r="AS28" i="5"/>
  <c r="AS298" i="5" s="1"/>
  <c r="AR298" i="5"/>
  <c r="AQ31" i="5"/>
  <c r="AQ301" i="5" s="1"/>
  <c r="AP301" i="5"/>
  <c r="AQ35" i="5"/>
  <c r="AQ305" i="5" s="1"/>
  <c r="AP305" i="5"/>
  <c r="AQ28" i="5"/>
  <c r="AQ298" i="5" s="1"/>
  <c r="AP298" i="5"/>
  <c r="BB35" i="5"/>
  <c r="BB305" i="5" s="1"/>
  <c r="BA305" i="5"/>
  <c r="BB36" i="5"/>
  <c r="BB306" i="5" s="1"/>
  <c r="BA306" i="5"/>
  <c r="AS31" i="5"/>
  <c r="AS301" i="5" s="1"/>
  <c r="AR301" i="5"/>
  <c r="AS32" i="5"/>
  <c r="AS302" i="5" s="1"/>
  <c r="AR302" i="5"/>
  <c r="BB29" i="5"/>
  <c r="BB299" i="5" s="1"/>
  <c r="BA299" i="5"/>
  <c r="AQ33" i="5"/>
  <c r="AQ303" i="5" s="1"/>
  <c r="AP303" i="5"/>
  <c r="AS29" i="5"/>
  <c r="AS299" i="5" s="1"/>
  <c r="AR299" i="5"/>
  <c r="AS36" i="5"/>
  <c r="AS306" i="5" s="1"/>
  <c r="AR306" i="5"/>
  <c r="AQ32" i="5"/>
  <c r="AQ302" i="5" s="1"/>
  <c r="AP302" i="5"/>
  <c r="BB32" i="5"/>
  <c r="BB302" i="5" s="1"/>
  <c r="BA302" i="5"/>
  <c r="BB28" i="5"/>
  <c r="BB298" i="5" s="1"/>
  <c r="BA298" i="5"/>
  <c r="AQ36" i="5"/>
  <c r="AQ306" i="5" s="1"/>
  <c r="AP306" i="5"/>
  <c r="BB31" i="5"/>
  <c r="BB301" i="5" s="1"/>
  <c r="BA301" i="5"/>
  <c r="AQ29" i="5"/>
  <c r="AQ299" i="5" s="1"/>
  <c r="AP299" i="5"/>
  <c r="BS13" i="5"/>
  <c r="BV11" i="5"/>
  <c r="BS46" i="5"/>
  <c r="AS11" i="5"/>
  <c r="AS281" i="5" s="1"/>
  <c r="BW11" i="5"/>
  <c r="BS44" i="5"/>
  <c r="BS20" i="5"/>
  <c r="BS19" i="5"/>
  <c r="BS63" i="5"/>
  <c r="BS52" i="5"/>
  <c r="BS65" i="5"/>
  <c r="BS16" i="5"/>
  <c r="BS66" i="5"/>
  <c r="BS64" i="5"/>
  <c r="BS62" i="5"/>
  <c r="BS67" i="5"/>
  <c r="AZ33" i="5"/>
  <c r="AZ303" i="5" s="1"/>
  <c r="AZ36" i="5"/>
  <c r="AZ306" i="5" s="1"/>
  <c r="AZ31" i="5"/>
  <c r="AZ301" i="5" s="1"/>
  <c r="AZ32" i="5"/>
  <c r="AZ302" i="5" s="1"/>
  <c r="AZ29" i="5"/>
  <c r="AZ299" i="5" s="1"/>
  <c r="AJ30" i="5"/>
  <c r="AJ300" i="5" s="1"/>
  <c r="AL30" i="5"/>
  <c r="AL300" i="5" s="1"/>
  <c r="AZ35" i="5"/>
  <c r="AZ305" i="5" s="1"/>
  <c r="AZ28" i="5"/>
  <c r="AZ298" i="5" s="1"/>
  <c r="AL34" i="5"/>
  <c r="AL304" i="5" s="1"/>
  <c r="AJ34" i="5"/>
  <c r="AJ304" i="5" s="1"/>
  <c r="BT34" i="5"/>
  <c r="BU34" i="5"/>
  <c r="BS50" i="5"/>
  <c r="BU30" i="5"/>
  <c r="BS49" i="5"/>
  <c r="BS51" i="5"/>
  <c r="BS48" i="5"/>
  <c r="BS18" i="5"/>
  <c r="BE36" i="5"/>
  <c r="BE306" i="5" s="1"/>
  <c r="BT30" i="5"/>
  <c r="BE29" i="5"/>
  <c r="BE299" i="5" s="1"/>
  <c r="BS17" i="5"/>
  <c r="BE33" i="5"/>
  <c r="BE303" i="5" s="1"/>
  <c r="BE28" i="5"/>
  <c r="BE298" i="5" s="1"/>
  <c r="BE35" i="5"/>
  <c r="BE305" i="5" s="1"/>
  <c r="BS15" i="5"/>
  <c r="BE31" i="5"/>
  <c r="BE301" i="5" s="1"/>
  <c r="BS45" i="5"/>
  <c r="BS11" i="5"/>
  <c r="BS12" i="5"/>
  <c r="BW34" i="5"/>
  <c r="BV34" i="5"/>
  <c r="BH34" i="5"/>
  <c r="BH304" i="5" s="1"/>
  <c r="BS14" i="5"/>
  <c r="BW30" i="5"/>
  <c r="BV30" i="5"/>
  <c r="BH30" i="5"/>
  <c r="BH300" i="5" s="1"/>
  <c r="BE32" i="5"/>
  <c r="BE302" i="5" s="1"/>
  <c r="BS47" i="5"/>
  <c r="BH20" i="5"/>
  <c r="BH290" i="5" s="1"/>
  <c r="BW20" i="5"/>
  <c r="BV20" i="5"/>
  <c r="BH19" i="5"/>
  <c r="BH289" i="5" s="1"/>
  <c r="BW19" i="5"/>
  <c r="BV19" i="5"/>
  <c r="BH12" i="5"/>
  <c r="BH282" i="5" s="1"/>
  <c r="BW12" i="5"/>
  <c r="BV12" i="5"/>
  <c r="BH18" i="5"/>
  <c r="BH288" i="5" s="1"/>
  <c r="BV18" i="5"/>
  <c r="BW18" i="5"/>
  <c r="BH17" i="5"/>
  <c r="BH287" i="5" s="1"/>
  <c r="BW17" i="5"/>
  <c r="BV17" i="5"/>
  <c r="BH16" i="5"/>
  <c r="BH286" i="5" s="1"/>
  <c r="BW16" i="5"/>
  <c r="BV16" i="5"/>
  <c r="BH15" i="5"/>
  <c r="BH285" i="5" s="1"/>
  <c r="BV15" i="5"/>
  <c r="BW15" i="5"/>
  <c r="BH14" i="5"/>
  <c r="BH284" i="5" s="1"/>
  <c r="BV14" i="5"/>
  <c r="BW14" i="5"/>
  <c r="BH13" i="5"/>
  <c r="BH283" i="5" s="1"/>
  <c r="BV13" i="5"/>
  <c r="BW13" i="5"/>
  <c r="B227" i="21"/>
  <c r="B228" i="21"/>
  <c r="B229" i="21"/>
  <c r="B230" i="21"/>
  <c r="B231" i="21"/>
  <c r="B232" i="21"/>
  <c r="B233" i="21"/>
  <c r="B234" i="21"/>
  <c r="B237" i="21"/>
  <c r="B238" i="21"/>
  <c r="Y213" i="21"/>
  <c r="T213" i="21"/>
  <c r="T212" i="21"/>
  <c r="AA131" i="32"/>
  <c r="AA130" i="32"/>
  <c r="AA129" i="32"/>
  <c r="AA128" i="32"/>
  <c r="AA127" i="32"/>
  <c r="AA126" i="32"/>
  <c r="AA125" i="32"/>
  <c r="AA124" i="32"/>
  <c r="AA123" i="32"/>
  <c r="AA122" i="32"/>
  <c r="AA121" i="32"/>
  <c r="AA120" i="32"/>
  <c r="AA119" i="32"/>
  <c r="AA118" i="32"/>
  <c r="AA117" i="32"/>
  <c r="AA116" i="32"/>
  <c r="AA115" i="32"/>
  <c r="AA114" i="32"/>
  <c r="AA113" i="32"/>
  <c r="AA112" i="32"/>
  <c r="AA111" i="32"/>
  <c r="AA110" i="32"/>
  <c r="AA109" i="32"/>
  <c r="AA108" i="32"/>
  <c r="AA107" i="32"/>
  <c r="AA106" i="32"/>
  <c r="AA105" i="32"/>
  <c r="AA104" i="32"/>
  <c r="AA103" i="32"/>
  <c r="AA102" i="32"/>
  <c r="AA101" i="32"/>
  <c r="AA100" i="32"/>
  <c r="AA99" i="32"/>
  <c r="AA98" i="32"/>
  <c r="AA97" i="32"/>
  <c r="AA96" i="32"/>
  <c r="AA95" i="32"/>
  <c r="AA94" i="32"/>
  <c r="AA93" i="32"/>
  <c r="AA91" i="32"/>
  <c r="AA92" i="32"/>
  <c r="AA90" i="32"/>
  <c r="BD27" i="5" l="1"/>
  <c r="BD297" i="5" s="1"/>
  <c r="BC297" i="5"/>
  <c r="BR32" i="5"/>
  <c r="BQ32" i="5"/>
  <c r="BR35" i="5"/>
  <c r="BQ35" i="5"/>
  <c r="BR31" i="5"/>
  <c r="BQ31" i="5"/>
  <c r="BR36" i="5"/>
  <c r="BQ36" i="5"/>
  <c r="BQ29" i="5"/>
  <c r="BR29" i="5"/>
  <c r="BR28" i="5"/>
  <c r="BQ28" i="5"/>
  <c r="BQ33" i="5"/>
  <c r="BR33" i="5"/>
  <c r="AW299" i="5"/>
  <c r="AW306" i="5"/>
  <c r="AW303" i="5"/>
  <c r="AW298" i="5"/>
  <c r="AW302" i="5"/>
  <c r="AW301" i="5"/>
  <c r="AW305" i="5"/>
  <c r="BH27" i="54"/>
  <c r="BH297" i="54" s="1"/>
  <c r="BR27" i="54"/>
  <c r="BU27" i="54"/>
  <c r="BQ27" i="54"/>
  <c r="BW27" i="54"/>
  <c r="BW38" i="54" s="1"/>
  <c r="BT27" i="54"/>
  <c r="BV27" i="54"/>
  <c r="BV38" i="54" s="1"/>
  <c r="AJ27" i="54"/>
  <c r="AJ297" i="54" s="1"/>
  <c r="BM27" i="54"/>
  <c r="AL27" i="54"/>
  <c r="AL297" i="54" s="1"/>
  <c r="AW297" i="54"/>
  <c r="BM297" i="54" s="1"/>
  <c r="BS34" i="5"/>
  <c r="AL35" i="5"/>
  <c r="AL305" i="5" s="1"/>
  <c r="AJ35" i="5"/>
  <c r="AJ305" i="5" s="1"/>
  <c r="AJ31" i="5"/>
  <c r="AJ301" i="5" s="1"/>
  <c r="AL31" i="5"/>
  <c r="AL301" i="5" s="1"/>
  <c r="AJ29" i="5"/>
  <c r="AJ299" i="5" s="1"/>
  <c r="AL29" i="5"/>
  <c r="AL299" i="5" s="1"/>
  <c r="AL36" i="5"/>
  <c r="AL306" i="5" s="1"/>
  <c r="AJ36" i="5"/>
  <c r="AJ306" i="5" s="1"/>
  <c r="AL28" i="5"/>
  <c r="AL298" i="5" s="1"/>
  <c r="AJ28" i="5"/>
  <c r="AJ298" i="5" s="1"/>
  <c r="AL32" i="5"/>
  <c r="AL302" i="5" s="1"/>
  <c r="AJ32" i="5"/>
  <c r="AJ302" i="5" s="1"/>
  <c r="AL33" i="5"/>
  <c r="AL303" i="5" s="1"/>
  <c r="AJ33" i="5"/>
  <c r="AJ303" i="5" s="1"/>
  <c r="BS30" i="5"/>
  <c r="BW29" i="5"/>
  <c r="BV29" i="5"/>
  <c r="BH29" i="5"/>
  <c r="BH299" i="5" s="1"/>
  <c r="BT29" i="5"/>
  <c r="BU29" i="5"/>
  <c r="BW35" i="5"/>
  <c r="BV35" i="5"/>
  <c r="BH35" i="5"/>
  <c r="BH305" i="5" s="1"/>
  <c r="BT35" i="5"/>
  <c r="BU35" i="5"/>
  <c r="BW28" i="5"/>
  <c r="BV28" i="5"/>
  <c r="BH28" i="5"/>
  <c r="BH298" i="5" s="1"/>
  <c r="BT28" i="5"/>
  <c r="BU28" i="5"/>
  <c r="BW36" i="5"/>
  <c r="BV36" i="5"/>
  <c r="BH36" i="5"/>
  <c r="BH306" i="5" s="1"/>
  <c r="BT36" i="5"/>
  <c r="BU36" i="5"/>
  <c r="BV32" i="5"/>
  <c r="BW32" i="5"/>
  <c r="BH32" i="5"/>
  <c r="BH302" i="5" s="1"/>
  <c r="BT32" i="5"/>
  <c r="BU32" i="5"/>
  <c r="BV33" i="5"/>
  <c r="BW33" i="5"/>
  <c r="BH33" i="5"/>
  <c r="BH303" i="5" s="1"/>
  <c r="BT33" i="5"/>
  <c r="BU33" i="5"/>
  <c r="BV31" i="5"/>
  <c r="BW31" i="5"/>
  <c r="BH31" i="5"/>
  <c r="BH301" i="5" s="1"/>
  <c r="BU31" i="5"/>
  <c r="BT31" i="5"/>
  <c r="BW22" i="5"/>
  <c r="BV22" i="5"/>
  <c r="BH11" i="5"/>
  <c r="AU14" i="52"/>
  <c r="AR87" i="52"/>
  <c r="AS87" i="52" s="1"/>
  <c r="AR86" i="52"/>
  <c r="AS86" i="52" s="1"/>
  <c r="AR84" i="52"/>
  <c r="AS84" i="52" s="1"/>
  <c r="AR83" i="52"/>
  <c r="AS83" i="52" s="1"/>
  <c r="AR82" i="52"/>
  <c r="AS82" i="52" s="1"/>
  <c r="AR81" i="52"/>
  <c r="AS81" i="52" s="1"/>
  <c r="AR80" i="52"/>
  <c r="AS80" i="52" s="1"/>
  <c r="AR79" i="52"/>
  <c r="AS79" i="52" s="1"/>
  <c r="AF105" i="52"/>
  <c r="AF320" i="52" s="1"/>
  <c r="AF103" i="52"/>
  <c r="AF318" i="52" s="1"/>
  <c r="AF102" i="52"/>
  <c r="AF317" i="52" s="1"/>
  <c r="AF101" i="52"/>
  <c r="AF316" i="52" s="1"/>
  <c r="AP96" i="52"/>
  <c r="AF95" i="52"/>
  <c r="AF310" i="52" s="1"/>
  <c r="AF94" i="52"/>
  <c r="AF309" i="52" s="1"/>
  <c r="AF93" i="52"/>
  <c r="AF308" i="52" s="1"/>
  <c r="AF87" i="52"/>
  <c r="AF302" i="52" s="1"/>
  <c r="AF86" i="52"/>
  <c r="AF301" i="52" s="1"/>
  <c r="AU56" i="52"/>
  <c r="AF84" i="52"/>
  <c r="AF299" i="52" s="1"/>
  <c r="AF83" i="52"/>
  <c r="AF298" i="52" s="1"/>
  <c r="AF82" i="52"/>
  <c r="AF297" i="52" s="1"/>
  <c r="AF81" i="52"/>
  <c r="AF296" i="52" s="1"/>
  <c r="AF80" i="52"/>
  <c r="AF295" i="52" s="1"/>
  <c r="AF78" i="52"/>
  <c r="AF73" i="52"/>
  <c r="AP72" i="52"/>
  <c r="AN72" i="52" s="1"/>
  <c r="AF71" i="52"/>
  <c r="AP70" i="52"/>
  <c r="AR41" i="52"/>
  <c r="AS41" i="52" s="1"/>
  <c r="AF68" i="52"/>
  <c r="AN35" i="52"/>
  <c r="AQ34" i="52"/>
  <c r="AF62" i="52"/>
  <c r="AF277" i="52" s="1"/>
  <c r="AP57" i="52"/>
  <c r="AF56" i="52"/>
  <c r="AF271" i="52" s="1"/>
  <c r="AP53" i="52"/>
  <c r="AF52" i="52"/>
  <c r="AF267" i="52" s="1"/>
  <c r="AF41" i="52"/>
  <c r="AF256" i="52" s="1"/>
  <c r="S35" i="52"/>
  <c r="S250" i="52" s="1"/>
  <c r="P35" i="52"/>
  <c r="P250" i="52" s="1"/>
  <c r="P34" i="52"/>
  <c r="P249" i="52" s="1"/>
  <c r="AI1" i="52"/>
  <c r="AI217" i="52" s="1"/>
  <c r="B44" i="21"/>
  <c r="BH38" i="54" l="1"/>
  <c r="BH308" i="54" s="1"/>
  <c r="BH22" i="5"/>
  <c r="BH281" i="5"/>
  <c r="AF226" i="53"/>
  <c r="AP105" i="52"/>
  <c r="AP101" i="52"/>
  <c r="AP93" i="52"/>
  <c r="AP83" i="52"/>
  <c r="AN83" i="52" s="1"/>
  <c r="AP80" i="52"/>
  <c r="AN80" i="52" s="1"/>
  <c r="AP56" i="52"/>
  <c r="AN56" i="52" s="1"/>
  <c r="AF286" i="52"/>
  <c r="AF283" i="52"/>
  <c r="AF288" i="52"/>
  <c r="AO52" i="52"/>
  <c r="AT52" i="52" s="1"/>
  <c r="AU52" i="52" s="1"/>
  <c r="AM52" i="52" s="1"/>
  <c r="AP78" i="52"/>
  <c r="BS28" i="5"/>
  <c r="BS36" i="5"/>
  <c r="BS31" i="5"/>
  <c r="BS29" i="5"/>
  <c r="BS35" i="5"/>
  <c r="BS33" i="5"/>
  <c r="BS32" i="5"/>
  <c r="X35" i="52"/>
  <c r="AO73" i="52"/>
  <c r="AM73" i="52" s="1"/>
  <c r="AP52" i="52"/>
  <c r="AP82" i="52"/>
  <c r="AN82" i="52" s="1"/>
  <c r="AP79" i="52"/>
  <c r="AN79" i="52" s="1"/>
  <c r="AO79" i="52"/>
  <c r="AM79" i="52" s="1"/>
  <c r="AO82" i="52"/>
  <c r="AM82" i="52" s="1"/>
  <c r="AO103" i="52"/>
  <c r="AR103" i="52" s="1"/>
  <c r="AS103" i="52" s="1"/>
  <c r="AM103" i="52" s="1"/>
  <c r="AO71" i="52"/>
  <c r="AM71" i="52" s="1"/>
  <c r="AP71" i="52"/>
  <c r="AN71" i="52" s="1"/>
  <c r="AO95" i="52"/>
  <c r="AR95" i="52" s="1"/>
  <c r="AS95" i="52" s="1"/>
  <c r="AM95" i="52" s="1"/>
  <c r="AO70" i="52"/>
  <c r="AT70" i="52" s="1"/>
  <c r="AU70" i="52" s="1"/>
  <c r="AN70" i="52" s="1"/>
  <c r="AP73" i="52"/>
  <c r="AN73" i="52" s="1"/>
  <c r="AP81" i="52"/>
  <c r="AN81" i="52" s="1"/>
  <c r="AO92" i="52"/>
  <c r="AR92" i="52" s="1"/>
  <c r="AS92" i="52" s="1"/>
  <c r="AM92" i="52" s="1"/>
  <c r="AP103" i="52"/>
  <c r="AO78" i="52"/>
  <c r="AR78" i="52" s="1"/>
  <c r="AS78" i="52" s="1"/>
  <c r="AM78" i="52" s="1"/>
  <c r="AP92" i="52"/>
  <c r="AA32" i="52"/>
  <c r="AO62" i="52"/>
  <c r="AT62" i="52" s="1"/>
  <c r="AO94" i="52"/>
  <c r="AR94" i="52" s="1"/>
  <c r="AS94" i="52" s="1"/>
  <c r="AM94" i="52" s="1"/>
  <c r="AF34" i="52"/>
  <c r="AF249" i="52" s="1"/>
  <c r="AP95" i="52"/>
  <c r="AO56" i="52"/>
  <c r="AM56" i="52" s="1"/>
  <c r="AO80" i="52"/>
  <c r="AM80" i="52" s="1"/>
  <c r="AO87" i="52"/>
  <c r="AM87" i="52" s="1"/>
  <c r="AO96" i="52"/>
  <c r="AR96" i="52" s="1"/>
  <c r="AS96" i="52" s="1"/>
  <c r="AN96" i="52" s="1"/>
  <c r="AP87" i="52"/>
  <c r="AN87" i="52" s="1"/>
  <c r="AP62" i="52"/>
  <c r="AO68" i="52"/>
  <c r="AT68" i="52" s="1"/>
  <c r="AU68" i="52" s="1"/>
  <c r="AP104" i="52"/>
  <c r="AO55" i="52"/>
  <c r="AT55" i="52" s="1"/>
  <c r="AU55" i="52" s="1"/>
  <c r="AO84" i="52"/>
  <c r="AT84" i="52" s="1"/>
  <c r="AU84" i="52" s="1"/>
  <c r="AO86" i="52"/>
  <c r="AM86" i="52" s="1"/>
  <c r="AO102" i="52"/>
  <c r="AR102" i="52" s="1"/>
  <c r="AS102" i="52" s="1"/>
  <c r="AO57" i="52"/>
  <c r="AT57" i="52" s="1"/>
  <c r="AU57" i="52" s="1"/>
  <c r="AO104" i="52"/>
  <c r="AR104" i="52" s="1"/>
  <c r="AS104" i="52" s="1"/>
  <c r="AO54" i="52"/>
  <c r="AT54" i="52" s="1"/>
  <c r="AU54" i="52" s="1"/>
  <c r="AP55" i="52"/>
  <c r="AO72" i="52"/>
  <c r="AM72" i="52" s="1"/>
  <c r="AP84" i="52"/>
  <c r="AP86" i="52"/>
  <c r="AN86" i="52" s="1"/>
  <c r="AP94" i="52"/>
  <c r="AP102" i="52"/>
  <c r="AO41" i="52"/>
  <c r="AT41" i="52" s="1"/>
  <c r="AU41" i="52" s="1"/>
  <c r="AO53" i="52"/>
  <c r="AT53" i="52" s="1"/>
  <c r="AU53" i="52" s="1"/>
  <c r="AP54" i="52"/>
  <c r="AT69" i="52"/>
  <c r="AU69" i="52" s="1"/>
  <c r="AO83" i="52"/>
  <c r="AM83" i="52" s="1"/>
  <c r="AO93" i="52"/>
  <c r="AR93" i="52" s="1"/>
  <c r="AS93" i="52" s="1"/>
  <c r="AO101" i="52"/>
  <c r="AR101" i="52" s="1"/>
  <c r="AS101" i="52" s="1"/>
  <c r="AO105" i="52"/>
  <c r="AR105" i="52" s="1"/>
  <c r="AS105" i="52" s="1"/>
  <c r="AT67" i="52"/>
  <c r="AU67" i="52" s="1"/>
  <c r="AP41" i="52"/>
  <c r="AO81" i="52"/>
  <c r="AM81" i="52" s="1"/>
  <c r="AJ130" i="5"/>
  <c r="AJ129" i="5"/>
  <c r="AJ128" i="5"/>
  <c r="AJ127" i="5"/>
  <c r="AJ126" i="5"/>
  <c r="W138" i="18"/>
  <c r="AF11" i="53" l="1"/>
  <c r="AP11" i="53" s="1"/>
  <c r="BH292" i="5"/>
  <c r="AF10" i="52"/>
  <c r="AF225" i="52" s="1"/>
  <c r="AN52" i="52"/>
  <c r="X250" i="52"/>
  <c r="AA247" i="52"/>
  <c r="AP34" i="52"/>
  <c r="AN95" i="52"/>
  <c r="AN78" i="52"/>
  <c r="AM96" i="52"/>
  <c r="AF35" i="52"/>
  <c r="AF250" i="52" s="1"/>
  <c r="AO34" i="52"/>
  <c r="AN94" i="52"/>
  <c r="AM70" i="52"/>
  <c r="AN92" i="52"/>
  <c r="AN103" i="52"/>
  <c r="AN41" i="52"/>
  <c r="AN84" i="52"/>
  <c r="AN67" i="52"/>
  <c r="AM67" i="52"/>
  <c r="AM102" i="52"/>
  <c r="AN102" i="52"/>
  <c r="AN53" i="52"/>
  <c r="AM53" i="52"/>
  <c r="AM68" i="52"/>
  <c r="AN68" i="52"/>
  <c r="AM54" i="52"/>
  <c r="AN54" i="52"/>
  <c r="AN105" i="52"/>
  <c r="AM105" i="52"/>
  <c r="AN55" i="52"/>
  <c r="AM55" i="52"/>
  <c r="AM41" i="52"/>
  <c r="AM84" i="52"/>
  <c r="AN101" i="52"/>
  <c r="AM101" i="52"/>
  <c r="AN93" i="52"/>
  <c r="AM93" i="52"/>
  <c r="AN104" i="52"/>
  <c r="AM104" i="52"/>
  <c r="AN69" i="52"/>
  <c r="AM69" i="52"/>
  <c r="AN57" i="52"/>
  <c r="AM57" i="52"/>
  <c r="W124" i="18"/>
  <c r="W125" i="18"/>
  <c r="W126" i="18"/>
  <c r="W127" i="18"/>
  <c r="W129" i="18"/>
  <c r="W133" i="18"/>
  <c r="W128" i="18"/>
  <c r="AO11" i="53" l="1"/>
  <c r="AO10" i="52"/>
  <c r="AP10" i="52"/>
  <c r="AR34" i="52"/>
  <c r="AS34" i="52" s="1"/>
  <c r="AT34" i="52"/>
  <c r="AO35" i="52"/>
  <c r="AM35" i="52" s="1"/>
  <c r="AU34" i="52" l="1"/>
  <c r="AN34" i="52" s="1"/>
  <c r="AU62" i="52"/>
  <c r="J849" i="51"/>
  <c r="J850" i="51"/>
  <c r="J851" i="51"/>
  <c r="J852" i="51"/>
  <c r="J853" i="51"/>
  <c r="J854" i="51"/>
  <c r="J855" i="51"/>
  <c r="J856" i="51"/>
  <c r="J857" i="51"/>
  <c r="J858" i="51"/>
  <c r="J859" i="51"/>
  <c r="J860" i="51"/>
  <c r="J861" i="51"/>
  <c r="J862" i="51"/>
  <c r="J863" i="51"/>
  <c r="J864" i="51"/>
  <c r="J865" i="51"/>
  <c r="J866" i="51"/>
  <c r="J867" i="51"/>
  <c r="J868" i="51"/>
  <c r="J869" i="51"/>
  <c r="J870" i="51"/>
  <c r="J871" i="51"/>
  <c r="J872" i="51"/>
  <c r="J873" i="51"/>
  <c r="J874" i="51"/>
  <c r="J875" i="51"/>
  <c r="J876" i="51"/>
  <c r="J877" i="51"/>
  <c r="J878" i="51"/>
  <c r="J879" i="51"/>
  <c r="J880" i="51"/>
  <c r="J881" i="51"/>
  <c r="J882" i="51"/>
  <c r="J883" i="51"/>
  <c r="J884" i="51"/>
  <c r="J885" i="51"/>
  <c r="J886" i="51"/>
  <c r="J887" i="51"/>
  <c r="J888" i="51"/>
  <c r="J889" i="51"/>
  <c r="J890" i="51"/>
  <c r="J891" i="51"/>
  <c r="J892" i="51"/>
  <c r="J893" i="51"/>
  <c r="J894" i="51"/>
  <c r="J895" i="51"/>
  <c r="J896" i="51"/>
  <c r="J897" i="51"/>
  <c r="J898" i="51"/>
  <c r="J899" i="51"/>
  <c r="J900" i="51"/>
  <c r="J901" i="51"/>
  <c r="J902" i="51"/>
  <c r="J903" i="51"/>
  <c r="J904" i="51"/>
  <c r="J905" i="51"/>
  <c r="J906" i="51"/>
  <c r="J907" i="51"/>
  <c r="J908" i="51"/>
  <c r="J909" i="51"/>
  <c r="J910" i="51"/>
  <c r="J911" i="51"/>
  <c r="J912" i="51"/>
  <c r="J913" i="51"/>
  <c r="J914" i="51"/>
  <c r="J915" i="51"/>
  <c r="J916" i="51"/>
  <c r="J917" i="51"/>
  <c r="J918" i="51"/>
  <c r="J919" i="51"/>
  <c r="J920" i="51"/>
  <c r="J921" i="51"/>
  <c r="J922" i="51"/>
  <c r="J923" i="51"/>
  <c r="J924" i="51"/>
  <c r="J925" i="51"/>
  <c r="J926" i="51"/>
  <c r="J927" i="51"/>
  <c r="J928" i="51"/>
  <c r="J929" i="51"/>
  <c r="J930" i="51"/>
  <c r="J931" i="51"/>
  <c r="J932" i="51"/>
  <c r="J933" i="51"/>
  <c r="J934" i="51"/>
  <c r="J935" i="51"/>
  <c r="J936" i="51"/>
  <c r="J937" i="51"/>
  <c r="J938" i="51"/>
  <c r="J939" i="51"/>
  <c r="J940" i="51"/>
  <c r="J941" i="51"/>
  <c r="J942" i="51"/>
  <c r="J943" i="51"/>
  <c r="J944" i="51"/>
  <c r="J945" i="51"/>
  <c r="J946" i="51"/>
  <c r="J947" i="51"/>
  <c r="J948" i="51"/>
  <c r="J949" i="51"/>
  <c r="J950" i="51"/>
  <c r="J951" i="51"/>
  <c r="J952" i="51"/>
  <c r="J953" i="51"/>
  <c r="J954" i="51"/>
  <c r="J955" i="51"/>
  <c r="J956" i="51"/>
  <c r="J957" i="51"/>
  <c r="J958" i="51"/>
  <c r="J959" i="51"/>
  <c r="J960" i="51"/>
  <c r="J961" i="51"/>
  <c r="J962" i="51"/>
  <c r="J963" i="51"/>
  <c r="J964" i="51"/>
  <c r="J965" i="51"/>
  <c r="J966" i="51"/>
  <c r="J967" i="51"/>
  <c r="J968" i="51"/>
  <c r="J969" i="51"/>
  <c r="J970" i="51"/>
  <c r="J971" i="51"/>
  <c r="J972" i="51"/>
  <c r="J973" i="51"/>
  <c r="J974" i="51"/>
  <c r="J975" i="51"/>
  <c r="J976" i="51"/>
  <c r="J977" i="51"/>
  <c r="J978" i="51"/>
  <c r="J979" i="51"/>
  <c r="J980" i="51"/>
  <c r="J981" i="51"/>
  <c r="J982" i="51"/>
  <c r="J983" i="51"/>
  <c r="J984" i="51"/>
  <c r="J985" i="51"/>
  <c r="J986" i="51"/>
  <c r="J987" i="51"/>
  <c r="J988" i="51"/>
  <c r="J989" i="51"/>
  <c r="J990" i="51"/>
  <c r="J991" i="51"/>
  <c r="J992" i="51"/>
  <c r="J993" i="51"/>
  <c r="J994" i="51"/>
  <c r="J995" i="51"/>
  <c r="J996" i="51"/>
  <c r="J997" i="51"/>
  <c r="J998" i="51"/>
  <c r="J999" i="51"/>
  <c r="J1000" i="51"/>
  <c r="J1001" i="51"/>
  <c r="J1002" i="51"/>
  <c r="J1003" i="51"/>
  <c r="J1004" i="51"/>
  <c r="J1005" i="51"/>
  <c r="J1006" i="51"/>
  <c r="J1007" i="51"/>
  <c r="J1008" i="51"/>
  <c r="J1009" i="51"/>
  <c r="J1010" i="51"/>
  <c r="J1011" i="51"/>
  <c r="J1012" i="51"/>
  <c r="J1013" i="51"/>
  <c r="J1014" i="51"/>
  <c r="J1015" i="51"/>
  <c r="J1016" i="51"/>
  <c r="J1017" i="51"/>
  <c r="J1018" i="51"/>
  <c r="J1019" i="51"/>
  <c r="J1020" i="51"/>
  <c r="J1021" i="51"/>
  <c r="J1022" i="51"/>
  <c r="J1023" i="51"/>
  <c r="J1024" i="51"/>
  <c r="J1025" i="51"/>
  <c r="J1026" i="51"/>
  <c r="J1027" i="51"/>
  <c r="J1028" i="51"/>
  <c r="J1029" i="51"/>
  <c r="J1030" i="51"/>
  <c r="J1031" i="51"/>
  <c r="J1032" i="51"/>
  <c r="J1033" i="51"/>
  <c r="J1034" i="51"/>
  <c r="J1035" i="51"/>
  <c r="J1036" i="51"/>
  <c r="J1037" i="51"/>
  <c r="J1038" i="51"/>
  <c r="J1039" i="51"/>
  <c r="J1040" i="51"/>
  <c r="J1041" i="51"/>
  <c r="J1042" i="51"/>
  <c r="J1043" i="51"/>
  <c r="J1044" i="51"/>
  <c r="J1045" i="51"/>
  <c r="J1046" i="51"/>
  <c r="J1047" i="51"/>
  <c r="J1048" i="51"/>
  <c r="J1049" i="51"/>
  <c r="J1050" i="51"/>
  <c r="J1051" i="51"/>
  <c r="J1052" i="51"/>
  <c r="J1053" i="51"/>
  <c r="J1054" i="51"/>
  <c r="J1055" i="51"/>
  <c r="J1056" i="51"/>
  <c r="J1057" i="51"/>
  <c r="J1058" i="51"/>
  <c r="J1059" i="51"/>
  <c r="J1060" i="51"/>
  <c r="J1061" i="51"/>
  <c r="J1062" i="51"/>
  <c r="J1063" i="51"/>
  <c r="J1064" i="51"/>
  <c r="J1065" i="51"/>
  <c r="J1066" i="51"/>
  <c r="J1067" i="51"/>
  <c r="J1068" i="51"/>
  <c r="J1069" i="51"/>
  <c r="J1070" i="51"/>
  <c r="J1071" i="51"/>
  <c r="J1072" i="51"/>
  <c r="J1073" i="51"/>
  <c r="J1074" i="51"/>
  <c r="J1075" i="51"/>
  <c r="J1076" i="51"/>
  <c r="J1077" i="51"/>
  <c r="J1078" i="51"/>
  <c r="J1079" i="51"/>
  <c r="J1080" i="51"/>
  <c r="J1081" i="51"/>
  <c r="J1082" i="51"/>
  <c r="J1083" i="51"/>
  <c r="J1084" i="51"/>
  <c r="J1085" i="51"/>
  <c r="J1086" i="51"/>
  <c r="J1087" i="51"/>
  <c r="J1088" i="51"/>
  <c r="J1089" i="51"/>
  <c r="J1090" i="51"/>
  <c r="J1091" i="51"/>
  <c r="J1092" i="51"/>
  <c r="J1093" i="51"/>
  <c r="J1094" i="51"/>
  <c r="J1095" i="51"/>
  <c r="J1096" i="51"/>
  <c r="J1097" i="51"/>
  <c r="J1098" i="51"/>
  <c r="J1099" i="51"/>
  <c r="J1100" i="51"/>
  <c r="J1101" i="51"/>
  <c r="J848" i="51"/>
  <c r="J830" i="51"/>
  <c r="J831" i="51"/>
  <c r="J832" i="51"/>
  <c r="J833" i="51"/>
  <c r="J834" i="51"/>
  <c r="J835" i="51"/>
  <c r="J836" i="51"/>
  <c r="J837" i="51"/>
  <c r="J838" i="51"/>
  <c r="J839" i="51"/>
  <c r="J840" i="51"/>
  <c r="J841" i="51"/>
  <c r="J842" i="51"/>
  <c r="J843" i="51"/>
  <c r="J844" i="51"/>
  <c r="J845" i="51"/>
  <c r="J846" i="51"/>
  <c r="J847" i="51"/>
  <c r="J829" i="51"/>
  <c r="J811" i="51"/>
  <c r="J812" i="51"/>
  <c r="J813" i="51"/>
  <c r="J814" i="51"/>
  <c r="J815" i="51"/>
  <c r="J816" i="51"/>
  <c r="J817" i="51"/>
  <c r="J818" i="51"/>
  <c r="J819" i="51"/>
  <c r="J820" i="51"/>
  <c r="J821" i="51"/>
  <c r="J822" i="51"/>
  <c r="J823" i="51"/>
  <c r="J824" i="51"/>
  <c r="J825" i="51"/>
  <c r="J826" i="51"/>
  <c r="J827" i="51"/>
  <c r="J828" i="51"/>
  <c r="J810" i="51"/>
  <c r="J792" i="51"/>
  <c r="J793" i="51"/>
  <c r="J794" i="51"/>
  <c r="J795" i="51"/>
  <c r="J796" i="51"/>
  <c r="J797" i="51"/>
  <c r="J798" i="51"/>
  <c r="J799" i="51"/>
  <c r="J800" i="51"/>
  <c r="J801" i="51"/>
  <c r="J802" i="51"/>
  <c r="J803" i="51"/>
  <c r="J804" i="51"/>
  <c r="J805" i="51"/>
  <c r="J806" i="51"/>
  <c r="J807" i="51"/>
  <c r="J808" i="51"/>
  <c r="J809" i="51"/>
  <c r="J791" i="51"/>
  <c r="J773" i="51"/>
  <c r="J774" i="51"/>
  <c r="J775" i="51"/>
  <c r="J776" i="51"/>
  <c r="J777" i="51"/>
  <c r="J778" i="51"/>
  <c r="J779" i="51"/>
  <c r="J780" i="51"/>
  <c r="J781" i="51"/>
  <c r="J782" i="51"/>
  <c r="J783" i="51"/>
  <c r="J784" i="51"/>
  <c r="J785" i="51"/>
  <c r="J786" i="51"/>
  <c r="J787" i="51"/>
  <c r="J788" i="51"/>
  <c r="J789" i="51"/>
  <c r="J790" i="51"/>
  <c r="J772" i="51"/>
  <c r="J757" i="51"/>
  <c r="J758" i="51"/>
  <c r="J759" i="51"/>
  <c r="J760" i="51"/>
  <c r="J761" i="51"/>
  <c r="J762" i="51"/>
  <c r="J763" i="51"/>
  <c r="J764" i="51"/>
  <c r="J765" i="51"/>
  <c r="J766" i="51"/>
  <c r="J767" i="51"/>
  <c r="J768" i="51"/>
  <c r="J769" i="51"/>
  <c r="J770" i="51"/>
  <c r="J771" i="51"/>
  <c r="J756" i="51"/>
  <c r="J594" i="51"/>
  <c r="J595" i="51"/>
  <c r="J593" i="51"/>
  <c r="J575" i="51"/>
  <c r="J576" i="51"/>
  <c r="J577" i="51"/>
  <c r="J578" i="51"/>
  <c r="J579" i="51"/>
  <c r="J580" i="51"/>
  <c r="J581" i="51"/>
  <c r="J582" i="51"/>
  <c r="J583" i="51"/>
  <c r="J584" i="51"/>
  <c r="J585" i="51"/>
  <c r="J586" i="51"/>
  <c r="J587" i="51"/>
  <c r="J588" i="51"/>
  <c r="J589" i="51"/>
  <c r="J590" i="51"/>
  <c r="J591" i="51"/>
  <c r="J592" i="51"/>
  <c r="J574" i="51"/>
  <c r="J556" i="51"/>
  <c r="J557" i="51"/>
  <c r="J558" i="51"/>
  <c r="J559" i="51"/>
  <c r="J560" i="51"/>
  <c r="J561" i="51"/>
  <c r="J562" i="51"/>
  <c r="J563" i="51"/>
  <c r="J564" i="51"/>
  <c r="J565" i="51"/>
  <c r="J566" i="51"/>
  <c r="J567" i="51"/>
  <c r="J568" i="51"/>
  <c r="J569" i="51"/>
  <c r="J570" i="51"/>
  <c r="J571" i="51"/>
  <c r="J572" i="51"/>
  <c r="J573" i="51"/>
  <c r="J555" i="51"/>
  <c r="J537" i="51"/>
  <c r="J538" i="51"/>
  <c r="J539" i="51"/>
  <c r="J540" i="51"/>
  <c r="J541" i="51"/>
  <c r="J542" i="51"/>
  <c r="J543" i="51"/>
  <c r="J544" i="51"/>
  <c r="J545" i="51"/>
  <c r="J546" i="51"/>
  <c r="J547" i="51"/>
  <c r="J548" i="51"/>
  <c r="J549" i="51"/>
  <c r="J550" i="51"/>
  <c r="J551" i="51"/>
  <c r="J552" i="51"/>
  <c r="J553" i="51"/>
  <c r="J554" i="51"/>
  <c r="J536" i="51"/>
  <c r="J518" i="51"/>
  <c r="J519" i="51"/>
  <c r="J520" i="51"/>
  <c r="J521" i="51"/>
  <c r="J522" i="51"/>
  <c r="J523" i="51"/>
  <c r="J524" i="51"/>
  <c r="J525" i="51"/>
  <c r="J526" i="51"/>
  <c r="J527" i="51"/>
  <c r="J528" i="51"/>
  <c r="J529" i="51"/>
  <c r="J530" i="51"/>
  <c r="J531" i="51"/>
  <c r="J532" i="51"/>
  <c r="J533" i="51"/>
  <c r="J534" i="51"/>
  <c r="J535" i="51"/>
  <c r="J517" i="51"/>
  <c r="J499" i="51"/>
  <c r="J500" i="51"/>
  <c r="J501" i="51"/>
  <c r="J502" i="51"/>
  <c r="J503" i="51"/>
  <c r="J504" i="51"/>
  <c r="J505" i="51"/>
  <c r="J506" i="51"/>
  <c r="J507" i="51"/>
  <c r="J508" i="51"/>
  <c r="J509" i="51"/>
  <c r="J510" i="51"/>
  <c r="J511" i="51"/>
  <c r="J512" i="51"/>
  <c r="J513" i="51"/>
  <c r="J514" i="51"/>
  <c r="J515" i="51"/>
  <c r="J516" i="51"/>
  <c r="J498" i="51"/>
  <c r="J480" i="51"/>
  <c r="J481" i="51"/>
  <c r="J482" i="51"/>
  <c r="J483" i="51"/>
  <c r="J484" i="51"/>
  <c r="J485" i="51"/>
  <c r="J486" i="51"/>
  <c r="J487" i="51"/>
  <c r="J488" i="51"/>
  <c r="J489" i="51"/>
  <c r="J490" i="51"/>
  <c r="J491" i="51"/>
  <c r="J492" i="51"/>
  <c r="J493" i="51"/>
  <c r="J494" i="51"/>
  <c r="J495" i="51"/>
  <c r="J496" i="51"/>
  <c r="J497" i="51"/>
  <c r="J479" i="51"/>
  <c r="J461" i="51"/>
  <c r="J462" i="51"/>
  <c r="J463" i="51"/>
  <c r="J464" i="51"/>
  <c r="J465" i="51"/>
  <c r="J466" i="51"/>
  <c r="J467" i="51"/>
  <c r="J468" i="51"/>
  <c r="J469" i="51"/>
  <c r="J470" i="51"/>
  <c r="J471" i="51"/>
  <c r="J472" i="51"/>
  <c r="J473" i="51"/>
  <c r="J474" i="51"/>
  <c r="J475" i="51"/>
  <c r="J476" i="51"/>
  <c r="J477" i="51"/>
  <c r="J478" i="51"/>
  <c r="J460" i="51"/>
  <c r="J442" i="51"/>
  <c r="J443" i="51"/>
  <c r="J444" i="51"/>
  <c r="J445" i="51"/>
  <c r="J446" i="51"/>
  <c r="J447" i="51"/>
  <c r="J448" i="51"/>
  <c r="J449" i="51"/>
  <c r="J450" i="51"/>
  <c r="J451" i="51"/>
  <c r="J452" i="51"/>
  <c r="J453" i="51"/>
  <c r="J454" i="51"/>
  <c r="J455" i="51"/>
  <c r="J456" i="51"/>
  <c r="J457" i="51"/>
  <c r="J458" i="51"/>
  <c r="J459" i="51"/>
  <c r="J441" i="51"/>
  <c r="J423" i="51"/>
  <c r="J424" i="51"/>
  <c r="J425" i="51"/>
  <c r="J426" i="51"/>
  <c r="J427" i="51"/>
  <c r="J428" i="51"/>
  <c r="J429" i="51"/>
  <c r="J430" i="51"/>
  <c r="J431" i="51"/>
  <c r="J432" i="51"/>
  <c r="J433" i="51"/>
  <c r="J434" i="51"/>
  <c r="J435" i="51"/>
  <c r="J436" i="51"/>
  <c r="J437" i="51"/>
  <c r="J438" i="51"/>
  <c r="J439" i="51"/>
  <c r="J440" i="51"/>
  <c r="J422" i="51"/>
  <c r="J404" i="51"/>
  <c r="J405" i="51"/>
  <c r="J406" i="51"/>
  <c r="J407" i="51"/>
  <c r="J408" i="51"/>
  <c r="J409" i="51"/>
  <c r="J410" i="51"/>
  <c r="J411" i="51"/>
  <c r="J412" i="51"/>
  <c r="J413" i="51"/>
  <c r="J414" i="51"/>
  <c r="J415" i="51"/>
  <c r="J416" i="51"/>
  <c r="J417" i="51"/>
  <c r="J418" i="51"/>
  <c r="J419" i="51"/>
  <c r="J420" i="51"/>
  <c r="J421" i="51"/>
  <c r="J403" i="51"/>
  <c r="J385" i="51"/>
  <c r="J386" i="51"/>
  <c r="J387" i="51"/>
  <c r="J388" i="51"/>
  <c r="J389" i="51"/>
  <c r="J390" i="51"/>
  <c r="J391" i="51"/>
  <c r="J392" i="51"/>
  <c r="J393" i="51"/>
  <c r="J394" i="51"/>
  <c r="J395" i="51"/>
  <c r="J396" i="51"/>
  <c r="J397" i="51"/>
  <c r="J398" i="51"/>
  <c r="J399" i="51"/>
  <c r="J400" i="51"/>
  <c r="J401" i="51"/>
  <c r="J402" i="51"/>
  <c r="J384" i="51"/>
  <c r="J366" i="51"/>
  <c r="J367" i="51"/>
  <c r="J368" i="51"/>
  <c r="J369" i="51"/>
  <c r="J370" i="51"/>
  <c r="J371" i="51"/>
  <c r="J372" i="51"/>
  <c r="J373" i="51"/>
  <c r="J374" i="51"/>
  <c r="J375" i="51"/>
  <c r="J376" i="51"/>
  <c r="J377" i="51"/>
  <c r="J378" i="51"/>
  <c r="J379" i="51"/>
  <c r="J380" i="51"/>
  <c r="J381" i="51"/>
  <c r="J382" i="51"/>
  <c r="J383" i="51"/>
  <c r="J365" i="51"/>
  <c r="J347" i="51"/>
  <c r="J348" i="51"/>
  <c r="J349" i="51"/>
  <c r="J350" i="51"/>
  <c r="J351" i="51"/>
  <c r="J352" i="51"/>
  <c r="J353" i="51"/>
  <c r="J354" i="51"/>
  <c r="J355" i="51"/>
  <c r="J356" i="51"/>
  <c r="J357" i="51"/>
  <c r="J358" i="51"/>
  <c r="J359" i="51"/>
  <c r="J360" i="51"/>
  <c r="J361" i="51"/>
  <c r="J362" i="51"/>
  <c r="J363" i="51"/>
  <c r="J364" i="51"/>
  <c r="J346" i="51"/>
  <c r="AM34" i="52" l="1"/>
  <c r="AM62" i="52"/>
  <c r="AN62" i="52"/>
  <c r="J2" i="51"/>
  <c r="J328" i="51" l="1"/>
  <c r="J329" i="51"/>
  <c r="J330" i="51"/>
  <c r="J331" i="51"/>
  <c r="J332" i="51"/>
  <c r="J333" i="51"/>
  <c r="J334" i="51"/>
  <c r="J335" i="51"/>
  <c r="J336" i="51"/>
  <c r="J337" i="51"/>
  <c r="J338" i="51"/>
  <c r="J339" i="51"/>
  <c r="J340" i="51"/>
  <c r="J341" i="51"/>
  <c r="J342" i="51"/>
  <c r="J343" i="51"/>
  <c r="J344" i="51"/>
  <c r="J345" i="51"/>
  <c r="J327" i="51"/>
  <c r="J317" i="51"/>
  <c r="J318" i="51"/>
  <c r="J308" i="51"/>
  <c r="J309" i="51"/>
  <c r="J310" i="51"/>
  <c r="J311" i="51"/>
  <c r="J312" i="51"/>
  <c r="J313" i="51"/>
  <c r="J314" i="51"/>
  <c r="J315" i="51"/>
  <c r="J316" i="51"/>
  <c r="J307" i="51"/>
  <c r="J283" i="51"/>
  <c r="J284" i="51"/>
  <c r="J285" i="51"/>
  <c r="J286" i="51"/>
  <c r="J287" i="51"/>
  <c r="J288" i="51"/>
  <c r="J289" i="51"/>
  <c r="J290" i="51"/>
  <c r="J291" i="51"/>
  <c r="J292" i="51"/>
  <c r="J293" i="51"/>
  <c r="J294" i="51"/>
  <c r="J295" i="51"/>
  <c r="J296" i="51"/>
  <c r="J297" i="51"/>
  <c r="J298" i="51"/>
  <c r="J299" i="51"/>
  <c r="J300" i="51"/>
  <c r="J301" i="51"/>
  <c r="J282" i="51"/>
  <c r="J178" i="51"/>
  <c r="J179" i="51"/>
  <c r="J180" i="51"/>
  <c r="J181" i="51"/>
  <c r="J182" i="51"/>
  <c r="J183" i="51"/>
  <c r="J184" i="51"/>
  <c r="J185" i="51"/>
  <c r="J186" i="51"/>
  <c r="J187" i="51"/>
  <c r="J188" i="51"/>
  <c r="J189" i="51"/>
  <c r="J190" i="51"/>
  <c r="J191" i="51"/>
  <c r="J192" i="51"/>
  <c r="J193" i="51"/>
  <c r="J194" i="51"/>
  <c r="J195" i="51"/>
  <c r="J196" i="51"/>
  <c r="J197" i="51"/>
  <c r="J198" i="51"/>
  <c r="J199" i="51"/>
  <c r="J200" i="51"/>
  <c r="J201" i="51"/>
  <c r="J202" i="51"/>
  <c r="J203" i="51"/>
  <c r="J204" i="51"/>
  <c r="J205" i="51"/>
  <c r="J177" i="51"/>
  <c r="J125" i="51"/>
  <c r="J126" i="51"/>
  <c r="J127" i="51"/>
  <c r="J128" i="51"/>
  <c r="J129" i="51"/>
  <c r="J130" i="51"/>
  <c r="J131" i="51"/>
  <c r="J132" i="51"/>
  <c r="J133" i="51"/>
  <c r="J134" i="51"/>
  <c r="J135" i="51"/>
  <c r="J136" i="51"/>
  <c r="J137" i="51"/>
  <c r="J138" i="51"/>
  <c r="J139" i="51"/>
  <c r="J140" i="51"/>
  <c r="J141" i="51"/>
  <c r="J142" i="51"/>
  <c r="J143" i="51"/>
  <c r="J144" i="51"/>
  <c r="J145" i="51"/>
  <c r="J146" i="51"/>
  <c r="J147" i="51"/>
  <c r="J148" i="51"/>
  <c r="J149" i="51"/>
  <c r="J150" i="51"/>
  <c r="J151" i="51"/>
  <c r="J157" i="51"/>
  <c r="J158" i="51"/>
  <c r="J159" i="51"/>
  <c r="J160" i="51"/>
  <c r="J161" i="51"/>
  <c r="J167" i="51"/>
  <c r="J168" i="51"/>
  <c r="J169" i="51"/>
  <c r="J170" i="51"/>
  <c r="J171" i="51"/>
  <c r="J124" i="51"/>
  <c r="J3" i="51"/>
  <c r="J4" i="51"/>
  <c r="J5" i="51"/>
  <c r="J6" i="51"/>
  <c r="J7" i="51"/>
  <c r="J8" i="51"/>
  <c r="J9" i="51"/>
  <c r="J10" i="51"/>
  <c r="J11" i="51"/>
  <c r="J12" i="51"/>
  <c r="J13" i="51"/>
  <c r="J14" i="51"/>
  <c r="J15" i="51"/>
  <c r="J16" i="51"/>
  <c r="J17" i="51"/>
  <c r="J18" i="51"/>
  <c r="J19" i="51"/>
  <c r="J20" i="51"/>
  <c r="J21" i="51"/>
  <c r="J22" i="51"/>
  <c r="J23" i="51"/>
  <c r="J24" i="51"/>
  <c r="J25" i="51"/>
  <c r="J26" i="51"/>
  <c r="J27" i="51"/>
  <c r="J28" i="51"/>
  <c r="J29" i="51"/>
  <c r="J30" i="51"/>
  <c r="J31" i="51"/>
  <c r="J32" i="51"/>
  <c r="J33" i="51"/>
  <c r="J34" i="51"/>
  <c r="J35" i="51"/>
  <c r="J36" i="51"/>
  <c r="J37" i="51"/>
  <c r="J38" i="51"/>
  <c r="J39" i="51"/>
  <c r="J40" i="51"/>
  <c r="J41" i="51"/>
  <c r="J42" i="51"/>
  <c r="J43" i="51"/>
  <c r="J44" i="51"/>
  <c r="J45" i="51"/>
  <c r="J46" i="51"/>
  <c r="J47" i="51"/>
  <c r="J48" i="51"/>
  <c r="J49" i="51"/>
  <c r="J50" i="51"/>
  <c r="J51" i="51"/>
  <c r="J52" i="51"/>
  <c r="J53" i="51"/>
  <c r="J54" i="51"/>
  <c r="J55" i="51"/>
  <c r="J56" i="51"/>
  <c r="J57" i="51"/>
  <c r="J58" i="51"/>
  <c r="J59" i="51"/>
  <c r="J60" i="51"/>
  <c r="J61" i="51"/>
  <c r="J62" i="51"/>
  <c r="J63" i="51"/>
  <c r="J64" i="51"/>
  <c r="J65" i="51"/>
  <c r="J66" i="51"/>
  <c r="J67" i="51"/>
  <c r="J68" i="51"/>
  <c r="J69" i="51"/>
  <c r="J70" i="51"/>
  <c r="J71" i="51"/>
  <c r="J72" i="51"/>
  <c r="J73" i="51"/>
  <c r="J74" i="51"/>
  <c r="J75" i="51"/>
  <c r="J76" i="51"/>
  <c r="J77" i="51"/>
  <c r="J79" i="51"/>
  <c r="J80" i="51"/>
  <c r="J81" i="51"/>
  <c r="J82" i="51"/>
  <c r="J83" i="51"/>
  <c r="J84" i="51"/>
  <c r="J85" i="51"/>
  <c r="J86" i="51"/>
  <c r="J87" i="51"/>
  <c r="J88" i="51"/>
  <c r="J89" i="51"/>
  <c r="J90" i="51"/>
  <c r="J91" i="51"/>
  <c r="J92" i="51"/>
  <c r="J93" i="51"/>
  <c r="J94" i="51"/>
  <c r="J95" i="51"/>
  <c r="J96" i="51"/>
  <c r="J97" i="51"/>
  <c r="J98" i="51"/>
  <c r="J99" i="51"/>
  <c r="J100" i="51"/>
  <c r="J101" i="51"/>
  <c r="J102" i="51"/>
  <c r="J103" i="51"/>
  <c r="J104" i="51"/>
  <c r="J105" i="51"/>
  <c r="J106" i="51"/>
  <c r="J107" i="51"/>
  <c r="E75" i="18" l="1"/>
  <c r="E76" i="18"/>
  <c r="E77" i="18"/>
  <c r="E78" i="18"/>
  <c r="E79" i="18"/>
  <c r="E80" i="18"/>
  <c r="E81" i="18"/>
  <c r="E82" i="18"/>
  <c r="E83" i="18"/>
  <c r="A365" i="5" l="1"/>
  <c r="B272" i="5"/>
  <c r="B271" i="5"/>
  <c r="B227" i="23"/>
  <c r="B226" i="23"/>
  <c r="B205" i="21"/>
  <c r="B206" i="21"/>
  <c r="M224" i="21" l="1"/>
  <c r="B224" i="21"/>
  <c r="B222" i="21"/>
  <c r="AF216" i="21"/>
  <c r="AD216" i="21"/>
  <c r="T216" i="21"/>
  <c r="B216" i="21"/>
  <c r="Z220" i="21" l="1"/>
  <c r="T220" i="21"/>
  <c r="M220" i="21"/>
  <c r="B220" i="21"/>
  <c r="Z218" i="21"/>
  <c r="T218" i="21"/>
  <c r="M218" i="21"/>
  <c r="B218" i="21"/>
  <c r="AF214" i="21"/>
  <c r="AD214" i="21"/>
  <c r="T214" i="21"/>
  <c r="B214" i="21"/>
  <c r="B212" i="21"/>
  <c r="AF210" i="21"/>
  <c r="T210" i="21"/>
  <c r="B210" i="21"/>
  <c r="B211" i="21"/>
  <c r="K113" i="18" l="1"/>
  <c r="K62" i="18"/>
  <c r="K61" i="18"/>
  <c r="AP126" i="5" l="1"/>
  <c r="V109" i="18"/>
  <c r="E149" i="18" l="1"/>
  <c r="E148" i="18"/>
  <c r="E114" i="18"/>
  <c r="E113" i="18"/>
  <c r="E62" i="18"/>
  <c r="E63" i="18"/>
  <c r="E64" i="18"/>
  <c r="E65" i="18"/>
  <c r="E66" i="18"/>
  <c r="E67" i="18"/>
  <c r="E68" i="18"/>
  <c r="E69" i="18"/>
  <c r="E70" i="18"/>
  <c r="E61" i="18"/>
  <c r="E56" i="18"/>
  <c r="E55" i="18"/>
  <c r="W85" i="18" l="1"/>
  <c r="V125" i="18"/>
  <c r="V61" i="18" s="1"/>
  <c r="V126" i="18"/>
  <c r="V127" i="18"/>
  <c r="V128" i="18"/>
  <c r="V129" i="18"/>
  <c r="V130" i="18"/>
  <c r="V131" i="18"/>
  <c r="V132" i="18"/>
  <c r="V133" i="18"/>
  <c r="V85" i="18" s="1"/>
  <c r="V124" i="18"/>
  <c r="U125" i="18"/>
  <c r="U61" i="18" s="1"/>
  <c r="U126" i="18"/>
  <c r="U64" i="18" s="1"/>
  <c r="U127" i="18"/>
  <c r="U128" i="18"/>
  <c r="U70" i="18" s="1"/>
  <c r="U129" i="18"/>
  <c r="U73" i="18" s="1"/>
  <c r="U130" i="18"/>
  <c r="U76" i="18" s="1"/>
  <c r="U131" i="18"/>
  <c r="U79" i="18" s="1"/>
  <c r="U132" i="18"/>
  <c r="U82" i="18" s="1"/>
  <c r="U133" i="18"/>
  <c r="U85" i="18" s="1"/>
  <c r="U124" i="18"/>
  <c r="V82" i="18" l="1"/>
  <c r="W132" i="18"/>
  <c r="X132" i="18" s="1"/>
  <c r="V79" i="18"/>
  <c r="W131" i="18"/>
  <c r="W79" i="18" s="1"/>
  <c r="V76" i="18"/>
  <c r="W130" i="18"/>
  <c r="W76" i="18" s="1"/>
  <c r="V73" i="18"/>
  <c r="W73" i="18"/>
  <c r="V70" i="18"/>
  <c r="W70" i="18"/>
  <c r="V67" i="18"/>
  <c r="X127" i="18"/>
  <c r="V64" i="18"/>
  <c r="W64" i="18"/>
  <c r="U67" i="18"/>
  <c r="V58" i="18"/>
  <c r="U58" i="18"/>
  <c r="X133" i="18"/>
  <c r="AK368" i="5"/>
  <c r="AK369" i="5"/>
  <c r="AK370" i="5"/>
  <c r="AK371" i="5"/>
  <c r="AK372" i="5"/>
  <c r="AK373" i="5"/>
  <c r="AK374" i="5"/>
  <c r="AK375" i="5"/>
  <c r="AK376" i="5"/>
  <c r="AK367" i="5"/>
  <c r="AI368" i="5"/>
  <c r="AI369" i="5"/>
  <c r="AI370" i="5"/>
  <c r="AI371" i="5"/>
  <c r="AI372" i="5"/>
  <c r="AI373" i="5"/>
  <c r="AI374" i="5"/>
  <c r="AI375" i="5"/>
  <c r="AI376" i="5"/>
  <c r="AI367" i="5"/>
  <c r="AD368" i="5"/>
  <c r="AD369" i="5"/>
  <c r="AD370" i="5"/>
  <c r="AD371" i="5"/>
  <c r="AD372" i="5"/>
  <c r="AD373" i="5"/>
  <c r="AD374" i="5"/>
  <c r="AD375" i="5"/>
  <c r="AD376" i="5"/>
  <c r="AD367" i="5"/>
  <c r="F368" i="5"/>
  <c r="F369" i="5"/>
  <c r="F370" i="5"/>
  <c r="F371" i="5"/>
  <c r="F372" i="5"/>
  <c r="F373" i="5"/>
  <c r="F374" i="5"/>
  <c r="F375" i="5"/>
  <c r="F376" i="5"/>
  <c r="F367" i="5"/>
  <c r="D368" i="5"/>
  <c r="D369" i="5"/>
  <c r="D370" i="5"/>
  <c r="D371" i="5"/>
  <c r="D372" i="5"/>
  <c r="D373" i="5"/>
  <c r="D374" i="5"/>
  <c r="D375" i="5"/>
  <c r="D376" i="5"/>
  <c r="D367" i="5"/>
  <c r="B368" i="5"/>
  <c r="B369" i="5"/>
  <c r="B370" i="5"/>
  <c r="B371" i="5"/>
  <c r="B372" i="5"/>
  <c r="B373" i="5"/>
  <c r="B374" i="5"/>
  <c r="B375" i="5"/>
  <c r="B376" i="5"/>
  <c r="B367" i="5"/>
  <c r="AY126" i="5"/>
  <c r="B402" i="5"/>
  <c r="A391" i="5"/>
  <c r="A379" i="5"/>
  <c r="A344" i="5"/>
  <c r="X67" i="18" l="1"/>
  <c r="Z69" i="18" s="1"/>
  <c r="X82" i="18"/>
  <c r="Z84" i="18" s="1"/>
  <c r="X85" i="18"/>
  <c r="Z86" i="18" s="1"/>
  <c r="W82" i="18"/>
  <c r="X131" i="18"/>
  <c r="X130" i="18"/>
  <c r="X129" i="18"/>
  <c r="X128" i="18"/>
  <c r="Y67" i="18"/>
  <c r="W67" i="18"/>
  <c r="X126" i="18"/>
  <c r="Y83" i="18" l="1"/>
  <c r="Y82" i="18"/>
  <c r="Y132" i="18" s="1"/>
  <c r="Z83" i="18"/>
  <c r="Y84" i="18"/>
  <c r="Z82" i="18"/>
  <c r="Z132" i="18" s="1"/>
  <c r="CG105" i="54" s="1"/>
  <c r="Z87" i="18"/>
  <c r="Y87" i="18"/>
  <c r="Z85" i="18"/>
  <c r="Z133" i="18" s="1"/>
  <c r="W106" i="54" s="1"/>
  <c r="Y86" i="18"/>
  <c r="Y85" i="18"/>
  <c r="Y133" i="18" s="1"/>
  <c r="R106" i="54" s="1"/>
  <c r="Y69" i="18"/>
  <c r="Z68" i="18"/>
  <c r="Y68" i="18"/>
  <c r="Z67" i="18"/>
  <c r="Z127" i="18" s="1"/>
  <c r="X79" i="18"/>
  <c r="Z81" i="18" s="1"/>
  <c r="X70" i="18"/>
  <c r="Z72" i="18" s="1"/>
  <c r="X64" i="18"/>
  <c r="Y64" i="18" s="1"/>
  <c r="CB105" i="54"/>
  <c r="R105" i="54"/>
  <c r="X73" i="18"/>
  <c r="Z74" i="18" s="1"/>
  <c r="X76" i="18"/>
  <c r="Z77" i="18" s="1"/>
  <c r="Y127" i="18"/>
  <c r="CB105" i="5"/>
  <c r="R105" i="5"/>
  <c r="CG106" i="54" l="1"/>
  <c r="W105" i="5"/>
  <c r="W105" i="54"/>
  <c r="AR105" i="54" s="1"/>
  <c r="CG105" i="5"/>
  <c r="W106" i="5"/>
  <c r="CG106" i="5"/>
  <c r="CB106" i="54"/>
  <c r="Y65" i="18"/>
  <c r="Z66" i="18"/>
  <c r="Y77" i="18"/>
  <c r="Y80" i="18"/>
  <c r="Z78" i="18"/>
  <c r="Z64" i="18"/>
  <c r="Z126" i="18" s="1"/>
  <c r="R106" i="5"/>
  <c r="Y76" i="18"/>
  <c r="Y130" i="18" s="1"/>
  <c r="CB106" i="5"/>
  <c r="Y81" i="18"/>
  <c r="Y66" i="18"/>
  <c r="Y79" i="18"/>
  <c r="Y131" i="18" s="1"/>
  <c r="Z65" i="18"/>
  <c r="Z80" i="18"/>
  <c r="Z79" i="18"/>
  <c r="Z131" i="18" s="1"/>
  <c r="Y70" i="18"/>
  <c r="Y128" i="18" s="1"/>
  <c r="Y71" i="18"/>
  <c r="Y72" i="18"/>
  <c r="Z70" i="18"/>
  <c r="Z128" i="18" s="1"/>
  <c r="Z71" i="18"/>
  <c r="Y74" i="18"/>
  <c r="Y75" i="18"/>
  <c r="Z75" i="18"/>
  <c r="Z73" i="18"/>
  <c r="Z129" i="18" s="1"/>
  <c r="Y73" i="18"/>
  <c r="Y129" i="18" s="1"/>
  <c r="W100" i="54"/>
  <c r="CG100" i="54"/>
  <c r="R376" i="54"/>
  <c r="W376" i="54"/>
  <c r="BA106" i="54"/>
  <c r="BA376" i="54" s="1"/>
  <c r="AR106" i="54"/>
  <c r="AP106" i="54"/>
  <c r="AY106" i="54"/>
  <c r="Y78" i="18"/>
  <c r="Z76" i="18"/>
  <c r="Z130" i="18" s="1"/>
  <c r="R375" i="54"/>
  <c r="CB100" i="54"/>
  <c r="R100" i="54"/>
  <c r="CG100" i="5"/>
  <c r="W100" i="5"/>
  <c r="CB100" i="5"/>
  <c r="R100" i="5"/>
  <c r="Y126" i="18"/>
  <c r="AY105" i="54" l="1"/>
  <c r="BB105" i="54" s="1"/>
  <c r="BB375" i="54" s="1"/>
  <c r="W375" i="54"/>
  <c r="AP105" i="54"/>
  <c r="AP375" i="54" s="1"/>
  <c r="BA105" i="54"/>
  <c r="BA375" i="54" s="1"/>
  <c r="W103" i="54"/>
  <c r="CG103" i="54"/>
  <c r="W104" i="54"/>
  <c r="CG104" i="54"/>
  <c r="R99" i="5"/>
  <c r="CB99" i="54"/>
  <c r="R99" i="54"/>
  <c r="BE106" i="54"/>
  <c r="AY376" i="54"/>
  <c r="AZ106" i="54"/>
  <c r="AZ376" i="54" s="1"/>
  <c r="BB106" i="54"/>
  <c r="BB376" i="54" s="1"/>
  <c r="W370" i="54"/>
  <c r="BA100" i="54"/>
  <c r="BA370" i="54" s="1"/>
  <c r="AP100" i="54"/>
  <c r="AY100" i="54"/>
  <c r="AR100" i="54"/>
  <c r="AP376" i="54"/>
  <c r="AQ106" i="54"/>
  <c r="AQ376" i="54" s="1"/>
  <c r="R103" i="54"/>
  <c r="CB103" i="54"/>
  <c r="W99" i="54"/>
  <c r="CG99" i="54"/>
  <c r="W101" i="54"/>
  <c r="CG101" i="54"/>
  <c r="AR376" i="54"/>
  <c r="AS106" i="54"/>
  <c r="AS376" i="54" s="1"/>
  <c r="AW106" i="54"/>
  <c r="CB102" i="54"/>
  <c r="R102" i="54"/>
  <c r="CB101" i="54"/>
  <c r="R101" i="54"/>
  <c r="CG102" i="54"/>
  <c r="W102" i="54"/>
  <c r="R104" i="54"/>
  <c r="CB104" i="54"/>
  <c r="R370" i="54"/>
  <c r="AR375" i="54"/>
  <c r="AS105" i="54"/>
  <c r="AS375" i="54" s="1"/>
  <c r="CB99" i="5"/>
  <c r="CG103" i="5"/>
  <c r="W103" i="5"/>
  <c r="CB101" i="5"/>
  <c r="R101" i="5"/>
  <c r="CG102" i="5"/>
  <c r="W102" i="5"/>
  <c r="CG101" i="5"/>
  <c r="W101" i="5"/>
  <c r="CB104" i="5"/>
  <c r="R104" i="5"/>
  <c r="CG99" i="5"/>
  <c r="W99" i="5"/>
  <c r="CB102" i="5"/>
  <c r="R102" i="5"/>
  <c r="CG104" i="5"/>
  <c r="W104" i="5"/>
  <c r="CB103" i="5"/>
  <c r="R103" i="5"/>
  <c r="AY375" i="54" l="1"/>
  <c r="BE105" i="54"/>
  <c r="BE375" i="54" s="1"/>
  <c r="AZ105" i="54"/>
  <c r="AZ375" i="54" s="1"/>
  <c r="AW105" i="54"/>
  <c r="AW375" i="54" s="1"/>
  <c r="AQ105" i="54"/>
  <c r="AQ375" i="54" s="1"/>
  <c r="AW100" i="54"/>
  <c r="AR370" i="54"/>
  <c r="AS100" i="54"/>
  <c r="AS370" i="54" s="1"/>
  <c r="BE376" i="54"/>
  <c r="BV106" i="54"/>
  <c r="BW106" i="54" s="1"/>
  <c r="AW376" i="54"/>
  <c r="BH106" i="54"/>
  <c r="BH376" i="54" s="1"/>
  <c r="AL106" i="54"/>
  <c r="AL376" i="54" s="1"/>
  <c r="AJ106" i="54"/>
  <c r="AJ376" i="54" s="1"/>
  <c r="R373" i="54"/>
  <c r="BE100" i="54"/>
  <c r="AY370" i="54"/>
  <c r="AZ100" i="54"/>
  <c r="AZ370" i="54" s="1"/>
  <c r="BB100" i="54"/>
  <c r="BB370" i="54" s="1"/>
  <c r="R369" i="54"/>
  <c r="R374" i="54"/>
  <c r="AP370" i="54"/>
  <c r="AQ100" i="54"/>
  <c r="AQ370" i="54" s="1"/>
  <c r="W372" i="54"/>
  <c r="BA102" i="54"/>
  <c r="BA372" i="54" s="1"/>
  <c r="AY102" i="54"/>
  <c r="AP102" i="54"/>
  <c r="AR102" i="54"/>
  <c r="R371" i="54"/>
  <c r="W371" i="54"/>
  <c r="BA101" i="54"/>
  <c r="BA371" i="54" s="1"/>
  <c r="AP101" i="54"/>
  <c r="AR101" i="54"/>
  <c r="AY101" i="54"/>
  <c r="W374" i="54"/>
  <c r="AP104" i="54"/>
  <c r="AY104" i="54"/>
  <c r="AR104" i="54"/>
  <c r="BA104" i="54"/>
  <c r="BA374" i="54" s="1"/>
  <c r="R372" i="54"/>
  <c r="W369" i="54"/>
  <c r="BA99" i="54"/>
  <c r="BA369" i="54" s="1"/>
  <c r="AP99" i="54"/>
  <c r="AR99" i="54"/>
  <c r="AY99" i="54"/>
  <c r="W373" i="54"/>
  <c r="BA103" i="54"/>
  <c r="BA373" i="54" s="1"/>
  <c r="AR103" i="54"/>
  <c r="AP103" i="54"/>
  <c r="AY103" i="54"/>
  <c r="I21" i="20"/>
  <c r="BV105" i="54" l="1"/>
  <c r="BW105" i="54" s="1"/>
  <c r="AJ105" i="54"/>
  <c r="AJ375" i="54" s="1"/>
  <c r="AL105" i="54"/>
  <c r="AL375" i="54" s="1"/>
  <c r="BH105" i="54"/>
  <c r="BH375" i="54" s="1"/>
  <c r="BV100" i="54"/>
  <c r="BW100" i="54" s="1"/>
  <c r="BE370" i="54"/>
  <c r="BE99" i="54"/>
  <c r="AY369" i="54"/>
  <c r="AZ99" i="54"/>
  <c r="AZ369" i="54" s="1"/>
  <c r="BB99" i="54"/>
  <c r="BB369" i="54" s="1"/>
  <c r="AR372" i="54"/>
  <c r="AS102" i="54"/>
  <c r="AS372" i="54" s="1"/>
  <c r="AW102" i="54"/>
  <c r="AW370" i="54"/>
  <c r="AJ100" i="54"/>
  <c r="AJ370" i="54" s="1"/>
  <c r="BH100" i="54"/>
  <c r="BH370" i="54" s="1"/>
  <c r="AL100" i="54"/>
  <c r="AL370" i="54" s="1"/>
  <c r="AZ101" i="54"/>
  <c r="AZ371" i="54" s="1"/>
  <c r="BB101" i="54"/>
  <c r="BB371" i="54" s="1"/>
  <c r="AY371" i="54"/>
  <c r="BE101" i="54"/>
  <c r="AP372" i="54"/>
  <c r="AQ102" i="54"/>
  <c r="AQ372" i="54" s="1"/>
  <c r="AP369" i="54"/>
  <c r="AQ99" i="54"/>
  <c r="AQ369" i="54" s="1"/>
  <c r="AW101" i="54"/>
  <c r="AR371" i="54"/>
  <c r="AS101" i="54"/>
  <c r="AS371" i="54" s="1"/>
  <c r="AY372" i="54"/>
  <c r="BB102" i="54"/>
  <c r="BB372" i="54" s="1"/>
  <c r="AZ102" i="54"/>
  <c r="AZ372" i="54" s="1"/>
  <c r="BE102" i="54"/>
  <c r="AW99" i="54"/>
  <c r="AR369" i="54"/>
  <c r="AS99" i="54"/>
  <c r="AS369" i="54" s="1"/>
  <c r="BE103" i="54"/>
  <c r="AY373" i="54"/>
  <c r="BB103" i="54"/>
  <c r="BB373" i="54" s="1"/>
  <c r="AZ103" i="54"/>
  <c r="AZ373" i="54" s="1"/>
  <c r="AW104" i="54"/>
  <c r="AR374" i="54"/>
  <c r="AS104" i="54"/>
  <c r="AS374" i="54" s="1"/>
  <c r="AQ101" i="54"/>
  <c r="AQ371" i="54" s="1"/>
  <c r="AP371" i="54"/>
  <c r="AW103" i="54"/>
  <c r="AP373" i="54"/>
  <c r="AQ103" i="54"/>
  <c r="AQ373" i="54" s="1"/>
  <c r="BE104" i="54"/>
  <c r="AY374" i="54"/>
  <c r="BB104" i="54"/>
  <c r="BB374" i="54" s="1"/>
  <c r="AZ104" i="54"/>
  <c r="AZ374" i="54" s="1"/>
  <c r="AR373" i="54"/>
  <c r="AS103" i="54"/>
  <c r="AS373" i="54" s="1"/>
  <c r="AQ104" i="54"/>
  <c r="AQ374" i="54" s="1"/>
  <c r="AP374" i="54"/>
  <c r="I20" i="20"/>
  <c r="BE372" i="54" l="1"/>
  <c r="BV102" i="54"/>
  <c r="BW102" i="54" s="1"/>
  <c r="AW373" i="54"/>
  <c r="BH103" i="54"/>
  <c r="BH373" i="54" s="1"/>
  <c r="AL103" i="54"/>
  <c r="AL373" i="54" s="1"/>
  <c r="AJ103" i="54"/>
  <c r="AJ373" i="54" s="1"/>
  <c r="BE371" i="54"/>
  <c r="BV101" i="54"/>
  <c r="BW101" i="54" s="1"/>
  <c r="BE374" i="54"/>
  <c r="BV104" i="54"/>
  <c r="BW104" i="54" s="1"/>
  <c r="BE373" i="54"/>
  <c r="BV103" i="54"/>
  <c r="BW103" i="54" s="1"/>
  <c r="BE369" i="54"/>
  <c r="BV99" i="54"/>
  <c r="BW99" i="54" s="1"/>
  <c r="AW371" i="54"/>
  <c r="AJ101" i="54"/>
  <c r="AJ371" i="54" s="1"/>
  <c r="BH101" i="54"/>
  <c r="BH371" i="54" s="1"/>
  <c r="AL101" i="54"/>
  <c r="AL371" i="54" s="1"/>
  <c r="AW372" i="54"/>
  <c r="AJ102" i="54"/>
  <c r="AJ372" i="54" s="1"/>
  <c r="BH102" i="54"/>
  <c r="BH372" i="54" s="1"/>
  <c r="AL102" i="54"/>
  <c r="AL372" i="54" s="1"/>
  <c r="AW374" i="54"/>
  <c r="BH104" i="54"/>
  <c r="BH374" i="54" s="1"/>
  <c r="AL104" i="54"/>
  <c r="AL374" i="54" s="1"/>
  <c r="AJ104" i="54"/>
  <c r="AJ374" i="54" s="1"/>
  <c r="AW369" i="54"/>
  <c r="AJ99" i="54"/>
  <c r="AJ369" i="54" s="1"/>
  <c r="BH99" i="54"/>
  <c r="BH369" i="54" s="1"/>
  <c r="AL99" i="54"/>
  <c r="AL369" i="54" s="1"/>
  <c r="C5" i="44"/>
  <c r="C2" i="44"/>
  <c r="V136" i="18" l="1"/>
  <c r="AB47" i="49" l="1"/>
  <c r="AB44" i="49"/>
  <c r="AA43" i="49"/>
  <c r="B23" i="49"/>
  <c r="AB48" i="49" s="1"/>
  <c r="B15" i="49"/>
  <c r="AB40" i="49" s="1"/>
  <c r="E49" i="45" l="1"/>
  <c r="E45" i="45"/>
  <c r="E46" i="45"/>
  <c r="E47" i="45"/>
  <c r="E48" i="45"/>
  <c r="E44" i="45"/>
  <c r="E43" i="45"/>
  <c r="E42" i="45"/>
  <c r="E39" i="45"/>
  <c r="E40" i="45"/>
  <c r="E41" i="45"/>
  <c r="E32" i="45"/>
  <c r="E30" i="45"/>
  <c r="E31" i="45"/>
  <c r="F49" i="45" l="1"/>
  <c r="F48" i="45" s="1"/>
  <c r="F47" i="45" s="1"/>
  <c r="F46" i="45" s="1"/>
  <c r="F45" i="45" s="1"/>
  <c r="D48" i="45" l="1"/>
  <c r="D46" i="45"/>
  <c r="B15" i="42" l="1"/>
  <c r="BH1" i="5"/>
  <c r="AI1" i="23"/>
  <c r="E22" i="45" l="1"/>
  <c r="E23" i="45"/>
  <c r="E21" i="45"/>
  <c r="F44" i="45" l="1"/>
  <c r="E28" i="45"/>
  <c r="E29" i="45"/>
  <c r="F43" i="45" l="1"/>
  <c r="F42" i="45" s="1"/>
  <c r="F41" i="45" l="1"/>
  <c r="D42" i="45"/>
  <c r="F40" i="45" l="1"/>
  <c r="F39" i="45" s="1"/>
  <c r="AK387" i="5"/>
  <c r="AK386" i="5"/>
  <c r="AK385" i="5"/>
  <c r="AK384" i="5"/>
  <c r="AK383" i="5"/>
  <c r="AK362" i="5"/>
  <c r="AK361" i="5"/>
  <c r="AK360" i="5"/>
  <c r="AK359" i="5"/>
  <c r="AK358" i="5"/>
  <c r="AK357" i="5"/>
  <c r="AK356" i="5"/>
  <c r="AK355" i="5"/>
  <c r="AK354" i="5"/>
  <c r="AK353" i="5"/>
  <c r="AK352" i="5"/>
  <c r="AK351" i="5"/>
  <c r="AK350" i="5"/>
  <c r="AK349" i="5"/>
  <c r="AK348" i="5"/>
  <c r="AX271" i="5" l="1"/>
  <c r="G37" i="20" l="1"/>
  <c r="AA43" i="42" l="1"/>
  <c r="AB40" i="42"/>
  <c r="J4" i="45" l="1"/>
  <c r="E37" i="45"/>
  <c r="D37" i="45" s="1"/>
  <c r="E38" i="45"/>
  <c r="E36" i="45"/>
  <c r="E34" i="45"/>
  <c r="E35" i="45"/>
  <c r="E33" i="45"/>
  <c r="E26" i="45"/>
  <c r="E27" i="45"/>
  <c r="E25" i="45"/>
  <c r="E24" i="45"/>
  <c r="E19" i="45"/>
  <c r="E20" i="45"/>
  <c r="E18" i="45"/>
  <c r="E15" i="45"/>
  <c r="E16" i="45"/>
  <c r="E17" i="45"/>
  <c r="E14" i="45"/>
  <c r="E13" i="45"/>
  <c r="C12" i="45"/>
  <c r="D7" i="45"/>
  <c r="C7" i="45"/>
  <c r="C6" i="45"/>
  <c r="C18" i="44"/>
  <c r="C16" i="44"/>
  <c r="C6" i="44"/>
  <c r="D6" i="45"/>
  <c r="J5" i="45"/>
  <c r="C34" i="44"/>
  <c r="C33" i="44"/>
  <c r="C32" i="44"/>
  <c r="D45" i="45" l="1"/>
  <c r="D41" i="45"/>
  <c r="D49" i="45"/>
  <c r="D44" i="45"/>
  <c r="D39" i="45"/>
  <c r="F38" i="45"/>
  <c r="F37" i="45" s="1"/>
  <c r="F36" i="45" s="1"/>
  <c r="D36" i="45" s="1"/>
  <c r="D43" i="45"/>
  <c r="D47" i="45"/>
  <c r="D40" i="45"/>
  <c r="D38" i="45" l="1"/>
  <c r="F35" i="45"/>
  <c r="D35" i="45" s="1"/>
  <c r="F32" i="45"/>
  <c r="D32" i="45" s="1"/>
  <c r="F34" i="45" l="1"/>
  <c r="D34" i="45" s="1"/>
  <c r="F31" i="45"/>
  <c r="D31" i="45" s="1"/>
  <c r="F33" i="45" l="1"/>
  <c r="F30" i="45"/>
  <c r="D30" i="45" s="1"/>
  <c r="F29" i="45" l="1"/>
  <c r="D33" i="45"/>
  <c r="F28" i="45" l="1"/>
  <c r="D29" i="45"/>
  <c r="F27" i="45" l="1"/>
  <c r="D28" i="45"/>
  <c r="F26" i="45" l="1"/>
  <c r="F25" i="45" s="1"/>
  <c r="D25" i="45" s="1"/>
  <c r="D27" i="45"/>
  <c r="D26" i="45" l="1"/>
  <c r="F24" i="45"/>
  <c r="F23" i="45" l="1"/>
  <c r="D23" i="45" s="1"/>
  <c r="D24" i="45"/>
  <c r="F22" i="45" l="1"/>
  <c r="F21" i="45" l="1"/>
  <c r="F20" i="45" s="1"/>
  <c r="D22" i="45"/>
  <c r="U258" i="23"/>
  <c r="AD270" i="23"/>
  <c r="AA270" i="23"/>
  <c r="AG258" i="23"/>
  <c r="AC258" i="23"/>
  <c r="Q258" i="23"/>
  <c r="F19" i="45" l="1"/>
  <c r="F18" i="45" s="1"/>
  <c r="F17" i="45" s="1"/>
  <c r="D17" i="45" s="1"/>
  <c r="D20" i="45"/>
  <c r="D21" i="45"/>
  <c r="V108" i="18"/>
  <c r="W58" i="18" l="1"/>
  <c r="X124" i="18"/>
  <c r="D18" i="45"/>
  <c r="D19" i="45"/>
  <c r="F16" i="45"/>
  <c r="F15" i="45" s="1"/>
  <c r="F14" i="45" s="1"/>
  <c r="F13" i="45" s="1"/>
  <c r="D13" i="45" s="1"/>
  <c r="D16" i="45"/>
  <c r="BF389" i="5"/>
  <c r="BI400" i="5"/>
  <c r="AJ400" i="5"/>
  <c r="AI400" i="5"/>
  <c r="AD400" i="5"/>
  <c r="F400" i="5"/>
  <c r="D400" i="5"/>
  <c r="B400" i="5"/>
  <c r="BI399" i="5"/>
  <c r="AJ399" i="5"/>
  <c r="AI399" i="5"/>
  <c r="AD399" i="5"/>
  <c r="F399" i="5"/>
  <c r="D399" i="5"/>
  <c r="B399" i="5"/>
  <c r="BI398" i="5"/>
  <c r="AJ398" i="5"/>
  <c r="AI398" i="5"/>
  <c r="AD398" i="5"/>
  <c r="F398" i="5"/>
  <c r="D398" i="5"/>
  <c r="B398" i="5"/>
  <c r="AI387" i="5"/>
  <c r="AD387" i="5"/>
  <c r="F387" i="5"/>
  <c r="D387" i="5"/>
  <c r="B387" i="5"/>
  <c r="AI386" i="5"/>
  <c r="AD386" i="5"/>
  <c r="F386" i="5"/>
  <c r="D386" i="5"/>
  <c r="B386" i="5"/>
  <c r="AI385" i="5"/>
  <c r="AD385" i="5"/>
  <c r="F385" i="5"/>
  <c r="D385" i="5"/>
  <c r="B385" i="5"/>
  <c r="AI362" i="5"/>
  <c r="AD362" i="5"/>
  <c r="F362" i="5"/>
  <c r="D362" i="5"/>
  <c r="B362" i="5"/>
  <c r="AI361" i="5"/>
  <c r="AD361" i="5"/>
  <c r="F361" i="5"/>
  <c r="D361" i="5"/>
  <c r="B361" i="5"/>
  <c r="AI360" i="5"/>
  <c r="AD360" i="5"/>
  <c r="F360" i="5"/>
  <c r="D360" i="5"/>
  <c r="B360" i="5"/>
  <c r="AI359" i="5"/>
  <c r="AD359" i="5"/>
  <c r="F359" i="5"/>
  <c r="D359" i="5"/>
  <c r="B359" i="5"/>
  <c r="AI358" i="5"/>
  <c r="AD358" i="5"/>
  <c r="F358" i="5"/>
  <c r="D358" i="5"/>
  <c r="B358" i="5"/>
  <c r="AI357" i="5"/>
  <c r="AD357" i="5"/>
  <c r="F357" i="5"/>
  <c r="D357" i="5"/>
  <c r="B357" i="5"/>
  <c r="AI356" i="5"/>
  <c r="AD356" i="5"/>
  <c r="F356" i="5"/>
  <c r="D356" i="5"/>
  <c r="B356" i="5"/>
  <c r="AI355" i="5"/>
  <c r="AD355" i="5"/>
  <c r="F355" i="5"/>
  <c r="D355" i="5"/>
  <c r="B355" i="5"/>
  <c r="AI354" i="5"/>
  <c r="AD354" i="5"/>
  <c r="F354" i="5"/>
  <c r="D354" i="5"/>
  <c r="B354" i="5"/>
  <c r="AI353" i="5"/>
  <c r="AD353" i="5"/>
  <c r="F353" i="5"/>
  <c r="D353" i="5"/>
  <c r="B353" i="5"/>
  <c r="AI352" i="5"/>
  <c r="AD352" i="5"/>
  <c r="F352" i="5"/>
  <c r="D352" i="5"/>
  <c r="B352" i="5"/>
  <c r="AI351" i="5"/>
  <c r="AD351" i="5"/>
  <c r="F351" i="5"/>
  <c r="D351" i="5"/>
  <c r="B351" i="5"/>
  <c r="AI350" i="5"/>
  <c r="AD350" i="5"/>
  <c r="F350" i="5"/>
  <c r="D350" i="5"/>
  <c r="B350" i="5"/>
  <c r="BI397" i="5"/>
  <c r="BI396" i="5"/>
  <c r="AJ397" i="5"/>
  <c r="AJ396" i="5"/>
  <c r="AI397" i="5"/>
  <c r="AI396" i="5"/>
  <c r="AD397" i="5"/>
  <c r="AD396" i="5"/>
  <c r="F397" i="5"/>
  <c r="F396" i="5"/>
  <c r="D397" i="5"/>
  <c r="D396" i="5"/>
  <c r="B397" i="5"/>
  <c r="B396" i="5"/>
  <c r="AI384" i="5"/>
  <c r="AI383" i="5"/>
  <c r="AD384" i="5"/>
  <c r="AD383" i="5"/>
  <c r="F384" i="5"/>
  <c r="F383" i="5"/>
  <c r="D384" i="5"/>
  <c r="D383" i="5"/>
  <c r="B384" i="5"/>
  <c r="B383" i="5"/>
  <c r="AI349" i="5"/>
  <c r="AI348" i="5"/>
  <c r="AD349" i="5"/>
  <c r="AD348" i="5"/>
  <c r="F349" i="5"/>
  <c r="F348" i="5"/>
  <c r="D348" i="5"/>
  <c r="D349" i="5"/>
  <c r="B349" i="5"/>
  <c r="B348" i="5"/>
  <c r="A403" i="5"/>
  <c r="AI227" i="23"/>
  <c r="AF263" i="23"/>
  <c r="AD263" i="23"/>
  <c r="Z265" i="23"/>
  <c r="T267" i="23"/>
  <c r="T265" i="23"/>
  <c r="T263" i="23"/>
  <c r="T261" i="23"/>
  <c r="M265" i="23"/>
  <c r="B267" i="23"/>
  <c r="B265" i="23"/>
  <c r="B263" i="23"/>
  <c r="B261" i="23"/>
  <c r="T280" i="23"/>
  <c r="B280" i="23"/>
  <c r="Z278" i="23"/>
  <c r="AF276" i="23"/>
  <c r="AD276" i="23"/>
  <c r="T274" i="23"/>
  <c r="T276" i="23"/>
  <c r="T278" i="23"/>
  <c r="M278" i="23"/>
  <c r="B278" i="23"/>
  <c r="B276" i="23"/>
  <c r="B274" i="23"/>
  <c r="T279" i="23"/>
  <c r="B279" i="23"/>
  <c r="Z277" i="23"/>
  <c r="T277" i="23"/>
  <c r="M277" i="23"/>
  <c r="B277" i="23"/>
  <c r="AF275" i="23"/>
  <c r="AD275" i="23"/>
  <c r="T275" i="23"/>
  <c r="B275" i="23"/>
  <c r="T273" i="23"/>
  <c r="B273" i="23"/>
  <c r="B272" i="23"/>
  <c r="B270" i="23"/>
  <c r="B269" i="23"/>
  <c r="AF262" i="23"/>
  <c r="AD262" i="23"/>
  <c r="Z264" i="23"/>
  <c r="T266" i="23"/>
  <c r="T264" i="23"/>
  <c r="T262" i="23"/>
  <c r="T260" i="23"/>
  <c r="M264" i="23"/>
  <c r="B266" i="23"/>
  <c r="B264" i="23"/>
  <c r="B262" i="23"/>
  <c r="B260" i="23"/>
  <c r="B258" i="23"/>
  <c r="AI209" i="21"/>
  <c r="B265" i="21"/>
  <c r="AI206" i="21"/>
  <c r="AY128" i="5"/>
  <c r="AY130" i="5"/>
  <c r="AP129" i="5"/>
  <c r="U139" i="18"/>
  <c r="U99" i="18" s="1"/>
  <c r="U138" i="18"/>
  <c r="X138" i="18" s="1"/>
  <c r="U137" i="18"/>
  <c r="V137" i="18"/>
  <c r="V138" i="18"/>
  <c r="V139" i="18"/>
  <c r="V140" i="18"/>
  <c r="V90" i="18"/>
  <c r="U140" i="18"/>
  <c r="U102" i="18" s="1"/>
  <c r="U136" i="18"/>
  <c r="W136" i="18" s="1"/>
  <c r="W90" i="18" s="1"/>
  <c r="E47" i="18"/>
  <c r="X58" i="18" l="1"/>
  <c r="Y60" i="18" s="1"/>
  <c r="AR129" i="5"/>
  <c r="BA128" i="5"/>
  <c r="V102" i="18"/>
  <c r="W140" i="18"/>
  <c r="W102" i="18" s="1"/>
  <c r="V99" i="18"/>
  <c r="W139" i="18"/>
  <c r="W99" i="18" s="1"/>
  <c r="V96" i="18"/>
  <c r="W96" i="18"/>
  <c r="BA130" i="5"/>
  <c r="V93" i="18"/>
  <c r="W137" i="18"/>
  <c r="W93" i="18" s="1"/>
  <c r="AQ129" i="5"/>
  <c r="AQ399" i="5" s="1"/>
  <c r="AZ128" i="5"/>
  <c r="AZ398" i="5" s="1"/>
  <c r="D15" i="45"/>
  <c r="D14" i="45"/>
  <c r="AZ130" i="5"/>
  <c r="AY398" i="5"/>
  <c r="AP399" i="5"/>
  <c r="AY400" i="5"/>
  <c r="X136" i="18"/>
  <c r="U96" i="18"/>
  <c r="U93" i="18"/>
  <c r="U90" i="18"/>
  <c r="Y58" i="18" l="1"/>
  <c r="Y124" i="18" s="1"/>
  <c r="Z60" i="18"/>
  <c r="Y59" i="18"/>
  <c r="Z59" i="18"/>
  <c r="Z58" i="18"/>
  <c r="Z124" i="18" s="1"/>
  <c r="BA398" i="5"/>
  <c r="AR399" i="5"/>
  <c r="X140" i="18"/>
  <c r="X102" i="18" s="1"/>
  <c r="X139" i="18"/>
  <c r="AZ400" i="5"/>
  <c r="BA400" i="5"/>
  <c r="X137" i="18"/>
  <c r="C51" i="45"/>
  <c r="C5" i="45" s="1"/>
  <c r="X90" i="18"/>
  <c r="R97" i="54" l="1"/>
  <c r="CB97" i="54"/>
  <c r="W97" i="5"/>
  <c r="W97" i="54"/>
  <c r="CG97" i="54"/>
  <c r="X99" i="18"/>
  <c r="Y101" i="18" s="1"/>
  <c r="X93" i="18"/>
  <c r="Z95" i="18" s="1"/>
  <c r="CG97" i="5"/>
  <c r="CB97" i="5"/>
  <c r="R97" i="5"/>
  <c r="X96" i="18"/>
  <c r="Z97" i="18" s="1"/>
  <c r="Z92" i="18"/>
  <c r="Y92" i="18"/>
  <c r="Y91" i="18"/>
  <c r="Z104" i="18"/>
  <c r="Y104" i="18"/>
  <c r="E50" i="45"/>
  <c r="Y103" i="18"/>
  <c r="Y90" i="18"/>
  <c r="Y136" i="18" s="1"/>
  <c r="Z90" i="18"/>
  <c r="Z136" i="18" s="1"/>
  <c r="Z102" i="18"/>
  <c r="Z140" i="18" s="1"/>
  <c r="Z91" i="18"/>
  <c r="Y102" i="18"/>
  <c r="Y140" i="18" s="1"/>
  <c r="Z103" i="18"/>
  <c r="Y93" i="18" l="1"/>
  <c r="Y137" i="18" s="1"/>
  <c r="CB114" i="5" s="1"/>
  <c r="Z93" i="18"/>
  <c r="Z137" i="18" s="1"/>
  <c r="Z94" i="18"/>
  <c r="Y97" i="18"/>
  <c r="Y95" i="18"/>
  <c r="Z101" i="18"/>
  <c r="Y100" i="18"/>
  <c r="Z99" i="18"/>
  <c r="Z139" i="18" s="1"/>
  <c r="CG116" i="54" s="1"/>
  <c r="W117" i="54"/>
  <c r="CG117" i="54"/>
  <c r="R113" i="5"/>
  <c r="CB113" i="54"/>
  <c r="R113" i="54"/>
  <c r="W367" i="54"/>
  <c r="BA97" i="54"/>
  <c r="BA367" i="54" s="1"/>
  <c r="AP97" i="54"/>
  <c r="AR97" i="54"/>
  <c r="AY97" i="54"/>
  <c r="W113" i="5"/>
  <c r="CG113" i="54"/>
  <c r="W113" i="54"/>
  <c r="Y94" i="18"/>
  <c r="Z100" i="18"/>
  <c r="Y99" i="18"/>
  <c r="Y139" i="18" s="1"/>
  <c r="W114" i="5"/>
  <c r="W114" i="54"/>
  <c r="CG114" i="54"/>
  <c r="R117" i="54"/>
  <c r="R387" i="54" s="1"/>
  <c r="CB117" i="54"/>
  <c r="R367" i="54"/>
  <c r="Y98" i="18"/>
  <c r="Z96" i="18"/>
  <c r="Z138" i="18" s="1"/>
  <c r="Y96" i="18"/>
  <c r="Y138" i="18" s="1"/>
  <c r="Z98" i="18"/>
  <c r="CG117" i="5"/>
  <c r="W117" i="5"/>
  <c r="CB117" i="5"/>
  <c r="R117" i="5"/>
  <c r="CG114" i="5"/>
  <c r="CG113" i="5"/>
  <c r="CB113" i="5"/>
  <c r="CB114" i="54" l="1"/>
  <c r="R114" i="54"/>
  <c r="BA114" i="54" s="1"/>
  <c r="R114" i="5"/>
  <c r="W116" i="5"/>
  <c r="CG116" i="5"/>
  <c r="W116" i="54"/>
  <c r="R383" i="54"/>
  <c r="AP114" i="54"/>
  <c r="W384" i="54"/>
  <c r="AY367" i="54"/>
  <c r="BE97" i="54"/>
  <c r="AZ97" i="54"/>
  <c r="AZ367" i="54" s="1"/>
  <c r="BB97" i="54"/>
  <c r="BB367" i="54" s="1"/>
  <c r="CB115" i="5"/>
  <c r="R115" i="54"/>
  <c r="CB115" i="54"/>
  <c r="AR367" i="54"/>
  <c r="AS97" i="54"/>
  <c r="AS367" i="54" s="1"/>
  <c r="AW97" i="54"/>
  <c r="CB116" i="54"/>
  <c r="R116" i="54"/>
  <c r="AQ97" i="54"/>
  <c r="AQ367" i="54" s="1"/>
  <c r="AP367" i="54"/>
  <c r="CG115" i="5"/>
  <c r="W115" i="54"/>
  <c r="CG115" i="54"/>
  <c r="R116" i="5"/>
  <c r="R386" i="5" s="1"/>
  <c r="R384" i="54"/>
  <c r="CB116" i="5"/>
  <c r="W383" i="54"/>
  <c r="AP113" i="54"/>
  <c r="AR113" i="54"/>
  <c r="AY113" i="54"/>
  <c r="BA113" i="54"/>
  <c r="AY117" i="54"/>
  <c r="W387" i="54"/>
  <c r="AP117" i="54"/>
  <c r="BA117" i="54"/>
  <c r="AR117" i="54"/>
  <c r="W115" i="5"/>
  <c r="W385" i="5" s="1"/>
  <c r="R115" i="5"/>
  <c r="R385" i="5" s="1"/>
  <c r="W387" i="5"/>
  <c r="W383" i="5"/>
  <c r="R387" i="5"/>
  <c r="W386" i="5"/>
  <c r="R383" i="5"/>
  <c r="W384" i="5"/>
  <c r="R384" i="5"/>
  <c r="AY116" i="54" l="1"/>
  <c r="BE116" i="54" s="1"/>
  <c r="AR114" i="54"/>
  <c r="AS114" i="54" s="1"/>
  <c r="AS384" i="54" s="1"/>
  <c r="AY114" i="54"/>
  <c r="BE114" i="54" s="1"/>
  <c r="AR116" i="54"/>
  <c r="BA116" i="54"/>
  <c r="BA386" i="54" s="1"/>
  <c r="W386" i="54"/>
  <c r="AP116" i="54"/>
  <c r="AQ116" i="54" s="1"/>
  <c r="AQ386" i="54" s="1"/>
  <c r="AR387" i="54"/>
  <c r="AS117" i="54"/>
  <c r="AS387" i="54" s="1"/>
  <c r="AY115" i="54"/>
  <c r="AR115" i="54"/>
  <c r="W385" i="54"/>
  <c r="AP115" i="54"/>
  <c r="BA115" i="54"/>
  <c r="BB117" i="54"/>
  <c r="BB387" i="54" s="1"/>
  <c r="BA387" i="54"/>
  <c r="AW117" i="54"/>
  <c r="AP387" i="54"/>
  <c r="AQ117" i="54"/>
  <c r="AQ387" i="54" s="1"/>
  <c r="R385" i="54"/>
  <c r="AZ117" i="54"/>
  <c r="AZ387" i="54" s="1"/>
  <c r="BE117" i="54"/>
  <c r="BE387" i="54" s="1"/>
  <c r="AY387" i="54"/>
  <c r="BA383" i="54"/>
  <c r="BB113" i="54"/>
  <c r="BB383" i="54" s="1"/>
  <c r="BA384" i="54"/>
  <c r="BB114" i="54"/>
  <c r="BB384" i="54" s="1"/>
  <c r="R386" i="54"/>
  <c r="AP384" i="54"/>
  <c r="AQ114" i="54"/>
  <c r="AQ384" i="54" s="1"/>
  <c r="AY383" i="54"/>
  <c r="AZ113" i="54"/>
  <c r="AZ383" i="54" s="1"/>
  <c r="BE113" i="54"/>
  <c r="AS113" i="54"/>
  <c r="AS383" i="54" s="1"/>
  <c r="AR383" i="54"/>
  <c r="AP383" i="54"/>
  <c r="AW113" i="54"/>
  <c r="AQ113" i="54"/>
  <c r="AQ383" i="54" s="1"/>
  <c r="BH97" i="54"/>
  <c r="BH367" i="54" s="1"/>
  <c r="AL97" i="54"/>
  <c r="AL367" i="54" s="1"/>
  <c r="AW367" i="54"/>
  <c r="AJ97" i="54"/>
  <c r="AJ367" i="54" s="1"/>
  <c r="BE367" i="54"/>
  <c r="BV97" i="54"/>
  <c r="BW97" i="54" s="1"/>
  <c r="C11" i="45"/>
  <c r="C10" i="44"/>
  <c r="E8" i="45"/>
  <c r="BB116" i="54" l="1"/>
  <c r="BB386" i="54" s="1"/>
  <c r="AZ114" i="54"/>
  <c r="AZ384" i="54" s="1"/>
  <c r="AY384" i="54"/>
  <c r="AZ116" i="54"/>
  <c r="AZ386" i="54" s="1"/>
  <c r="AW114" i="54"/>
  <c r="BH114" i="54" s="1"/>
  <c r="BH384" i="54" s="1"/>
  <c r="AY386" i="54"/>
  <c r="AR384" i="54"/>
  <c r="AW116" i="54"/>
  <c r="AJ116" i="54" s="1"/>
  <c r="AJ386" i="54" s="1"/>
  <c r="AS116" i="54"/>
  <c r="AS386" i="54" s="1"/>
  <c r="AR386" i="54"/>
  <c r="AP386" i="54"/>
  <c r="AR385" i="54"/>
  <c r="AS115" i="54"/>
  <c r="AS385" i="54" s="1"/>
  <c r="AY385" i="54"/>
  <c r="AZ115" i="54"/>
  <c r="AZ385" i="54" s="1"/>
  <c r="BE115" i="54"/>
  <c r="BE386" i="54"/>
  <c r="BE383" i="54"/>
  <c r="BV113" i="54"/>
  <c r="BB115" i="54"/>
  <c r="BB385" i="54" s="1"/>
  <c r="BA385" i="54"/>
  <c r="AJ113" i="54"/>
  <c r="AJ383" i="54" s="1"/>
  <c r="AL113" i="54"/>
  <c r="AL383" i="54" s="1"/>
  <c r="AW383" i="54"/>
  <c r="BH113" i="54"/>
  <c r="BH383" i="54" s="1"/>
  <c r="BE384" i="54"/>
  <c r="BV117" i="54"/>
  <c r="BW117" i="54" s="1"/>
  <c r="AJ117" i="54"/>
  <c r="AJ387" i="54" s="1"/>
  <c r="BH117" i="54"/>
  <c r="BH387" i="54" s="1"/>
  <c r="AW387" i="54"/>
  <c r="AL117" i="54"/>
  <c r="AL387" i="54" s="1"/>
  <c r="AW115" i="54"/>
  <c r="AP385" i="54"/>
  <c r="AQ115" i="54"/>
  <c r="AQ385" i="54" s="1"/>
  <c r="D10" i="45"/>
  <c r="C7" i="44" s="1"/>
  <c r="D12" i="45"/>
  <c r="D5" i="45"/>
  <c r="C14" i="44" s="1"/>
  <c r="U120" i="18"/>
  <c r="V120" i="18"/>
  <c r="V50" i="18" s="1"/>
  <c r="U121" i="18"/>
  <c r="W53" i="18" s="1"/>
  <c r="V121" i="18"/>
  <c r="V53" i="18" s="1"/>
  <c r="U108" i="18"/>
  <c r="V14" i="18"/>
  <c r="U109" i="18"/>
  <c r="U110" i="18"/>
  <c r="V110" i="18"/>
  <c r="U111" i="18"/>
  <c r="V111" i="18"/>
  <c r="U112" i="18"/>
  <c r="V112" i="18"/>
  <c r="U113" i="18"/>
  <c r="V113" i="18"/>
  <c r="U114" i="18"/>
  <c r="V114" i="18"/>
  <c r="U115" i="18"/>
  <c r="V115" i="18"/>
  <c r="U116" i="18"/>
  <c r="V116" i="18"/>
  <c r="U117" i="18"/>
  <c r="V117" i="18"/>
  <c r="U118" i="18"/>
  <c r="V118" i="18"/>
  <c r="U119" i="18"/>
  <c r="V119" i="18"/>
  <c r="V107" i="18"/>
  <c r="V11" i="18" s="1"/>
  <c r="U107" i="18"/>
  <c r="W107" i="18" s="1"/>
  <c r="E143" i="18"/>
  <c r="E142" i="18"/>
  <c r="E141" i="18"/>
  <c r="E140" i="18"/>
  <c r="E139" i="18"/>
  <c r="E138" i="18"/>
  <c r="E137" i="18"/>
  <c r="E136" i="18"/>
  <c r="E135" i="18"/>
  <c r="E132" i="18"/>
  <c r="E131" i="18"/>
  <c r="E130" i="18"/>
  <c r="E129" i="18"/>
  <c r="AP115" i="5" s="1"/>
  <c r="AQ115" i="5" s="1"/>
  <c r="E128" i="18"/>
  <c r="E127" i="18"/>
  <c r="E126" i="18"/>
  <c r="E125" i="18"/>
  <c r="E124" i="18"/>
  <c r="E123" i="18"/>
  <c r="E122" i="18"/>
  <c r="E121" i="18"/>
  <c r="E120" i="18"/>
  <c r="E119" i="18"/>
  <c r="E118" i="18"/>
  <c r="E115" i="18"/>
  <c r="E109" i="18"/>
  <c r="E108" i="18"/>
  <c r="E107" i="18"/>
  <c r="E106" i="18"/>
  <c r="E105" i="18"/>
  <c r="E104" i="18"/>
  <c r="E103" i="18"/>
  <c r="E102" i="18"/>
  <c r="E101" i="18"/>
  <c r="E100" i="18"/>
  <c r="E54" i="18"/>
  <c r="E53" i="18"/>
  <c r="E52" i="18"/>
  <c r="E51" i="18"/>
  <c r="E50" i="18"/>
  <c r="E49" i="18"/>
  <c r="E48" i="18"/>
  <c r="A8" i="18"/>
  <c r="AF217" i="21"/>
  <c r="AF215" i="21"/>
  <c r="AD215" i="21"/>
  <c r="AD217" i="21"/>
  <c r="Z221" i="21"/>
  <c r="Z219" i="21"/>
  <c r="T221" i="21"/>
  <c r="T219" i="21"/>
  <c r="T217" i="21"/>
  <c r="T215" i="21"/>
  <c r="T211" i="21"/>
  <c r="M225" i="21"/>
  <c r="M221" i="21"/>
  <c r="M219" i="21"/>
  <c r="B225" i="21"/>
  <c r="B223" i="21"/>
  <c r="B221" i="21"/>
  <c r="B219" i="21"/>
  <c r="B217" i="21"/>
  <c r="B215" i="21"/>
  <c r="B213" i="21"/>
  <c r="AF211" i="21"/>
  <c r="B23" i="42"/>
  <c r="AB48" i="42" s="1"/>
  <c r="A133" i="5"/>
  <c r="B266" i="21"/>
  <c r="AB44" i="42"/>
  <c r="A33" i="18"/>
  <c r="A27" i="18"/>
  <c r="A24" i="18"/>
  <c r="A19" i="18"/>
  <c r="A14" i="18"/>
  <c r="A13" i="18"/>
  <c r="A3" i="18"/>
  <c r="AW384" i="54" l="1"/>
  <c r="AP27" i="5"/>
  <c r="AY27" i="5"/>
  <c r="AW27" i="5" s="1"/>
  <c r="BV114" i="54"/>
  <c r="BW114" i="54" s="1"/>
  <c r="AJ114" i="54"/>
  <c r="AJ384" i="54" s="1"/>
  <c r="AL114" i="54"/>
  <c r="AL384" i="54" s="1"/>
  <c r="BV116" i="54"/>
  <c r="BW116" i="54" s="1"/>
  <c r="AL116" i="54"/>
  <c r="AL386" i="54" s="1"/>
  <c r="AW386" i="54"/>
  <c r="BH116" i="54"/>
  <c r="BH386" i="54" s="1"/>
  <c r="AY59" i="54"/>
  <c r="BQ99" i="54"/>
  <c r="BQ102" i="54"/>
  <c r="AP59" i="54"/>
  <c r="BQ101" i="54"/>
  <c r="AY43" i="54"/>
  <c r="BQ103" i="54"/>
  <c r="AP43" i="54"/>
  <c r="BQ104" i="54"/>
  <c r="BQ106" i="54"/>
  <c r="BQ105" i="54"/>
  <c r="BQ100" i="54"/>
  <c r="BQ97" i="54"/>
  <c r="BQ113" i="54"/>
  <c r="BQ117" i="54"/>
  <c r="BQ114" i="54"/>
  <c r="BQ115" i="54"/>
  <c r="BQ116" i="54"/>
  <c r="BW113" i="54"/>
  <c r="BE385" i="54"/>
  <c r="BV115" i="54"/>
  <c r="BW115" i="54" s="1"/>
  <c r="AW385" i="54"/>
  <c r="AL115" i="54"/>
  <c r="AL385" i="54" s="1"/>
  <c r="AJ115" i="54"/>
  <c r="AJ385" i="54" s="1"/>
  <c r="BH115" i="54"/>
  <c r="BH385" i="54" s="1"/>
  <c r="BM113" i="54"/>
  <c r="AQ59" i="5"/>
  <c r="AQ329" i="5" s="1"/>
  <c r="AP43" i="5"/>
  <c r="AY43" i="5"/>
  <c r="AR113" i="5"/>
  <c r="AR383" i="5" s="1"/>
  <c r="V47" i="18"/>
  <c r="X119" i="18"/>
  <c r="V44" i="18"/>
  <c r="W44" i="18"/>
  <c r="V41" i="18"/>
  <c r="X117" i="18"/>
  <c r="V38" i="18"/>
  <c r="W38" i="18"/>
  <c r="V35" i="18"/>
  <c r="W35" i="18"/>
  <c r="V32" i="18"/>
  <c r="W32" i="18"/>
  <c r="V29" i="18"/>
  <c r="X113" i="18"/>
  <c r="W26" i="18"/>
  <c r="W23" i="18"/>
  <c r="W20" i="18"/>
  <c r="V26" i="18"/>
  <c r="V23" i="18"/>
  <c r="V20" i="18"/>
  <c r="V17" i="18"/>
  <c r="BA115" i="5"/>
  <c r="BB115" i="5" s="1"/>
  <c r="AP113" i="5"/>
  <c r="AQ113" i="5" s="1"/>
  <c r="AY115" i="5"/>
  <c r="BA113" i="5"/>
  <c r="BB113" i="5" s="1"/>
  <c r="AY113" i="5"/>
  <c r="AR115" i="5"/>
  <c r="BA117" i="5"/>
  <c r="BB117" i="5" s="1"/>
  <c r="BA116" i="5"/>
  <c r="BB116" i="5" s="1"/>
  <c r="AP114" i="5"/>
  <c r="AQ114" i="5" s="1"/>
  <c r="AP117" i="5"/>
  <c r="AQ117" i="5" s="1"/>
  <c r="AR116" i="5"/>
  <c r="AS116" i="5" s="1"/>
  <c r="AR117" i="5"/>
  <c r="AS117" i="5" s="1"/>
  <c r="AY116" i="5"/>
  <c r="BA114" i="5"/>
  <c r="BB114" i="5" s="1"/>
  <c r="AY117" i="5"/>
  <c r="AP116" i="5"/>
  <c r="AQ116" i="5" s="1"/>
  <c r="AR114" i="5"/>
  <c r="AS114" i="5" s="1"/>
  <c r="AY114" i="5"/>
  <c r="AY127" i="5"/>
  <c r="BQ129" i="5"/>
  <c r="BQ128" i="5"/>
  <c r="BQ127" i="5"/>
  <c r="AP127" i="5"/>
  <c r="AY129" i="5"/>
  <c r="AP128" i="5"/>
  <c r="D11" i="45"/>
  <c r="C8" i="44" s="1"/>
  <c r="W17" i="18"/>
  <c r="U17" i="18"/>
  <c r="BQ115" i="5"/>
  <c r="BQ117" i="5"/>
  <c r="BQ113" i="5"/>
  <c r="BQ116" i="5"/>
  <c r="BQ114" i="5"/>
  <c r="AZ126" i="5"/>
  <c r="BQ126" i="5"/>
  <c r="BS126" i="5" s="1"/>
  <c r="U50" i="18"/>
  <c r="X120" i="18"/>
  <c r="BQ130" i="5"/>
  <c r="AP130" i="5"/>
  <c r="U11" i="18"/>
  <c r="U14" i="18"/>
  <c r="X121" i="18"/>
  <c r="U23" i="18"/>
  <c r="U29" i="18"/>
  <c r="U35" i="18"/>
  <c r="U41" i="18"/>
  <c r="U47" i="18"/>
  <c r="U53" i="18"/>
  <c r="U20" i="18"/>
  <c r="U26" i="18"/>
  <c r="U32" i="18"/>
  <c r="U38" i="18"/>
  <c r="U44" i="18"/>
  <c r="BE27" i="5" l="1"/>
  <c r="BE297" i="5" s="1"/>
  <c r="AY313" i="5"/>
  <c r="BE43" i="5"/>
  <c r="AW43" i="5"/>
  <c r="BM43" i="5" s="1"/>
  <c r="BM27" i="5"/>
  <c r="AZ27" i="5"/>
  <c r="AZ297" i="5" s="1"/>
  <c r="AY297" i="5"/>
  <c r="BA297" i="5"/>
  <c r="BB27" i="5"/>
  <c r="BB297" i="5" s="1"/>
  <c r="AS27" i="5"/>
  <c r="AS297" i="5" s="1"/>
  <c r="AR297" i="5"/>
  <c r="AQ27" i="5"/>
  <c r="AQ297" i="5" s="1"/>
  <c r="AP297" i="5"/>
  <c r="BM383" i="54"/>
  <c r="AP313" i="54"/>
  <c r="AQ43" i="54"/>
  <c r="AQ313" i="54" s="1"/>
  <c r="BU117" i="54"/>
  <c r="BS117" i="54"/>
  <c r="BT117" i="54"/>
  <c r="BS103" i="54"/>
  <c r="BU103" i="54"/>
  <c r="BT103" i="54"/>
  <c r="BT113" i="54"/>
  <c r="BU113" i="54"/>
  <c r="BS113" i="54"/>
  <c r="BE43" i="54"/>
  <c r="BE313" i="54" s="1"/>
  <c r="AW43" i="54"/>
  <c r="AY313" i="54"/>
  <c r="AZ43" i="54"/>
  <c r="AZ313" i="54" s="1"/>
  <c r="BU97" i="54"/>
  <c r="BT97" i="54"/>
  <c r="BS97" i="54"/>
  <c r="BS101" i="54"/>
  <c r="BU101" i="54"/>
  <c r="BT101" i="54"/>
  <c r="BS100" i="54"/>
  <c r="BT100" i="54"/>
  <c r="BU100" i="54"/>
  <c r="AP329" i="54"/>
  <c r="AQ59" i="54"/>
  <c r="AQ329" i="54" s="1"/>
  <c r="BU114" i="54"/>
  <c r="BT114" i="54"/>
  <c r="BS114" i="54"/>
  <c r="BS105" i="54"/>
  <c r="BT105" i="54"/>
  <c r="BU105" i="54"/>
  <c r="BU102" i="54"/>
  <c r="BT102" i="54"/>
  <c r="BS102" i="54"/>
  <c r="BS116" i="54"/>
  <c r="BU116" i="54"/>
  <c r="BT116" i="54"/>
  <c r="BS106" i="54"/>
  <c r="BT106" i="54"/>
  <c r="BU106" i="54"/>
  <c r="BT99" i="54"/>
  <c r="BU99" i="54"/>
  <c r="BS99" i="54"/>
  <c r="BU115" i="54"/>
  <c r="BT115" i="54"/>
  <c r="BS115" i="54"/>
  <c r="BS104" i="54"/>
  <c r="BU104" i="54"/>
  <c r="BT104" i="54"/>
  <c r="BE59" i="54"/>
  <c r="BE329" i="54" s="1"/>
  <c r="AW59" i="54"/>
  <c r="AL59" i="54" s="1"/>
  <c r="AL329" i="54" s="1"/>
  <c r="AY329" i="54"/>
  <c r="AZ59" i="54"/>
  <c r="AZ329" i="54" s="1"/>
  <c r="X50" i="18"/>
  <c r="Z52" i="18" s="1"/>
  <c r="BW119" i="54"/>
  <c r="BH119" i="54"/>
  <c r="BH389" i="54" s="1"/>
  <c r="BV119" i="54"/>
  <c r="AQ43" i="5"/>
  <c r="AQ313" i="5" s="1"/>
  <c r="AP313" i="5"/>
  <c r="AS113" i="5"/>
  <c r="AS383" i="5" s="1"/>
  <c r="BE329" i="5"/>
  <c r="AZ59" i="5"/>
  <c r="AZ329" i="5" s="1"/>
  <c r="AL59" i="5"/>
  <c r="AL329" i="5" s="1"/>
  <c r="AZ43" i="5"/>
  <c r="AZ313" i="5" s="1"/>
  <c r="BE313" i="5"/>
  <c r="W47" i="18"/>
  <c r="X118" i="18"/>
  <c r="W41" i="18"/>
  <c r="X116" i="18"/>
  <c r="X115" i="18"/>
  <c r="X114" i="18"/>
  <c r="W29" i="18"/>
  <c r="AW115" i="5"/>
  <c r="AL115" i="5" s="1"/>
  <c r="AS115" i="5"/>
  <c r="AS385" i="5" s="1"/>
  <c r="AR128" i="5"/>
  <c r="BH128" i="5" s="1"/>
  <c r="AZ114" i="5"/>
  <c r="AZ384" i="5" s="1"/>
  <c r="AZ115" i="5"/>
  <c r="AZ385" i="5" s="1"/>
  <c r="AZ117" i="5"/>
  <c r="AZ387" i="5" s="1"/>
  <c r="AZ113" i="5"/>
  <c r="AZ383" i="5" s="1"/>
  <c r="AZ116" i="5"/>
  <c r="AZ386" i="5" s="1"/>
  <c r="AW114" i="5"/>
  <c r="AL114" i="5" s="1"/>
  <c r="AW116" i="5"/>
  <c r="AL116" i="5" s="1"/>
  <c r="AW113" i="5"/>
  <c r="AW117" i="5"/>
  <c r="AL117" i="5" s="1"/>
  <c r="AQ386" i="5"/>
  <c r="BA387" i="5"/>
  <c r="AR387" i="5"/>
  <c r="AR386" i="5"/>
  <c r="BA386" i="5"/>
  <c r="BA385" i="5"/>
  <c r="AR385" i="5"/>
  <c r="BA384" i="5"/>
  <c r="AR384" i="5"/>
  <c r="BA383" i="5"/>
  <c r="AR130" i="5"/>
  <c r="BH130" i="5" s="1"/>
  <c r="BA129" i="5"/>
  <c r="AZ396" i="5"/>
  <c r="BA126" i="5"/>
  <c r="BA127" i="5"/>
  <c r="X112" i="18"/>
  <c r="X111" i="18"/>
  <c r="X110" i="18"/>
  <c r="X125" i="18"/>
  <c r="W61" i="18"/>
  <c r="BE117" i="5"/>
  <c r="BE116" i="5"/>
  <c r="BE114" i="5"/>
  <c r="BE115" i="5"/>
  <c r="BE113" i="5"/>
  <c r="AQ130" i="5"/>
  <c r="AP384" i="5"/>
  <c r="AS384" i="5"/>
  <c r="AQ384" i="5"/>
  <c r="BB384" i="5"/>
  <c r="AY384" i="5"/>
  <c r="AQ387" i="5"/>
  <c r="AS387" i="5"/>
  <c r="AP387" i="5"/>
  <c r="BB386" i="5"/>
  <c r="AY386" i="5"/>
  <c r="BB385" i="5"/>
  <c r="AY385" i="5"/>
  <c r="AZ127" i="5"/>
  <c r="AZ397" i="5" s="1"/>
  <c r="AY397" i="5"/>
  <c r="AS386" i="5"/>
  <c r="AP386" i="5"/>
  <c r="AQ385" i="5"/>
  <c r="AP385" i="5"/>
  <c r="AQ383" i="5"/>
  <c r="AP383" i="5"/>
  <c r="BB383" i="5"/>
  <c r="AQ126" i="5"/>
  <c r="AP396" i="5"/>
  <c r="BB387" i="5"/>
  <c r="AZ129" i="5"/>
  <c r="AZ399" i="5" s="1"/>
  <c r="AY399" i="5"/>
  <c r="AQ128" i="5"/>
  <c r="AQ398" i="5" s="1"/>
  <c r="AP398" i="5"/>
  <c r="BS128" i="5"/>
  <c r="BT128" i="5"/>
  <c r="BU128" i="5"/>
  <c r="BT129" i="5"/>
  <c r="BS129" i="5"/>
  <c r="BU129" i="5"/>
  <c r="BS127" i="5"/>
  <c r="BT127" i="5"/>
  <c r="BU127" i="5"/>
  <c r="AQ127" i="5"/>
  <c r="AQ397" i="5" s="1"/>
  <c r="AP397" i="5"/>
  <c r="X109" i="18"/>
  <c r="BU114" i="5"/>
  <c r="BT114" i="5"/>
  <c r="BS114" i="5"/>
  <c r="AY383" i="5"/>
  <c r="BS113" i="5"/>
  <c r="BT113" i="5"/>
  <c r="BU113" i="5"/>
  <c r="BS115" i="5"/>
  <c r="BT115" i="5"/>
  <c r="BU115" i="5"/>
  <c r="AY387" i="5"/>
  <c r="BU116" i="5"/>
  <c r="BT116" i="5"/>
  <c r="BS116" i="5"/>
  <c r="BT117" i="5"/>
  <c r="BS117" i="5"/>
  <c r="BU117" i="5"/>
  <c r="AY396" i="5"/>
  <c r="BU126" i="5"/>
  <c r="BT126" i="5"/>
  <c r="W50" i="18"/>
  <c r="AP400" i="5"/>
  <c r="BS130" i="5"/>
  <c r="BU130" i="5"/>
  <c r="BT130" i="5"/>
  <c r="X29" i="18"/>
  <c r="X41" i="18"/>
  <c r="X53" i="18"/>
  <c r="X47" i="18"/>
  <c r="W14" i="18"/>
  <c r="X108" i="18"/>
  <c r="W11" i="18"/>
  <c r="X107" i="18"/>
  <c r="BH27" i="5" l="1"/>
  <c r="BH297" i="5" s="1"/>
  <c r="BR27" i="5"/>
  <c r="BT27" i="5"/>
  <c r="BQ27" i="5"/>
  <c r="AW329" i="5"/>
  <c r="BM329" i="5" s="1"/>
  <c r="AJ59" i="5"/>
  <c r="AJ329" i="5" s="1"/>
  <c r="AL27" i="5"/>
  <c r="AL297" i="5" s="1"/>
  <c r="AJ27" i="5"/>
  <c r="AJ297" i="5" s="1"/>
  <c r="BU27" i="5"/>
  <c r="BW27" i="5" s="1"/>
  <c r="AW297" i="5"/>
  <c r="BM297" i="5" s="1"/>
  <c r="BU43" i="5"/>
  <c r="BQ59" i="54"/>
  <c r="Y50" i="18"/>
  <c r="AJ43" i="54"/>
  <c r="AJ313" i="54" s="1"/>
  <c r="BH43" i="54"/>
  <c r="BH313" i="54" s="1"/>
  <c r="BR43" i="54"/>
  <c r="BQ43" i="54"/>
  <c r="BV43" i="54" s="1"/>
  <c r="BV54" i="54" s="1"/>
  <c r="BT43" i="54"/>
  <c r="BU43" i="54"/>
  <c r="BW43" i="54" s="1"/>
  <c r="BW54" i="54" s="1"/>
  <c r="BM43" i="54"/>
  <c r="AW313" i="54"/>
  <c r="BM313" i="54" s="1"/>
  <c r="BU59" i="54"/>
  <c r="BT59" i="54"/>
  <c r="BV59" i="54"/>
  <c r="BV70" i="54" s="1"/>
  <c r="BR59" i="54"/>
  <c r="AW329" i="54"/>
  <c r="BM329" i="54" s="1"/>
  <c r="BM59" i="54"/>
  <c r="BW59" i="54"/>
  <c r="BW70" i="54" s="1"/>
  <c r="AJ59" i="54"/>
  <c r="AJ329" i="54" s="1"/>
  <c r="BH59" i="54"/>
  <c r="BH329" i="54" s="1"/>
  <c r="Y51" i="18"/>
  <c r="Z50" i="18"/>
  <c r="Z120" i="18" s="1"/>
  <c r="Y52" i="18"/>
  <c r="Z51" i="18"/>
  <c r="X17" i="18"/>
  <c r="Z19" i="18" s="1"/>
  <c r="X35" i="18"/>
  <c r="X20" i="18"/>
  <c r="Z22" i="18" s="1"/>
  <c r="X23" i="18"/>
  <c r="Z23" i="18" s="1"/>
  <c r="Z111" i="18" s="1"/>
  <c r="X38" i="18"/>
  <c r="Z39" i="18" s="1"/>
  <c r="X26" i="18"/>
  <c r="Y27" i="18" s="1"/>
  <c r="X44" i="18"/>
  <c r="Y45" i="18" s="1"/>
  <c r="X32" i="18"/>
  <c r="Y34" i="18" s="1"/>
  <c r="AF50" i="53"/>
  <c r="AW313" i="5"/>
  <c r="BM313" i="5" s="1"/>
  <c r="BH43" i="5"/>
  <c r="BH313" i="5" s="1"/>
  <c r="BH329" i="5"/>
  <c r="BU59" i="5"/>
  <c r="BW59" i="5" s="1"/>
  <c r="BW70" i="5" s="1"/>
  <c r="AJ43" i="5"/>
  <c r="AJ313" i="5" s="1"/>
  <c r="BT43" i="5"/>
  <c r="BW43" i="5"/>
  <c r="BW54" i="5" s="1"/>
  <c r="BQ43" i="5"/>
  <c r="BR43" i="5"/>
  <c r="Y36" i="18"/>
  <c r="Y42" i="18"/>
  <c r="Z54" i="18"/>
  <c r="Z48" i="18"/>
  <c r="AR398" i="5"/>
  <c r="AJ115" i="5"/>
  <c r="AJ385" i="5" s="1"/>
  <c r="AJ113" i="5"/>
  <c r="AL113" i="5"/>
  <c r="AJ117" i="5"/>
  <c r="BV113" i="5"/>
  <c r="AJ116" i="5"/>
  <c r="AJ114" i="5"/>
  <c r="BV114" i="5" s="1"/>
  <c r="AL385" i="5"/>
  <c r="BH129" i="5"/>
  <c r="BA397" i="5"/>
  <c r="AQ400" i="5"/>
  <c r="BA399" i="5"/>
  <c r="BH117" i="5"/>
  <c r="BH114" i="5"/>
  <c r="BH115" i="5"/>
  <c r="BH116" i="5"/>
  <c r="BH113" i="5"/>
  <c r="AQ396" i="5"/>
  <c r="AR126" i="5"/>
  <c r="AR127" i="5"/>
  <c r="X61" i="18"/>
  <c r="AR105" i="5"/>
  <c r="AS105" i="5" s="1"/>
  <c r="AP105" i="5"/>
  <c r="AQ105" i="5" s="1"/>
  <c r="AY105" i="5"/>
  <c r="BA105" i="5"/>
  <c r="BA375" i="5" s="1"/>
  <c r="BQ105" i="5"/>
  <c r="X14" i="18"/>
  <c r="W375" i="5"/>
  <c r="R369" i="5"/>
  <c r="R375" i="5"/>
  <c r="AR400" i="5"/>
  <c r="Z47" i="18"/>
  <c r="Z49" i="18"/>
  <c r="Y48" i="18"/>
  <c r="BM113" i="5"/>
  <c r="BV115" i="5"/>
  <c r="BV116" i="5"/>
  <c r="AW385" i="5"/>
  <c r="AW384" i="5"/>
  <c r="AW383" i="5"/>
  <c r="BE385" i="5"/>
  <c r="AW387" i="5"/>
  <c r="BE386" i="5"/>
  <c r="AW386" i="5"/>
  <c r="BE384" i="5"/>
  <c r="Y24" i="18"/>
  <c r="Z24" i="18"/>
  <c r="Z41" i="18"/>
  <c r="Z42" i="18"/>
  <c r="Z43" i="18"/>
  <c r="Z35" i="18"/>
  <c r="Z55" i="18"/>
  <c r="BE387" i="5"/>
  <c r="BV117" i="5"/>
  <c r="BE383" i="5"/>
  <c r="BA396" i="5"/>
  <c r="Y54" i="18"/>
  <c r="Z53" i="18"/>
  <c r="Y47" i="18"/>
  <c r="Y49" i="18"/>
  <c r="BV130" i="5"/>
  <c r="Y41" i="18"/>
  <c r="Y43" i="18"/>
  <c r="Y53" i="18"/>
  <c r="Y55" i="18"/>
  <c r="Z37" i="18"/>
  <c r="Y37" i="18"/>
  <c r="Y35" i="18"/>
  <c r="Z36" i="18"/>
  <c r="Z31" i="18"/>
  <c r="Y29" i="18"/>
  <c r="Y31" i="18"/>
  <c r="Z30" i="18"/>
  <c r="Y30" i="18"/>
  <c r="Z29" i="18"/>
  <c r="X11" i="18"/>
  <c r="Y11" i="18" s="1"/>
  <c r="Y107" i="18" s="1"/>
  <c r="Y120" i="18"/>
  <c r="BH70" i="54" l="1"/>
  <c r="AF13" i="53" s="1"/>
  <c r="BH54" i="54"/>
  <c r="AF12" i="53" s="1"/>
  <c r="Y28" i="18"/>
  <c r="Z27" i="18"/>
  <c r="Y26" i="18"/>
  <c r="Y112" i="18" s="1"/>
  <c r="CB83" i="5" s="1"/>
  <c r="Z28" i="18"/>
  <c r="Y40" i="18"/>
  <c r="Z25" i="18"/>
  <c r="Y25" i="18"/>
  <c r="Y39" i="18"/>
  <c r="Z38" i="18"/>
  <c r="Z116" i="18" s="1"/>
  <c r="Z40" i="18"/>
  <c r="Y38" i="18"/>
  <c r="Y116" i="18" s="1"/>
  <c r="Y23" i="18"/>
  <c r="Y111" i="18" s="1"/>
  <c r="Z26" i="18"/>
  <c r="Z112" i="18" s="1"/>
  <c r="W83" i="5" s="1"/>
  <c r="Y20" i="18"/>
  <c r="Y110" i="18" s="1"/>
  <c r="R81" i="5" s="1"/>
  <c r="Z34" i="18"/>
  <c r="Y32" i="18"/>
  <c r="Y114" i="18" s="1"/>
  <c r="Z33" i="18"/>
  <c r="Y33" i="18"/>
  <c r="Z32" i="18"/>
  <c r="Z114" i="18" s="1"/>
  <c r="CG82" i="5"/>
  <c r="Z17" i="18"/>
  <c r="Z109" i="18" s="1"/>
  <c r="Y17" i="18"/>
  <c r="Y109" i="18" s="1"/>
  <c r="R80" i="5" s="1"/>
  <c r="R350" i="5" s="1"/>
  <c r="BH340" i="54"/>
  <c r="CB91" i="5"/>
  <c r="Y18" i="18"/>
  <c r="Y19" i="18"/>
  <c r="CG91" i="5"/>
  <c r="CB82" i="5"/>
  <c r="Y21" i="18"/>
  <c r="Z44" i="18"/>
  <c r="Z118" i="18" s="1"/>
  <c r="W89" i="5" s="1"/>
  <c r="W359" i="5" s="1"/>
  <c r="Z46" i="18"/>
  <c r="Y46" i="18"/>
  <c r="Z45" i="18"/>
  <c r="Y44" i="18"/>
  <c r="Y118" i="18" s="1"/>
  <c r="Z20" i="18"/>
  <c r="Z110" i="18" s="1"/>
  <c r="Z21" i="18"/>
  <c r="Y22" i="18"/>
  <c r="Z18" i="18"/>
  <c r="W91" i="5"/>
  <c r="AP50" i="53"/>
  <c r="AO50" i="53"/>
  <c r="R91" i="5"/>
  <c r="R361" i="5" s="1"/>
  <c r="BM383" i="5"/>
  <c r="BH54" i="5"/>
  <c r="AF12" i="52" s="1"/>
  <c r="BH70" i="5"/>
  <c r="AF13" i="52" s="1"/>
  <c r="BS59" i="5"/>
  <c r="BV59" i="5" s="1"/>
  <c r="BV70" i="5" s="1"/>
  <c r="BS43" i="5"/>
  <c r="BV43" i="5" s="1"/>
  <c r="BV54" i="5" s="1"/>
  <c r="R83" i="5"/>
  <c r="R353" i="5" s="1"/>
  <c r="R82" i="5"/>
  <c r="R352" i="5" s="1"/>
  <c r="Z117" i="18"/>
  <c r="Z115" i="18"/>
  <c r="Z113" i="18"/>
  <c r="Y113" i="18"/>
  <c r="Y115" i="18"/>
  <c r="Y117" i="18"/>
  <c r="Z121" i="18"/>
  <c r="Z63" i="18"/>
  <c r="Y121" i="18"/>
  <c r="Y119" i="18"/>
  <c r="Z119" i="18"/>
  <c r="W82" i="5"/>
  <c r="AQ375" i="5"/>
  <c r="AL386" i="5"/>
  <c r="AJ384" i="5"/>
  <c r="AL383" i="5"/>
  <c r="AL384" i="5"/>
  <c r="AJ383" i="5"/>
  <c r="AL387" i="5"/>
  <c r="AJ387" i="5"/>
  <c r="AJ386" i="5"/>
  <c r="AP100" i="5"/>
  <c r="AQ100" i="5" s="1"/>
  <c r="AR100" i="5"/>
  <c r="AS100" i="5" s="1"/>
  <c r="AR397" i="5"/>
  <c r="AR99" i="5"/>
  <c r="AW105" i="5"/>
  <c r="Z11" i="18"/>
  <c r="Z107" i="18" s="1"/>
  <c r="Z12" i="18"/>
  <c r="Y14" i="18"/>
  <c r="Y108" i="18" s="1"/>
  <c r="Z14" i="18"/>
  <c r="Z108" i="18" s="1"/>
  <c r="BH126" i="5"/>
  <c r="BH119" i="5"/>
  <c r="BW115" i="5"/>
  <c r="AR375" i="5"/>
  <c r="Y63" i="18"/>
  <c r="Y61" i="18"/>
  <c r="Y62" i="18"/>
  <c r="BM126" i="5"/>
  <c r="BH127" i="5"/>
  <c r="Z61" i="18"/>
  <c r="Z62" i="18"/>
  <c r="BV119" i="5"/>
  <c r="AR104" i="5"/>
  <c r="AP104" i="5"/>
  <c r="AQ104" i="5" s="1"/>
  <c r="BA104" i="5"/>
  <c r="BA374" i="5" s="1"/>
  <c r="AY104" i="5"/>
  <c r="AP101" i="5"/>
  <c r="AQ101" i="5" s="1"/>
  <c r="AY101" i="5"/>
  <c r="BA101" i="5"/>
  <c r="BA371" i="5" s="1"/>
  <c r="AR101" i="5"/>
  <c r="AS101" i="5" s="1"/>
  <c r="AP103" i="5"/>
  <c r="AQ103" i="5" s="1"/>
  <c r="BA103" i="5"/>
  <c r="BA373" i="5" s="1"/>
  <c r="AR103" i="5"/>
  <c r="AS103" i="5" s="1"/>
  <c r="AY103" i="5"/>
  <c r="BA100" i="5"/>
  <c r="BA370" i="5" s="1"/>
  <c r="AY100" i="5"/>
  <c r="AY106" i="5"/>
  <c r="AR106" i="5"/>
  <c r="AS106" i="5" s="1"/>
  <c r="AP106" i="5"/>
  <c r="AQ106" i="5" s="1"/>
  <c r="BA106" i="5"/>
  <c r="BA376" i="5" s="1"/>
  <c r="AP102" i="5"/>
  <c r="AQ102" i="5" s="1"/>
  <c r="BA102" i="5"/>
  <c r="BA372" i="5" s="1"/>
  <c r="AY102" i="5"/>
  <c r="AR102" i="5"/>
  <c r="AS102" i="5" s="1"/>
  <c r="AZ105" i="5"/>
  <c r="AZ375" i="5" s="1"/>
  <c r="BE105" i="5"/>
  <c r="AY97" i="5"/>
  <c r="AR97" i="5"/>
  <c r="AP97" i="5"/>
  <c r="AQ97" i="5" s="1"/>
  <c r="BA97" i="5"/>
  <c r="BA367" i="5" s="1"/>
  <c r="BQ99" i="5"/>
  <c r="BT99" i="5" s="1"/>
  <c r="AY99" i="5"/>
  <c r="AP99" i="5"/>
  <c r="AQ99" i="5" s="1"/>
  <c r="BA99" i="5"/>
  <c r="BA369" i="5" s="1"/>
  <c r="Y16" i="18"/>
  <c r="Z16" i="18"/>
  <c r="BQ97" i="5"/>
  <c r="BQ102" i="5"/>
  <c r="Y15" i="18"/>
  <c r="BQ106" i="5"/>
  <c r="BQ100" i="5"/>
  <c r="BQ101" i="5"/>
  <c r="Z15" i="18"/>
  <c r="BQ104" i="5"/>
  <c r="BQ103" i="5"/>
  <c r="R367" i="5"/>
  <c r="R372" i="5"/>
  <c r="W371" i="5"/>
  <c r="W374" i="5"/>
  <c r="R370" i="5"/>
  <c r="W373" i="5"/>
  <c r="W370" i="5"/>
  <c r="R373" i="5"/>
  <c r="W376" i="5"/>
  <c r="W367" i="5"/>
  <c r="W372" i="5"/>
  <c r="W369" i="5"/>
  <c r="R374" i="5"/>
  <c r="AY375" i="5"/>
  <c r="BB105" i="5"/>
  <c r="BB375" i="5" s="1"/>
  <c r="R376" i="5"/>
  <c r="AS375" i="5"/>
  <c r="AP375" i="5"/>
  <c r="R371" i="5"/>
  <c r="BU105" i="5"/>
  <c r="BT105" i="5"/>
  <c r="BS105" i="5"/>
  <c r="AR396" i="5"/>
  <c r="BW114" i="5"/>
  <c r="BW116" i="5"/>
  <c r="BH385" i="5"/>
  <c r="BH386" i="5"/>
  <c r="BV126" i="5"/>
  <c r="BH384" i="5"/>
  <c r="Y12" i="18"/>
  <c r="Y13" i="18"/>
  <c r="BV127" i="5"/>
  <c r="BV128" i="5"/>
  <c r="BV129" i="5"/>
  <c r="BH383" i="5"/>
  <c r="BH387" i="5"/>
  <c r="BW113" i="5"/>
  <c r="BW117" i="5"/>
  <c r="BH400" i="5"/>
  <c r="BW130" i="5"/>
  <c r="Z13" i="18"/>
  <c r="BH324" i="54" l="1"/>
  <c r="BS27" i="5"/>
  <c r="BV27" i="5" s="1"/>
  <c r="BQ91" i="5"/>
  <c r="BS91" i="5" s="1"/>
  <c r="CB81" i="5"/>
  <c r="CG83" i="5"/>
  <c r="AR91" i="5"/>
  <c r="AS91" i="5" s="1"/>
  <c r="AS361" i="5" s="1"/>
  <c r="AP91" i="5"/>
  <c r="AQ91" i="5" s="1"/>
  <c r="AQ361" i="5" s="1"/>
  <c r="AY91" i="5"/>
  <c r="BE91" i="5" s="1"/>
  <c r="W80" i="5"/>
  <c r="W350" i="5" s="1"/>
  <c r="BA91" i="5"/>
  <c r="BB91" i="5" s="1"/>
  <c r="BB361" i="5" s="1"/>
  <c r="W361" i="5"/>
  <c r="CB90" i="5"/>
  <c r="CG87" i="5"/>
  <c r="AP13" i="53"/>
  <c r="AO13" i="53"/>
  <c r="CB92" i="5"/>
  <c r="CG84" i="5"/>
  <c r="CG86" i="5"/>
  <c r="W81" i="5"/>
  <c r="W351" i="5" s="1"/>
  <c r="CG81" i="5"/>
  <c r="CB80" i="5"/>
  <c r="CG79" i="5"/>
  <c r="CG92" i="5"/>
  <c r="CB87" i="5"/>
  <c r="AO12" i="53"/>
  <c r="AP12" i="53"/>
  <c r="CB79" i="5"/>
  <c r="CB85" i="5"/>
  <c r="CG85" i="5"/>
  <c r="CB88" i="5"/>
  <c r="CG88" i="5"/>
  <c r="CG80" i="5"/>
  <c r="CG78" i="5"/>
  <c r="CB86" i="5"/>
  <c r="CB78" i="5"/>
  <c r="CG90" i="5"/>
  <c r="CB84" i="5"/>
  <c r="CG89" i="5"/>
  <c r="R89" i="5"/>
  <c r="AY89" i="5" s="1"/>
  <c r="CB89" i="5"/>
  <c r="R90" i="5"/>
  <c r="R360" i="5" s="1"/>
  <c r="R350" i="54"/>
  <c r="R92" i="5"/>
  <c r="R362" i="5" s="1"/>
  <c r="R353" i="54"/>
  <c r="R351" i="54"/>
  <c r="W92" i="5"/>
  <c r="W362" i="5" s="1"/>
  <c r="W352" i="54"/>
  <c r="R352" i="54"/>
  <c r="W361" i="54"/>
  <c r="W351" i="54"/>
  <c r="R88" i="5"/>
  <c r="R358" i="5" s="1"/>
  <c r="W88" i="5"/>
  <c r="W358" i="5" s="1"/>
  <c r="R361" i="54"/>
  <c r="W359" i="54"/>
  <c r="R359" i="54"/>
  <c r="W90" i="5"/>
  <c r="W350" i="54"/>
  <c r="W353" i="54"/>
  <c r="W78" i="5"/>
  <c r="BM396" i="5"/>
  <c r="AF228" i="52"/>
  <c r="BH340" i="5"/>
  <c r="AF228" i="53"/>
  <c r="BH324" i="5"/>
  <c r="AF266" i="53"/>
  <c r="AT50" i="53"/>
  <c r="AU50" i="53" s="1"/>
  <c r="BQ83" i="5"/>
  <c r="BS83" i="5" s="1"/>
  <c r="AP83" i="5"/>
  <c r="AQ83" i="5" s="1"/>
  <c r="AQ353" i="5" s="1"/>
  <c r="AS97" i="5"/>
  <c r="AS367" i="5" s="1"/>
  <c r="AW97" i="5"/>
  <c r="AP81" i="5"/>
  <c r="AQ81" i="5" s="1"/>
  <c r="AQ351" i="5" s="1"/>
  <c r="R351" i="5"/>
  <c r="R78" i="5"/>
  <c r="W84" i="5"/>
  <c r="W354" i="5" s="1"/>
  <c r="W87" i="5"/>
  <c r="R87" i="5"/>
  <c r="R357" i="5" s="1"/>
  <c r="R85" i="5"/>
  <c r="R355" i="5" s="1"/>
  <c r="W85" i="5"/>
  <c r="W355" i="5" s="1"/>
  <c r="W79" i="5"/>
  <c r="R79" i="5"/>
  <c r="R86" i="5"/>
  <c r="R356" i="5" s="1"/>
  <c r="R84" i="5"/>
  <c r="W86" i="5"/>
  <c r="W356" i="5" s="1"/>
  <c r="Y125" i="18"/>
  <c r="Z125" i="18"/>
  <c r="AF50" i="52"/>
  <c r="AF265" i="52" s="1"/>
  <c r="AS99" i="5"/>
  <c r="AS369" i="5" s="1"/>
  <c r="AR374" i="5"/>
  <c r="AS104" i="5"/>
  <c r="AS374" i="5" s="1"/>
  <c r="AJ105" i="5"/>
  <c r="AL105" i="5"/>
  <c r="AQ367" i="5"/>
  <c r="AQ374" i="5"/>
  <c r="AQ376" i="5"/>
  <c r="AQ373" i="5"/>
  <c r="AQ369" i="5"/>
  <c r="AQ370" i="5"/>
  <c r="BA83" i="5"/>
  <c r="AY83" i="5"/>
  <c r="W353" i="5"/>
  <c r="AR83" i="5"/>
  <c r="AS83" i="5" s="1"/>
  <c r="AW100" i="5"/>
  <c r="AW99" i="5"/>
  <c r="AW106" i="5"/>
  <c r="AW104" i="5"/>
  <c r="AW103" i="5"/>
  <c r="AW102" i="5"/>
  <c r="AW101" i="5"/>
  <c r="BH396" i="5"/>
  <c r="AR369" i="5"/>
  <c r="AR372" i="5"/>
  <c r="AR371" i="5"/>
  <c r="AR370" i="5"/>
  <c r="BQ82" i="5"/>
  <c r="BS82" i="5" s="1"/>
  <c r="BH105" i="5"/>
  <c r="AR373" i="5"/>
  <c r="AR376" i="5"/>
  <c r="AR367" i="5"/>
  <c r="BS99" i="5"/>
  <c r="AZ102" i="5"/>
  <c r="AZ372" i="5" s="1"/>
  <c r="BE102" i="5"/>
  <c r="BU99" i="5"/>
  <c r="AZ100" i="5"/>
  <c r="AZ370" i="5" s="1"/>
  <c r="AZ101" i="5"/>
  <c r="AZ371" i="5" s="1"/>
  <c r="BE101" i="5"/>
  <c r="BB97" i="5"/>
  <c r="BB367" i="5" s="1"/>
  <c r="BE97" i="5"/>
  <c r="AZ103" i="5"/>
  <c r="AZ373" i="5" s="1"/>
  <c r="BE103" i="5"/>
  <c r="AZ104" i="5"/>
  <c r="AZ374" i="5" s="1"/>
  <c r="BE104" i="5"/>
  <c r="AZ99" i="5"/>
  <c r="AZ369" i="5" s="1"/>
  <c r="AZ106" i="5"/>
  <c r="AZ376" i="5" s="1"/>
  <c r="BE106" i="5"/>
  <c r="BE99" i="5"/>
  <c r="BE100" i="5"/>
  <c r="BS101" i="5"/>
  <c r="BU101" i="5"/>
  <c r="BT101" i="5"/>
  <c r="AP369" i="5"/>
  <c r="AY367" i="5"/>
  <c r="AZ97" i="5"/>
  <c r="AZ367" i="5" s="1"/>
  <c r="AP370" i="5"/>
  <c r="AS370" i="5"/>
  <c r="BE375" i="5"/>
  <c r="BV105" i="5"/>
  <c r="AW375" i="5"/>
  <c r="AY369" i="5"/>
  <c r="BB99" i="5"/>
  <c r="BB369" i="5" s="1"/>
  <c r="AP367" i="5"/>
  <c r="BU103" i="5"/>
  <c r="BT103" i="5"/>
  <c r="BS103" i="5"/>
  <c r="AY373" i="5"/>
  <c r="BB103" i="5"/>
  <c r="BB373" i="5" s="1"/>
  <c r="AP372" i="5"/>
  <c r="AS372" i="5"/>
  <c r="AQ372" i="5"/>
  <c r="AP373" i="5"/>
  <c r="AS373" i="5"/>
  <c r="AP371" i="5"/>
  <c r="AS371" i="5"/>
  <c r="AQ371" i="5"/>
  <c r="BS97" i="5"/>
  <c r="BT97" i="5"/>
  <c r="BU97" i="5"/>
  <c r="BU104" i="5"/>
  <c r="BS104" i="5"/>
  <c r="BT104" i="5"/>
  <c r="BT106" i="5"/>
  <c r="BS106" i="5"/>
  <c r="BU106" i="5"/>
  <c r="AY372" i="5"/>
  <c r="BB102" i="5"/>
  <c r="BB372" i="5" s="1"/>
  <c r="AP376" i="5"/>
  <c r="AS376" i="5"/>
  <c r="AY370" i="5"/>
  <c r="BB100" i="5"/>
  <c r="BB370" i="5" s="1"/>
  <c r="AP374" i="5"/>
  <c r="AY371" i="5"/>
  <c r="BB101" i="5"/>
  <c r="BB371" i="5" s="1"/>
  <c r="AY376" i="5"/>
  <c r="BB106" i="5"/>
  <c r="BB376" i="5" s="1"/>
  <c r="BU100" i="5"/>
  <c r="BT100" i="5"/>
  <c r="BS100" i="5"/>
  <c r="AY374" i="5"/>
  <c r="BB104" i="5"/>
  <c r="BB374" i="5" s="1"/>
  <c r="BT102" i="5"/>
  <c r="BU102" i="5"/>
  <c r="BS102" i="5"/>
  <c r="BW126" i="5"/>
  <c r="AY82" i="5"/>
  <c r="AR82" i="5"/>
  <c r="AS82" i="5" s="1"/>
  <c r="BH389" i="5"/>
  <c r="BA82" i="5"/>
  <c r="BB82" i="5" s="1"/>
  <c r="W352" i="5"/>
  <c r="BV132" i="5"/>
  <c r="BW127" i="5"/>
  <c r="BH399" i="5"/>
  <c r="BW128" i="5"/>
  <c r="BH398" i="5"/>
  <c r="BH397" i="5"/>
  <c r="BH132" i="5"/>
  <c r="AF51" i="52" s="1"/>
  <c r="AF266" i="52" s="1"/>
  <c r="BW129" i="5"/>
  <c r="BW119" i="5"/>
  <c r="AP82" i="5"/>
  <c r="AQ82" i="5" s="1"/>
  <c r="AY80" i="5" l="1"/>
  <c r="AP80" i="5"/>
  <c r="AQ80" i="5" s="1"/>
  <c r="BA80" i="5"/>
  <c r="BQ80" i="5"/>
  <c r="BU80" i="5" s="1"/>
  <c r="AR80" i="5"/>
  <c r="AS80" i="5" s="1"/>
  <c r="BU91" i="5"/>
  <c r="AP361" i="5"/>
  <c r="BT91" i="5"/>
  <c r="AR361" i="5"/>
  <c r="AY361" i="5"/>
  <c r="AW91" i="5"/>
  <c r="BV91" i="5" s="1"/>
  <c r="BA81" i="5"/>
  <c r="BB81" i="5" s="1"/>
  <c r="BB351" i="5" s="1"/>
  <c r="AZ91" i="5"/>
  <c r="AZ361" i="5" s="1"/>
  <c r="BA361" i="5"/>
  <c r="AY81" i="5"/>
  <c r="AZ81" i="5" s="1"/>
  <c r="AZ351" i="5" s="1"/>
  <c r="AR81" i="5"/>
  <c r="AS81" i="5" s="1"/>
  <c r="AS351" i="5" s="1"/>
  <c r="BQ81" i="5"/>
  <c r="BS81" i="5" s="1"/>
  <c r="BQ88" i="5"/>
  <c r="BS88" i="5" s="1"/>
  <c r="AR88" i="5"/>
  <c r="AS88" i="5" s="1"/>
  <c r="AS358" i="5" s="1"/>
  <c r="AP92" i="5"/>
  <c r="AP362" i="5" s="1"/>
  <c r="BQ92" i="5"/>
  <c r="BU92" i="5" s="1"/>
  <c r="BA89" i="5"/>
  <c r="BB89" i="5" s="1"/>
  <c r="BB359" i="5" s="1"/>
  <c r="AR89" i="5"/>
  <c r="AS89" i="5" s="1"/>
  <c r="AS359" i="5" s="1"/>
  <c r="AP90" i="5"/>
  <c r="AQ90" i="5" s="1"/>
  <c r="AQ360" i="5" s="1"/>
  <c r="BQ89" i="5"/>
  <c r="AP359" i="54"/>
  <c r="R359" i="5"/>
  <c r="AR90" i="5"/>
  <c r="AS90" i="5" s="1"/>
  <c r="AS360" i="5" s="1"/>
  <c r="AO13" i="52"/>
  <c r="AP13" i="52"/>
  <c r="AY92" i="5"/>
  <c r="BE92" i="5" s="1"/>
  <c r="BA92" i="5"/>
  <c r="BB92" i="5" s="1"/>
  <c r="BB362" i="5" s="1"/>
  <c r="AY88" i="5"/>
  <c r="AY358" i="5" s="1"/>
  <c r="AZ89" i="5"/>
  <c r="AZ359" i="5" s="1"/>
  <c r="AY359" i="5"/>
  <c r="BE89" i="5"/>
  <c r="BE359" i="5" s="1"/>
  <c r="AP89" i="5"/>
  <c r="AP88" i="5"/>
  <c r="AQ88" i="5" s="1"/>
  <c r="AQ358" i="5" s="1"/>
  <c r="AR92" i="5"/>
  <c r="AS92" i="5" s="1"/>
  <c r="AS362" i="5" s="1"/>
  <c r="BA90" i="5"/>
  <c r="BB90" i="5" s="1"/>
  <c r="BB360" i="5" s="1"/>
  <c r="AY90" i="5"/>
  <c r="BE90" i="5" s="1"/>
  <c r="W360" i="5"/>
  <c r="BQ90" i="5"/>
  <c r="BS90" i="5" s="1"/>
  <c r="BA88" i="5"/>
  <c r="BA358" i="5" s="1"/>
  <c r="AR350" i="54"/>
  <c r="AS80" i="54"/>
  <c r="AS350" i="54" s="1"/>
  <c r="R357" i="54"/>
  <c r="AS83" i="54"/>
  <c r="AS353" i="54" s="1"/>
  <c r="AR353" i="54"/>
  <c r="BA350" i="54"/>
  <c r="BB80" i="54"/>
  <c r="BB350" i="54" s="1"/>
  <c r="R355" i="54"/>
  <c r="W356" i="54"/>
  <c r="W98" i="5"/>
  <c r="W98" i="54"/>
  <c r="CG98" i="54"/>
  <c r="R356" i="54"/>
  <c r="AP351" i="54"/>
  <c r="AQ81" i="54"/>
  <c r="AQ351" i="54" s="1"/>
  <c r="BH82" i="54"/>
  <c r="AY352" i="54"/>
  <c r="AZ82" i="54"/>
  <c r="AZ352" i="54" s="1"/>
  <c r="R98" i="5"/>
  <c r="R368" i="5" s="1"/>
  <c r="CB98" i="54"/>
  <c r="R98" i="54"/>
  <c r="AP353" i="54"/>
  <c r="AQ83" i="54"/>
  <c r="AQ353" i="54" s="1"/>
  <c r="AR351" i="54"/>
  <c r="AS81" i="54"/>
  <c r="AS351" i="54" s="1"/>
  <c r="AR361" i="54"/>
  <c r="AS91" i="54"/>
  <c r="AS361" i="54" s="1"/>
  <c r="BA352" i="54"/>
  <c r="BB82" i="54"/>
  <c r="BB352" i="54" s="1"/>
  <c r="W362" i="54"/>
  <c r="BE353" i="54"/>
  <c r="AY353" i="54"/>
  <c r="AZ83" i="54"/>
  <c r="AZ353" i="54" s="1"/>
  <c r="BH83" i="54"/>
  <c r="R354" i="54"/>
  <c r="AR359" i="54"/>
  <c r="AS89" i="54"/>
  <c r="AS359" i="54" s="1"/>
  <c r="W358" i="54"/>
  <c r="BA351" i="54"/>
  <c r="BB81" i="54"/>
  <c r="BB351" i="54" s="1"/>
  <c r="BA361" i="54"/>
  <c r="BB91" i="54"/>
  <c r="BB361" i="54" s="1"/>
  <c r="W354" i="54"/>
  <c r="W357" i="54"/>
  <c r="BA353" i="54"/>
  <c r="BB83" i="54"/>
  <c r="BB353" i="54" s="1"/>
  <c r="W360" i="54"/>
  <c r="AY359" i="54"/>
  <c r="AZ89" i="54"/>
  <c r="AZ359" i="54" s="1"/>
  <c r="BH89" i="54"/>
  <c r="AY351" i="54"/>
  <c r="AZ81" i="54"/>
  <c r="AZ351" i="54" s="1"/>
  <c r="BH91" i="54"/>
  <c r="AY361" i="54"/>
  <c r="AZ91" i="54"/>
  <c r="AZ361" i="54" s="1"/>
  <c r="AR352" i="54"/>
  <c r="AS82" i="54"/>
  <c r="AS352" i="54" s="1"/>
  <c r="R360" i="54"/>
  <c r="BH80" i="54"/>
  <c r="AY350" i="54"/>
  <c r="AZ80" i="54"/>
  <c r="AZ350" i="54" s="1"/>
  <c r="AP361" i="54"/>
  <c r="AQ91" i="54"/>
  <c r="AQ361" i="54" s="1"/>
  <c r="AP352" i="54"/>
  <c r="AQ82" i="54"/>
  <c r="AQ352" i="54" s="1"/>
  <c r="AP350" i="54"/>
  <c r="AQ80" i="54"/>
  <c r="AQ350" i="54" s="1"/>
  <c r="BA359" i="54"/>
  <c r="BB89" i="54"/>
  <c r="BB359" i="54" s="1"/>
  <c r="R358" i="54"/>
  <c r="W355" i="54"/>
  <c r="R362" i="54"/>
  <c r="R349" i="54"/>
  <c r="W349" i="54"/>
  <c r="R348" i="54"/>
  <c r="W348" i="54"/>
  <c r="AP351" i="5"/>
  <c r="AF229" i="53"/>
  <c r="AN50" i="53"/>
  <c r="AM50" i="53"/>
  <c r="AP12" i="52"/>
  <c r="AF227" i="52"/>
  <c r="AO12" i="52"/>
  <c r="AW82" i="5"/>
  <c r="AJ82" i="5" s="1"/>
  <c r="AZ80" i="5"/>
  <c r="AZ350" i="5" s="1"/>
  <c r="AW80" i="5"/>
  <c r="AJ80" i="5" s="1"/>
  <c r="BE80" i="5"/>
  <c r="BA350" i="5"/>
  <c r="BB80" i="5"/>
  <c r="BB350" i="5" s="1"/>
  <c r="AW83" i="5"/>
  <c r="BT83" i="5"/>
  <c r="BU83" i="5"/>
  <c r="AZ82" i="5"/>
  <c r="AZ352" i="5" s="1"/>
  <c r="BE82" i="5"/>
  <c r="BE83" i="5"/>
  <c r="AZ83" i="5"/>
  <c r="AZ353" i="5" s="1"/>
  <c r="AQ92" i="5"/>
  <c r="AQ362" i="5" s="1"/>
  <c r="BA353" i="5"/>
  <c r="BB83" i="5"/>
  <c r="BB353" i="5" s="1"/>
  <c r="AP353" i="5"/>
  <c r="W348" i="5"/>
  <c r="AR78" i="5"/>
  <c r="AS78" i="5" s="1"/>
  <c r="AR86" i="5"/>
  <c r="AS86" i="5" s="1"/>
  <c r="AS356" i="5" s="1"/>
  <c r="AR79" i="5"/>
  <c r="BQ78" i="5"/>
  <c r="BS78" i="5" s="1"/>
  <c r="AR350" i="5"/>
  <c r="AP86" i="5"/>
  <c r="AQ86" i="5" s="1"/>
  <c r="AQ356" i="5" s="1"/>
  <c r="BA79" i="5"/>
  <c r="AY84" i="5"/>
  <c r="BQ84" i="5"/>
  <c r="BU84" i="5" s="1"/>
  <c r="CB98" i="5"/>
  <c r="BQ87" i="5"/>
  <c r="BT87" i="5" s="1"/>
  <c r="BA85" i="5"/>
  <c r="R354" i="5"/>
  <c r="AR85" i="5"/>
  <c r="AR84" i="5"/>
  <c r="AY85" i="5"/>
  <c r="AP85" i="5"/>
  <c r="AP84" i="5"/>
  <c r="BA87" i="5"/>
  <c r="BQ85" i="5"/>
  <c r="BU85" i="5" s="1"/>
  <c r="BA84" i="5"/>
  <c r="BB84" i="5" s="1"/>
  <c r="AR87" i="5"/>
  <c r="W357" i="5"/>
  <c r="AY87" i="5"/>
  <c r="AP87" i="5"/>
  <c r="AQ87" i="5" s="1"/>
  <c r="AY86" i="5"/>
  <c r="AY356" i="5" s="1"/>
  <c r="BA86" i="5"/>
  <c r="BQ86" i="5"/>
  <c r="BT86" i="5" s="1"/>
  <c r="CG98" i="5"/>
  <c r="AP50" i="52"/>
  <c r="AO50" i="52"/>
  <c r="AY79" i="5"/>
  <c r="AS352" i="5"/>
  <c r="AS353" i="5"/>
  <c r="BB352" i="5"/>
  <c r="AL100" i="5"/>
  <c r="AJ100" i="5"/>
  <c r="AL101" i="5"/>
  <c r="AJ101" i="5"/>
  <c r="AJ106" i="5"/>
  <c r="AL106" i="5"/>
  <c r="AL99" i="5"/>
  <c r="AJ99" i="5"/>
  <c r="AL102" i="5"/>
  <c r="AJ102" i="5"/>
  <c r="AJ103" i="5"/>
  <c r="AL103" i="5"/>
  <c r="AL97" i="5"/>
  <c r="AJ97" i="5"/>
  <c r="AJ104" i="5"/>
  <c r="BV104" i="5" s="1"/>
  <c r="AL104" i="5"/>
  <c r="AQ352" i="5"/>
  <c r="AQ350" i="5"/>
  <c r="BV99" i="5"/>
  <c r="AL375" i="5"/>
  <c r="AJ375" i="5"/>
  <c r="AY353" i="5"/>
  <c r="AR353" i="5"/>
  <c r="BT82" i="5"/>
  <c r="BU82" i="5"/>
  <c r="BH375" i="5"/>
  <c r="BH106" i="5"/>
  <c r="BH103" i="5"/>
  <c r="BH100" i="5"/>
  <c r="AR352" i="5"/>
  <c r="BH99" i="5"/>
  <c r="BA352" i="5"/>
  <c r="BW105" i="5"/>
  <c r="BH102" i="5"/>
  <c r="BH104" i="5"/>
  <c r="BH101" i="5"/>
  <c r="AP78" i="5"/>
  <c r="AQ78" i="5" s="1"/>
  <c r="BH97" i="5"/>
  <c r="AS350" i="5"/>
  <c r="AY78" i="5"/>
  <c r="BA78" i="5"/>
  <c r="BB78" i="5" s="1"/>
  <c r="AW374" i="5"/>
  <c r="AW376" i="5"/>
  <c r="AW369" i="5"/>
  <c r="BE367" i="5"/>
  <c r="BV97" i="5"/>
  <c r="BE369" i="5"/>
  <c r="BE374" i="5"/>
  <c r="AW370" i="5"/>
  <c r="AW367" i="5"/>
  <c r="AW371" i="5"/>
  <c r="BE373" i="5"/>
  <c r="BV103" i="5"/>
  <c r="BE370" i="5"/>
  <c r="BV100" i="5"/>
  <c r="BE372" i="5"/>
  <c r="BV102" i="5"/>
  <c r="AW373" i="5"/>
  <c r="BE376" i="5"/>
  <c r="BV106" i="5"/>
  <c r="BE371" i="5"/>
  <c r="BV101" i="5"/>
  <c r="AW372" i="5"/>
  <c r="BH402" i="5"/>
  <c r="AY352" i="5"/>
  <c r="BW132" i="5"/>
  <c r="W349" i="5"/>
  <c r="AY350" i="5"/>
  <c r="BT80" i="5"/>
  <c r="BS80" i="5"/>
  <c r="R349" i="5"/>
  <c r="AP79" i="5"/>
  <c r="AQ79" i="5" s="1"/>
  <c r="BQ79" i="5"/>
  <c r="BT79" i="5" s="1"/>
  <c r="AP352" i="5"/>
  <c r="R348" i="5"/>
  <c r="BE361" i="5"/>
  <c r="AP350" i="5" l="1"/>
  <c r="AY362" i="5"/>
  <c r="AJ91" i="5"/>
  <c r="AW361" i="5"/>
  <c r="BH91" i="5"/>
  <c r="BH361" i="5" s="1"/>
  <c r="AL91" i="5"/>
  <c r="AR360" i="5"/>
  <c r="BA351" i="5"/>
  <c r="AP358" i="5"/>
  <c r="AY351" i="5"/>
  <c r="AZ92" i="5"/>
  <c r="AZ362" i="5" s="1"/>
  <c r="BE81" i="5"/>
  <c r="AR359" i="5"/>
  <c r="BU81" i="5"/>
  <c r="BT81" i="5"/>
  <c r="AR351" i="5"/>
  <c r="AW81" i="5"/>
  <c r="AJ81" i="5" s="1"/>
  <c r="AP360" i="5"/>
  <c r="BU88" i="5"/>
  <c r="BT88" i="5"/>
  <c r="AR358" i="5"/>
  <c r="BB88" i="5"/>
  <c r="BB358" i="5" s="1"/>
  <c r="AW89" i="5"/>
  <c r="AJ89" i="5" s="1"/>
  <c r="AJ359" i="5" s="1"/>
  <c r="BT92" i="5"/>
  <c r="BU90" i="5"/>
  <c r="BT90" i="5"/>
  <c r="BS92" i="5"/>
  <c r="BA98" i="5"/>
  <c r="BA368" i="5" s="1"/>
  <c r="AY360" i="5"/>
  <c r="AW88" i="5"/>
  <c r="AJ88" i="5" s="1"/>
  <c r="BT81" i="54"/>
  <c r="BH81" i="54"/>
  <c r="BH351" i="54" s="1"/>
  <c r="BS80" i="54"/>
  <c r="BH350" i="54"/>
  <c r="AQ89" i="54"/>
  <c r="AQ359" i="54" s="1"/>
  <c r="W368" i="5"/>
  <c r="BS89" i="5"/>
  <c r="BU89" i="5"/>
  <c r="BT89" i="5"/>
  <c r="BE88" i="5"/>
  <c r="BE358" i="5" s="1"/>
  <c r="BA362" i="5"/>
  <c r="AZ88" i="5"/>
  <c r="AZ358" i="5" s="1"/>
  <c r="BA359" i="5"/>
  <c r="BQ98" i="5"/>
  <c r="BS98" i="5" s="1"/>
  <c r="AR98" i="5"/>
  <c r="AS98" i="5" s="1"/>
  <c r="AS368" i="5" s="1"/>
  <c r="BA360" i="5"/>
  <c r="AP98" i="5"/>
  <c r="AQ98" i="5" s="1"/>
  <c r="AQ368" i="5" s="1"/>
  <c r="AY98" i="5"/>
  <c r="AZ98" i="5" s="1"/>
  <c r="AZ368" i="5" s="1"/>
  <c r="AW90" i="5"/>
  <c r="AL90" i="5" s="1"/>
  <c r="AZ90" i="5"/>
  <c r="AZ360" i="5" s="1"/>
  <c r="AQ89" i="5"/>
  <c r="AQ359" i="5" s="1"/>
  <c r="AP359" i="5"/>
  <c r="AR362" i="5"/>
  <c r="AW92" i="5"/>
  <c r="BH92" i="5" s="1"/>
  <c r="AR355" i="54"/>
  <c r="AS85" i="54"/>
  <c r="AS355" i="54" s="1"/>
  <c r="AR360" i="54"/>
  <c r="AS90" i="54"/>
  <c r="AS360" i="54" s="1"/>
  <c r="BA357" i="54"/>
  <c r="BB87" i="54"/>
  <c r="BB357" i="54" s="1"/>
  <c r="BA354" i="54"/>
  <c r="BB84" i="54"/>
  <c r="BB354" i="54" s="1"/>
  <c r="BA358" i="54"/>
  <c r="BB88" i="54"/>
  <c r="BB358" i="54" s="1"/>
  <c r="AY356" i="54"/>
  <c r="AZ86" i="54"/>
  <c r="AZ356" i="54" s="1"/>
  <c r="AY355" i="54"/>
  <c r="BH85" i="54"/>
  <c r="AZ85" i="54"/>
  <c r="AZ355" i="54" s="1"/>
  <c r="AP360" i="54"/>
  <c r="AQ90" i="54"/>
  <c r="AQ360" i="54" s="1"/>
  <c r="AS87" i="54"/>
  <c r="AS357" i="54" s="1"/>
  <c r="AR357" i="54"/>
  <c r="AP356" i="54"/>
  <c r="AQ86" i="54"/>
  <c r="AQ356" i="54" s="1"/>
  <c r="AP355" i="54"/>
  <c r="AQ85" i="54"/>
  <c r="AQ355" i="54" s="1"/>
  <c r="AJ81" i="54"/>
  <c r="AJ351" i="54" s="1"/>
  <c r="AW351" i="54"/>
  <c r="AL81" i="54"/>
  <c r="AL351" i="54" s="1"/>
  <c r="AZ90" i="54"/>
  <c r="AZ360" i="54" s="1"/>
  <c r="AY360" i="54"/>
  <c r="AP357" i="54"/>
  <c r="AQ87" i="54"/>
  <c r="AQ357" i="54" s="1"/>
  <c r="AR362" i="54"/>
  <c r="AS92" i="54"/>
  <c r="AS362" i="54" s="1"/>
  <c r="BA356" i="54"/>
  <c r="BB86" i="54"/>
  <c r="BB356" i="54" s="1"/>
  <c r="BA355" i="54"/>
  <c r="BB85" i="54"/>
  <c r="BB355" i="54" s="1"/>
  <c r="BE350" i="54"/>
  <c r="BE351" i="54"/>
  <c r="BA360" i="54"/>
  <c r="BB90" i="54"/>
  <c r="BB360" i="54" s="1"/>
  <c r="AZ92" i="54"/>
  <c r="AZ362" i="54" s="1"/>
  <c r="BH92" i="54"/>
  <c r="AY362" i="54"/>
  <c r="W368" i="54"/>
  <c r="AR98" i="54"/>
  <c r="BA98" i="54"/>
  <c r="BA368" i="54" s="1"/>
  <c r="AP98" i="54"/>
  <c r="AY98" i="54"/>
  <c r="AR356" i="54"/>
  <c r="AS86" i="54"/>
  <c r="AS356" i="54" s="1"/>
  <c r="AJ80" i="54"/>
  <c r="AJ350" i="54" s="1"/>
  <c r="AL80" i="54"/>
  <c r="AL350" i="54" s="1"/>
  <c r="AW350" i="54"/>
  <c r="AW359" i="54"/>
  <c r="AL89" i="54"/>
  <c r="AL359" i="54" s="1"/>
  <c r="AJ89" i="54"/>
  <c r="AJ359" i="54" s="1"/>
  <c r="AS84" i="54"/>
  <c r="AS354" i="54" s="1"/>
  <c r="AR354" i="54"/>
  <c r="BA362" i="54"/>
  <c r="BB92" i="54"/>
  <c r="BB362" i="54" s="1"/>
  <c r="AW352" i="54"/>
  <c r="AL82" i="54"/>
  <c r="AL352" i="54" s="1"/>
  <c r="AJ82" i="54"/>
  <c r="AJ352" i="54" s="1"/>
  <c r="BH352" i="54"/>
  <c r="BH359" i="54"/>
  <c r="BE359" i="54"/>
  <c r="AR358" i="54"/>
  <c r="AS88" i="54"/>
  <c r="AS358" i="54" s="1"/>
  <c r="AP362" i="54"/>
  <c r="AQ92" i="54"/>
  <c r="AQ362" i="54" s="1"/>
  <c r="BE352" i="54"/>
  <c r="AW361" i="54"/>
  <c r="AJ91" i="54"/>
  <c r="AJ361" i="54" s="1"/>
  <c r="BH361" i="54"/>
  <c r="AL91" i="54"/>
  <c r="AL361" i="54" s="1"/>
  <c r="AQ84" i="54"/>
  <c r="AQ354" i="54" s="1"/>
  <c r="AP354" i="54"/>
  <c r="AY358" i="54"/>
  <c r="AZ88" i="54"/>
  <c r="AZ358" i="54" s="1"/>
  <c r="AW353" i="54"/>
  <c r="BH353" i="54"/>
  <c r="AL83" i="54"/>
  <c r="AL353" i="54" s="1"/>
  <c r="AJ83" i="54"/>
  <c r="AJ353" i="54" s="1"/>
  <c r="BE361" i="54"/>
  <c r="AY357" i="54"/>
  <c r="AZ87" i="54"/>
  <c r="AZ357" i="54" s="1"/>
  <c r="AY354" i="54"/>
  <c r="AZ84" i="54"/>
  <c r="AZ354" i="54" s="1"/>
  <c r="AQ88" i="54"/>
  <c r="AQ358" i="54" s="1"/>
  <c r="AP358" i="54"/>
  <c r="R368" i="54"/>
  <c r="BQ98" i="54"/>
  <c r="AP349" i="54"/>
  <c r="AQ79" i="54"/>
  <c r="AQ349" i="54" s="1"/>
  <c r="AR349" i="54"/>
  <c r="AS79" i="54"/>
  <c r="AS349" i="54" s="1"/>
  <c r="AY349" i="54"/>
  <c r="AZ79" i="54"/>
  <c r="AZ349" i="54" s="1"/>
  <c r="BA349" i="54"/>
  <c r="BB79" i="54"/>
  <c r="BB349" i="54" s="1"/>
  <c r="BA348" i="54"/>
  <c r="BB78" i="54"/>
  <c r="BB348" i="54" s="1"/>
  <c r="BQ78" i="54"/>
  <c r="AY348" i="54"/>
  <c r="AZ78" i="54"/>
  <c r="AZ348" i="54" s="1"/>
  <c r="AR348" i="54"/>
  <c r="AS78" i="54"/>
  <c r="AS348" i="54" s="1"/>
  <c r="AP348" i="54"/>
  <c r="AQ78" i="54"/>
  <c r="AQ348" i="54" s="1"/>
  <c r="AF267" i="53"/>
  <c r="AT51" i="53"/>
  <c r="AW79" i="5"/>
  <c r="AL80" i="5"/>
  <c r="BH80" i="5"/>
  <c r="AW84" i="5"/>
  <c r="AW354" i="5" s="1"/>
  <c r="AW86" i="5"/>
  <c r="AW87" i="5"/>
  <c r="AW85" i="5"/>
  <c r="AW78" i="5"/>
  <c r="AJ78" i="5" s="1"/>
  <c r="BA349" i="5"/>
  <c r="BB79" i="5"/>
  <c r="BB349" i="5" s="1"/>
  <c r="AR349" i="5"/>
  <c r="AS79" i="5"/>
  <c r="AS349" i="5" s="1"/>
  <c r="AZ79" i="5"/>
  <c r="AZ349" i="5" s="1"/>
  <c r="BE79" i="5"/>
  <c r="BE349" i="5" s="1"/>
  <c r="AZ78" i="5"/>
  <c r="AZ348" i="5" s="1"/>
  <c r="BE78" i="5"/>
  <c r="AR356" i="5"/>
  <c r="BH82" i="5"/>
  <c r="AL82" i="5"/>
  <c r="AR354" i="5"/>
  <c r="AS84" i="5"/>
  <c r="AS354" i="5" s="1"/>
  <c r="AS87" i="5"/>
  <c r="AS357" i="5" s="1"/>
  <c r="AR355" i="5"/>
  <c r="AS85" i="5"/>
  <c r="AS355" i="5" s="1"/>
  <c r="BE84" i="5"/>
  <c r="BE354" i="5" s="1"/>
  <c r="AZ84" i="5"/>
  <c r="AZ354" i="5" s="1"/>
  <c r="BB85" i="5"/>
  <c r="BB355" i="5" s="1"/>
  <c r="BA357" i="5"/>
  <c r="BB87" i="5"/>
  <c r="BB357" i="5" s="1"/>
  <c r="BB86" i="5"/>
  <c r="BB356" i="5" s="1"/>
  <c r="AP356" i="5"/>
  <c r="BE86" i="5"/>
  <c r="BE356" i="5" s="1"/>
  <c r="AZ86" i="5"/>
  <c r="AZ356" i="5" s="1"/>
  <c r="AQ84" i="5"/>
  <c r="AQ354" i="5" s="1"/>
  <c r="AL83" i="5"/>
  <c r="BH83" i="5"/>
  <c r="AQ85" i="5"/>
  <c r="AQ355" i="5" s="1"/>
  <c r="BA355" i="5"/>
  <c r="AZ87" i="5"/>
  <c r="AZ357" i="5" s="1"/>
  <c r="BE87" i="5"/>
  <c r="BE357" i="5" s="1"/>
  <c r="AY355" i="5"/>
  <c r="BE85" i="5"/>
  <c r="AZ85" i="5"/>
  <c r="AZ355" i="5" s="1"/>
  <c r="AJ83" i="5"/>
  <c r="BT84" i="5"/>
  <c r="AP355" i="5"/>
  <c r="BU78" i="5"/>
  <c r="AP354" i="5"/>
  <c r="AY354" i="5"/>
  <c r="BS84" i="5"/>
  <c r="AT50" i="52"/>
  <c r="AU50" i="52" s="1"/>
  <c r="AM50" i="52" s="1"/>
  <c r="BA354" i="5"/>
  <c r="BB354" i="5"/>
  <c r="BU87" i="5"/>
  <c r="BS87" i="5"/>
  <c r="BA356" i="5"/>
  <c r="BS85" i="5"/>
  <c r="BT85" i="5"/>
  <c r="AR357" i="5"/>
  <c r="BU86" i="5"/>
  <c r="AQ357" i="5"/>
  <c r="AP357" i="5"/>
  <c r="AY357" i="5"/>
  <c r="BS86" i="5"/>
  <c r="AO51" i="52"/>
  <c r="AT51" i="52" s="1"/>
  <c r="AU51" i="52" s="1"/>
  <c r="AP51" i="52"/>
  <c r="AY349" i="5"/>
  <c r="AS348" i="5"/>
  <c r="BB348" i="5"/>
  <c r="BE353" i="5"/>
  <c r="AJ367" i="5"/>
  <c r="AL370" i="5"/>
  <c r="AJ373" i="5"/>
  <c r="AJ371" i="5"/>
  <c r="AJ370" i="5"/>
  <c r="AL372" i="5"/>
  <c r="AL373" i="5"/>
  <c r="AQ349" i="5"/>
  <c r="AJ372" i="5"/>
  <c r="AL369" i="5"/>
  <c r="AJ369" i="5"/>
  <c r="AL376" i="5"/>
  <c r="AJ376" i="5"/>
  <c r="AJ361" i="5"/>
  <c r="AQ348" i="5"/>
  <c r="AJ374" i="5"/>
  <c r="AL361" i="5"/>
  <c r="AL371" i="5"/>
  <c r="AL367" i="5"/>
  <c r="AL374" i="5"/>
  <c r="BE360" i="5"/>
  <c r="BE362" i="5"/>
  <c r="BE351" i="5"/>
  <c r="BV83" i="5"/>
  <c r="BW83" i="5" s="1"/>
  <c r="AW353" i="5"/>
  <c r="BH376" i="5"/>
  <c r="BH374" i="5"/>
  <c r="BH372" i="5"/>
  <c r="BH371" i="5"/>
  <c r="BH370" i="5"/>
  <c r="BH369" i="5"/>
  <c r="BH373" i="5"/>
  <c r="BW102" i="5"/>
  <c r="BW101" i="5"/>
  <c r="BW100" i="5"/>
  <c r="BW104" i="5"/>
  <c r="BW106" i="5"/>
  <c r="BW103" i="5"/>
  <c r="BW99" i="5"/>
  <c r="BH367" i="5"/>
  <c r="BW97" i="5"/>
  <c r="BA348" i="5"/>
  <c r="AR348" i="5"/>
  <c r="BE352" i="5"/>
  <c r="BT78" i="5"/>
  <c r="AP349" i="5"/>
  <c r="BE350" i="5"/>
  <c r="BV80" i="5"/>
  <c r="AW350" i="5"/>
  <c r="BS79" i="5"/>
  <c r="BU79" i="5"/>
  <c r="AW352" i="5"/>
  <c r="BV82" i="5"/>
  <c r="BW91" i="5"/>
  <c r="AY348" i="5"/>
  <c r="AP348" i="5"/>
  <c r="BT98" i="5" l="1"/>
  <c r="BU98" i="5"/>
  <c r="AW358" i="5"/>
  <c r="AL88" i="5"/>
  <c r="AL358" i="5" s="1"/>
  <c r="AR368" i="5"/>
  <c r="AL89" i="5"/>
  <c r="AL359" i="5" s="1"/>
  <c r="AW351" i="5"/>
  <c r="AL81" i="5"/>
  <c r="AL351" i="5" s="1"/>
  <c r="BV81" i="5"/>
  <c r="BW81" i="5" s="1"/>
  <c r="BH81" i="5"/>
  <c r="BH351" i="5" s="1"/>
  <c r="AW359" i="5"/>
  <c r="BH89" i="5"/>
  <c r="BH359" i="5" s="1"/>
  <c r="BV89" i="5"/>
  <c r="BW89" i="5" s="1"/>
  <c r="BH88" i="5"/>
  <c r="BH358" i="5" s="1"/>
  <c r="BV88" i="5"/>
  <c r="BW88" i="5" s="1"/>
  <c r="AW98" i="5"/>
  <c r="BH98" i="5" s="1"/>
  <c r="BH368" i="5" s="1"/>
  <c r="AP368" i="5"/>
  <c r="AJ92" i="5"/>
  <c r="AJ362" i="5" s="1"/>
  <c r="AW362" i="5"/>
  <c r="AL92" i="5"/>
  <c r="AL362" i="5" s="1"/>
  <c r="BV92" i="5"/>
  <c r="BW92" i="5" s="1"/>
  <c r="BU78" i="54"/>
  <c r="BV78" i="54" s="1"/>
  <c r="BU80" i="54"/>
  <c r="BV80" i="54" s="1"/>
  <c r="BH90" i="5"/>
  <c r="BH360" i="5" s="1"/>
  <c r="AW360" i="5"/>
  <c r="BV90" i="5"/>
  <c r="BW90" i="5" s="1"/>
  <c r="AJ90" i="5"/>
  <c r="AJ360" i="5" s="1"/>
  <c r="BU81" i="54"/>
  <c r="BV81" i="54" s="1"/>
  <c r="BH87" i="54"/>
  <c r="BH357" i="54" s="1"/>
  <c r="BH84" i="54"/>
  <c r="BH354" i="54" s="1"/>
  <c r="BH90" i="54"/>
  <c r="BH360" i="54" s="1"/>
  <c r="BR79" i="54"/>
  <c r="BH79" i="54"/>
  <c r="BH349" i="54" s="1"/>
  <c r="BH88" i="54"/>
  <c r="BH358" i="54" s="1"/>
  <c r="BH86" i="54"/>
  <c r="BH356" i="54" s="1"/>
  <c r="BH348" i="54"/>
  <c r="BE98" i="5"/>
  <c r="BE368" i="5" s="1"/>
  <c r="BB98" i="5"/>
  <c r="BB368" i="5" s="1"/>
  <c r="AY368" i="5"/>
  <c r="BE358" i="54"/>
  <c r="BE362" i="54"/>
  <c r="BE354" i="54"/>
  <c r="AY368" i="54"/>
  <c r="AZ98" i="54"/>
  <c r="AZ368" i="54" s="1"/>
  <c r="BB98" i="54"/>
  <c r="BB368" i="54" s="1"/>
  <c r="BE98" i="54"/>
  <c r="AW356" i="54"/>
  <c r="AJ86" i="54"/>
  <c r="AJ356" i="54" s="1"/>
  <c r="AL86" i="54"/>
  <c r="AL356" i="54" s="1"/>
  <c r="AP368" i="54"/>
  <c r="AQ98" i="54"/>
  <c r="AQ368" i="54" s="1"/>
  <c r="BU98" i="54"/>
  <c r="BT98" i="54"/>
  <c r="BS98" i="54"/>
  <c r="AW358" i="54"/>
  <c r="AJ88" i="54"/>
  <c r="AJ358" i="54" s="1"/>
  <c r="AL88" i="54"/>
  <c r="AL358" i="54" s="1"/>
  <c r="BE355" i="54"/>
  <c r="AL87" i="54"/>
  <c r="AL357" i="54" s="1"/>
  <c r="AW357" i="54"/>
  <c r="AJ87" i="54"/>
  <c r="AJ357" i="54" s="1"/>
  <c r="AW98" i="54"/>
  <c r="AR368" i="54"/>
  <c r="AS98" i="54"/>
  <c r="AS368" i="54" s="1"/>
  <c r="BE360" i="54"/>
  <c r="BE357" i="54"/>
  <c r="AJ85" i="54"/>
  <c r="AJ355" i="54" s="1"/>
  <c r="BH355" i="54"/>
  <c r="AL85" i="54"/>
  <c r="AL355" i="54" s="1"/>
  <c r="AW355" i="54"/>
  <c r="AW360" i="54"/>
  <c r="AJ90" i="54"/>
  <c r="AJ360" i="54" s="1"/>
  <c r="AL90" i="54"/>
  <c r="AL360" i="54" s="1"/>
  <c r="AJ84" i="54"/>
  <c r="AJ354" i="54" s="1"/>
  <c r="AL84" i="54"/>
  <c r="AL354" i="54" s="1"/>
  <c r="AW354" i="54"/>
  <c r="AW362" i="54"/>
  <c r="AJ92" i="54"/>
  <c r="AJ362" i="54" s="1"/>
  <c r="BH362" i="54"/>
  <c r="AL92" i="54"/>
  <c r="AL362" i="54" s="1"/>
  <c r="BE356" i="54"/>
  <c r="BE349" i="54"/>
  <c r="AW349" i="54"/>
  <c r="AL79" i="54"/>
  <c r="AL349" i="54" s="1"/>
  <c r="AJ79" i="54"/>
  <c r="AJ349" i="54" s="1"/>
  <c r="BE348" i="54"/>
  <c r="AW348" i="54"/>
  <c r="AJ78" i="54"/>
  <c r="AJ348" i="54" s="1"/>
  <c r="AL78" i="54"/>
  <c r="AL348" i="54" s="1"/>
  <c r="BH79" i="5"/>
  <c r="AL79" i="5"/>
  <c r="AJ79" i="5"/>
  <c r="BH78" i="5"/>
  <c r="AL85" i="5"/>
  <c r="AL355" i="5" s="1"/>
  <c r="BH85" i="5"/>
  <c r="BH355" i="5" s="1"/>
  <c r="AL84" i="5"/>
  <c r="AL354" i="5" s="1"/>
  <c r="BH84" i="5"/>
  <c r="BH354" i="5" s="1"/>
  <c r="AL86" i="5"/>
  <c r="AL356" i="5" s="1"/>
  <c r="BH86" i="5"/>
  <c r="AL87" i="5"/>
  <c r="AL357" i="5" s="1"/>
  <c r="BH87" i="5"/>
  <c r="BH357" i="5" s="1"/>
  <c r="AL78" i="5"/>
  <c r="BV84" i="5"/>
  <c r="BW84" i="5" s="1"/>
  <c r="BV78" i="5"/>
  <c r="AJ87" i="5"/>
  <c r="AJ357" i="5" s="1"/>
  <c r="AJ85" i="5"/>
  <c r="AJ355" i="5" s="1"/>
  <c r="AJ84" i="5"/>
  <c r="AJ354" i="5" s="1"/>
  <c r="AJ86" i="5"/>
  <c r="AJ356" i="5" s="1"/>
  <c r="AW355" i="5"/>
  <c r="AN50" i="52"/>
  <c r="BE355" i="5"/>
  <c r="BV85" i="5"/>
  <c r="BW85" i="5" s="1"/>
  <c r="AW357" i="5"/>
  <c r="BV86" i="5"/>
  <c r="BW86" i="5" s="1"/>
  <c r="AW356" i="5"/>
  <c r="BV87" i="5"/>
  <c r="BW87" i="5" s="1"/>
  <c r="AN51" i="52"/>
  <c r="AM51" i="52"/>
  <c r="AJ352" i="5"/>
  <c r="AJ350" i="5"/>
  <c r="AL353" i="5"/>
  <c r="AL360" i="5"/>
  <c r="AJ351" i="5"/>
  <c r="AL352" i="5"/>
  <c r="AL350" i="5"/>
  <c r="AJ353" i="5"/>
  <c r="AJ358" i="5"/>
  <c r="BH362" i="5"/>
  <c r="BH353" i="5"/>
  <c r="BV79" i="5"/>
  <c r="AW349" i="5"/>
  <c r="BH350" i="5"/>
  <c r="BW80" i="5"/>
  <c r="BW82" i="5"/>
  <c r="BH352" i="5"/>
  <c r="AW348" i="5"/>
  <c r="BE348" i="5"/>
  <c r="BM78" i="5" l="1"/>
  <c r="AW368" i="5"/>
  <c r="AL98" i="5"/>
  <c r="AL368" i="5" s="1"/>
  <c r="AJ98" i="5"/>
  <c r="AJ368" i="5" s="1"/>
  <c r="BU79" i="54"/>
  <c r="BV79" i="54" s="1"/>
  <c r="BV98" i="5"/>
  <c r="BW98" i="5" s="1"/>
  <c r="BM348" i="5"/>
  <c r="BH98" i="54"/>
  <c r="BH368" i="54" s="1"/>
  <c r="AL98" i="54"/>
  <c r="AL368" i="54" s="1"/>
  <c r="AW368" i="54"/>
  <c r="BM348" i="54" s="1"/>
  <c r="AJ98" i="54"/>
  <c r="AJ368" i="54" s="1"/>
  <c r="BE368" i="54"/>
  <c r="BV98" i="54"/>
  <c r="BW98" i="54" s="1"/>
  <c r="BM78" i="54"/>
  <c r="BH356" i="5"/>
  <c r="BW38" i="5"/>
  <c r="BV38" i="5"/>
  <c r="BH38" i="5"/>
  <c r="AF11" i="52" s="1"/>
  <c r="AJ348" i="5"/>
  <c r="AL348" i="5"/>
  <c r="AL349" i="5"/>
  <c r="AJ349" i="5"/>
  <c r="BW79" i="5"/>
  <c r="BH349" i="5"/>
  <c r="BH348" i="5"/>
  <c r="BW78" i="5"/>
  <c r="BH108" i="5" l="1"/>
  <c r="AF49" i="52" s="1"/>
  <c r="BH108" i="54"/>
  <c r="BV108" i="5"/>
  <c r="BV108" i="54"/>
  <c r="BW108" i="54"/>
  <c r="AF27" i="53"/>
  <c r="BH308" i="5"/>
  <c r="BH378" i="5"/>
  <c r="BW108" i="5"/>
  <c r="AF49" i="53" l="1"/>
  <c r="AF115" i="53" s="1"/>
  <c r="AF243" i="53"/>
  <c r="L71" i="23"/>
  <c r="L296" i="23" s="1"/>
  <c r="BH378" i="54"/>
  <c r="AP27" i="53"/>
  <c r="AF227" i="53"/>
  <c r="AF264" i="52"/>
  <c r="AF114" i="52"/>
  <c r="L67" i="23" s="1"/>
  <c r="AF27" i="52"/>
  <c r="AF226" i="52"/>
  <c r="AO11" i="52"/>
  <c r="AO27" i="52" s="1"/>
  <c r="AP11" i="52"/>
  <c r="AP27" i="52" s="1"/>
  <c r="AP49" i="52"/>
  <c r="AP114" i="52" s="1"/>
  <c r="AO49" i="52"/>
  <c r="AO114" i="52" s="1"/>
  <c r="AP49" i="53" l="1"/>
  <c r="AO49" i="53"/>
  <c r="AT49" i="53" s="1"/>
  <c r="AU49" i="53" s="1"/>
  <c r="AM49" i="53" s="1"/>
  <c r="AF265" i="53"/>
  <c r="L66" i="23"/>
  <c r="L291" i="23" s="1"/>
  <c r="AU52" i="53"/>
  <c r="AU51" i="53"/>
  <c r="AO27" i="53"/>
  <c r="AT10" i="53"/>
  <c r="AU62" i="53"/>
  <c r="AF329" i="52"/>
  <c r="AF242" i="52"/>
  <c r="AT10" i="52"/>
  <c r="AU20" i="52"/>
  <c r="AU21" i="52"/>
  <c r="AU12" i="52"/>
  <c r="AU16" i="52"/>
  <c r="AU10" i="52"/>
  <c r="AT49" i="52"/>
  <c r="AU49" i="52" s="1"/>
  <c r="AU11" i="52" l="1"/>
  <c r="AM11" i="52" s="1"/>
  <c r="AU13" i="52"/>
  <c r="AU13" i="53"/>
  <c r="AM13" i="53" s="1"/>
  <c r="AU20" i="53"/>
  <c r="AN51" i="53"/>
  <c r="AM51" i="53"/>
  <c r="AN52" i="53"/>
  <c r="AM52" i="53"/>
  <c r="AU11" i="53"/>
  <c r="AN11" i="53" s="1"/>
  <c r="AU12" i="53"/>
  <c r="AU16" i="53"/>
  <c r="AN16" i="53" s="1"/>
  <c r="AU10" i="53"/>
  <c r="AN49" i="53"/>
  <c r="AM62" i="53"/>
  <c r="AN62" i="53"/>
  <c r="L292" i="23"/>
  <c r="AN10" i="52"/>
  <c r="AM10" i="52"/>
  <c r="AM16" i="52"/>
  <c r="AN16" i="52"/>
  <c r="AM12" i="52"/>
  <c r="AN12" i="52"/>
  <c r="AM21" i="52"/>
  <c r="AN21" i="52"/>
  <c r="AN20" i="52"/>
  <c r="AM20" i="52"/>
  <c r="AN49" i="52"/>
  <c r="AN114" i="52" s="1"/>
  <c r="AN11" i="52" l="1"/>
  <c r="AN13" i="52"/>
  <c r="AM13" i="52"/>
  <c r="AM27" i="52" s="1"/>
  <c r="AN13" i="53"/>
  <c r="AN20" i="53"/>
  <c r="AM20" i="53"/>
  <c r="AM11" i="53"/>
  <c r="AM12" i="53"/>
  <c r="AN12" i="53"/>
  <c r="AM16" i="53"/>
  <c r="AN10" i="53"/>
  <c r="AM10" i="53"/>
  <c r="AN115" i="53"/>
  <c r="AM49" i="52"/>
  <c r="AM114" i="52" s="1"/>
  <c r="AN27" i="52" l="1"/>
  <c r="AN27" i="53"/>
  <c r="AM27" i="53"/>
  <c r="D4" i="45"/>
  <c r="C12" i="44" s="1"/>
  <c r="C4" i="45"/>
  <c r="L75" i="23" l="1"/>
  <c r="L300" i="23" s="1"/>
  <c r="AP111" i="53"/>
  <c r="AN111" i="53" s="1"/>
  <c r="L72" i="23"/>
  <c r="AF327" i="53"/>
  <c r="AP115" i="53" l="1"/>
  <c r="AO115" i="53"/>
  <c r="AM111" i="53"/>
  <c r="AM115" i="53" s="1"/>
  <c r="L74" i="23"/>
  <c r="L299" i="23" s="1"/>
  <c r="L297" i="23"/>
  <c r="AF331" i="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Kathy</author>
  </authors>
  <commentList>
    <comment ref="AU1" authorId="0" shapeId="0" xr:uid="{5512B11B-5254-4861-A82D-3281AAB25F24}">
      <text>
        <r>
          <rPr>
            <b/>
            <sz val="9"/>
            <color indexed="81"/>
            <rFont val="Tahoma"/>
            <family val="2"/>
          </rPr>
          <t>New Construction typically asks for Building Type. Assume Common Areas have same HOUs as Small Offices.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Kathy</author>
  </authors>
  <commentList>
    <comment ref="BX1" authorId="0" shapeId="0" xr:uid="{EE5CEFD4-6CB9-4A6D-B463-AA7DB0E4B397}">
      <text>
        <r>
          <rPr>
            <b/>
            <sz val="9"/>
            <color indexed="81"/>
            <rFont val="Tahoma"/>
            <family val="2"/>
          </rPr>
          <t>New Construction typically asks for Building Type. Assume Common Areas have same HOUs as Small Offices.</t>
        </r>
      </text>
    </comment>
    <comment ref="BQ24" authorId="0" shapeId="0" xr:uid="{4446B35D-5B84-4169-B76D-16D57C6FB1C4}">
      <text>
        <r>
          <rPr>
            <b/>
            <sz val="9"/>
            <color indexed="81"/>
            <rFont val="Tahoma"/>
            <charset val="1"/>
          </rPr>
          <t>Kathy:</t>
        </r>
        <r>
          <rPr>
            <sz val="9"/>
            <color indexed="81"/>
            <rFont val="Tahoma"/>
            <charset val="1"/>
          </rPr>
          <t xml:space="preserve">
Need to update logic. Will likely need to separate heating and cooling savings.</t>
        </r>
      </text>
    </comment>
    <comment ref="BQ56" authorId="0" shapeId="0" xr:uid="{FF5791C3-3F70-401F-BE98-53D37B6BE428}">
      <text>
        <r>
          <rPr>
            <b/>
            <sz val="9"/>
            <color indexed="81"/>
            <rFont val="Tahoma"/>
            <charset val="1"/>
          </rPr>
          <t>Kathy:</t>
        </r>
        <r>
          <rPr>
            <sz val="9"/>
            <color indexed="81"/>
            <rFont val="Tahoma"/>
            <charset val="1"/>
          </rPr>
          <t xml:space="preserve">
Need to update logic. Will likely need to separate heating and cooling savings.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Kathy</author>
  </authors>
  <commentList>
    <comment ref="AU1" authorId="0" shapeId="0" xr:uid="{C61606F8-ADEA-4472-AA18-F4079302B480}">
      <text>
        <r>
          <rPr>
            <b/>
            <sz val="9"/>
            <color indexed="81"/>
            <rFont val="Tahoma"/>
            <family val="2"/>
          </rPr>
          <t>New Construction typically asks for Building Type. Assume Common Areas have same HOUs as Small Offices.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Kathy</author>
  </authors>
  <commentList>
    <comment ref="BX1" authorId="0" shapeId="0" xr:uid="{D8849B75-4A89-47E6-85B2-1BB345D5088D}">
      <text>
        <r>
          <rPr>
            <b/>
            <sz val="9"/>
            <color indexed="81"/>
            <rFont val="Tahoma"/>
            <family val="2"/>
          </rPr>
          <t>New Construction typically asks for Building Type. Assume Common Areas have same HOUs as Small Offices.</t>
        </r>
      </text>
    </comment>
    <comment ref="BT10" authorId="0" shapeId="0" xr:uid="{F3DC0D79-F8E4-4BBF-8906-DAF2E2459465}">
      <text>
        <r>
          <rPr>
            <b/>
            <sz val="9"/>
            <color indexed="81"/>
            <rFont val="Tahoma"/>
            <family val="2"/>
          </rPr>
          <t>Assume HP baseline. If fuel switching, customer likely to switch to baseline HP.</t>
        </r>
      </text>
    </comment>
    <comment ref="BT26" authorId="0" shapeId="0" xr:uid="{A880237F-A845-4259-99D9-6B7AFE17F5E9}">
      <text>
        <r>
          <rPr>
            <b/>
            <sz val="9"/>
            <color indexed="81"/>
            <rFont val="Tahoma"/>
            <family val="2"/>
          </rPr>
          <t>Assume HP baseline. If fuel switching, customer likely to switch to baseline HP.</t>
        </r>
      </text>
    </comment>
    <comment ref="BT42" authorId="0" shapeId="0" xr:uid="{CF7A703B-F404-4611-89E3-CD3808E9BE71}">
      <text>
        <r>
          <rPr>
            <b/>
            <sz val="9"/>
            <color indexed="81"/>
            <rFont val="Tahoma"/>
            <family val="2"/>
          </rPr>
          <t>Assume HP baseline. If fuel switching, customer likely to switch to baseline HP.</t>
        </r>
      </text>
    </comment>
    <comment ref="BT58" authorId="0" shapeId="0" xr:uid="{B5D493F0-3665-4466-8272-DA73549CF76D}">
      <text>
        <r>
          <rPr>
            <b/>
            <sz val="9"/>
            <color indexed="81"/>
            <rFont val="Tahoma"/>
            <family val="2"/>
          </rPr>
          <t>Assume HP baseline. If fuel switching, customer likely to switch to baseline HP.</t>
        </r>
      </text>
    </comment>
  </commentList>
</comments>
</file>

<file path=xl/sharedStrings.xml><?xml version="1.0" encoding="utf-8"?>
<sst xmlns="http://schemas.openxmlformats.org/spreadsheetml/2006/main" count="8743" uniqueCount="3336">
  <si>
    <t>Thank you,</t>
  </si>
  <si>
    <t>Sheree Willhite, P.E.</t>
  </si>
  <si>
    <t>Senior Engineer</t>
  </si>
  <si>
    <t>swillhite@idahopower.com</t>
  </si>
  <si>
    <t>, Idaho Power</t>
  </si>
  <si>
    <t>Applicant</t>
  </si>
  <si>
    <t>Third Party</t>
  </si>
  <si>
    <t>New</t>
  </si>
  <si>
    <t>Name Split into Columns</t>
  </si>
  <si>
    <t>Paragraph 1</t>
  </si>
  <si>
    <t>Paragraph 2</t>
  </si>
  <si>
    <t>Paragraph 3</t>
  </si>
  <si>
    <t>Paragraph 4</t>
  </si>
  <si>
    <t>name</t>
  </si>
  <si>
    <t>test legal</t>
  </si>
  <si>
    <t>Facility City</t>
  </si>
  <si>
    <t>business</t>
  </si>
  <si>
    <t>anyone else to cc</t>
  </si>
  <si>
    <t>ipco phone</t>
  </si>
  <si>
    <t>(208) 388-6717</t>
  </si>
  <si>
    <t>letter address</t>
  </si>
  <si>
    <t>project type</t>
  </si>
  <si>
    <t>letter city, state &amp; zip</t>
  </si>
  <si>
    <t># of measures</t>
  </si>
  <si>
    <t>interior light load reduction</t>
  </si>
  <si>
    <t>exterior light load reduction</t>
  </si>
  <si>
    <t>daylight photo controls</t>
  </si>
  <si>
    <t>occupancy sensors</t>
  </si>
  <si>
    <t>high efficiency exit signs</t>
  </si>
  <si>
    <t>efficient AC &amp; HP units</t>
  </si>
  <si>
    <t>efficient VRF units</t>
  </si>
  <si>
    <t>efficient chillers</t>
  </si>
  <si>
    <t>air side economizers</t>
  </si>
  <si>
    <t>direct evaporative cooler</t>
  </si>
  <si>
    <t>high volume low speed fan</t>
  </si>
  <si>
    <t>reflective roof treatment</t>
  </si>
  <si>
    <t>energy management control systems</t>
  </si>
  <si>
    <t>guest room EMS</t>
  </si>
  <si>
    <t>HVAC variable speed drives</t>
  </si>
  <si>
    <t>kitchen hood supply &amp; exhaust variable speed drive</t>
  </si>
  <si>
    <t>onion/potato shed ventilation variable speed drive</t>
  </si>
  <si>
    <t>dairy vacuum pump variable speed drive</t>
  </si>
  <si>
    <t>wall block heater controls</t>
  </si>
  <si>
    <t>engine block heater controls</t>
  </si>
  <si>
    <t>efficient laundry machines</t>
  </si>
  <si>
    <t>Energy Star U/C dishwashers</t>
  </si>
  <si>
    <t>Energy Star commercial dishwashers</t>
  </si>
  <si>
    <t>head pressure controls</t>
  </si>
  <si>
    <t>floating suction controls</t>
  </si>
  <si>
    <t>efficient condensers</t>
  </si>
  <si>
    <t>refrigerator strip curtain</t>
  </si>
  <si>
    <t>freezer strip curtain</t>
  </si>
  <si>
    <t>automatic high speed door between freezer and refrigerator</t>
  </si>
  <si>
    <t>automatic high speed door between freezer and unrefrigerated dock</t>
  </si>
  <si>
    <t>smart power strips</t>
  </si>
  <si>
    <t>air compressor variable speed drive</t>
  </si>
  <si>
    <t>no loss condensate drain</t>
  </si>
  <si>
    <t>low pressure drop filter</t>
  </si>
  <si>
    <t>refrigerated compressed air cycle</t>
  </si>
  <si>
    <t>efficient compressed air nozzle &lt;= 1/4"</t>
  </si>
  <si>
    <t>efficient compressed air nozzle &gt; 1/4"</t>
  </si>
  <si>
    <t>· Fields with * are required and the application will not be accepted without this information provided.</t>
  </si>
  <si>
    <t>· Email addresses are required.  Project correspondence will be sent via e-mail.</t>
  </si>
  <si>
    <t>· Email the file as an Excel document (not as PDF) to Idaho Power at multifamily@idahopower.com.</t>
  </si>
  <si>
    <t>· The subject line of the e-mail should read: Final Application - (enter Project Name).</t>
  </si>
  <si>
    <t>MF (11/23)</t>
  </si>
  <si>
    <t>Multifamily (5 units or more per building)</t>
  </si>
  <si>
    <t>Effective November 1, 2023</t>
  </si>
  <si>
    <t>Energy Efficiency Incentives</t>
  </si>
  <si>
    <t>Application Data Entry</t>
  </si>
  <si>
    <t>Customer Information</t>
  </si>
  <si>
    <t>*Indicates required field - if left blank your project will not be reviewed</t>
  </si>
  <si>
    <r>
      <t xml:space="preserve">Applicant Name* </t>
    </r>
    <r>
      <rPr>
        <i/>
        <sz val="8"/>
        <color indexed="10"/>
        <rFont val="Arial"/>
        <family val="2"/>
      </rPr>
      <t>(Project Owner)</t>
    </r>
  </si>
  <si>
    <r>
      <t xml:space="preserve">Account Number </t>
    </r>
    <r>
      <rPr>
        <i/>
        <sz val="8"/>
        <color theme="1"/>
        <rFont val="Arial"/>
        <family val="2"/>
      </rPr>
      <t>(If available)</t>
    </r>
  </si>
  <si>
    <t>Date</t>
  </si>
  <si>
    <t>Project / Facility Name</t>
  </si>
  <si>
    <t>Total Area [sq ft]</t>
  </si>
  <si>
    <t>Project Site Address*</t>
  </si>
  <si>
    <t>City*</t>
  </si>
  <si>
    <t>State*</t>
  </si>
  <si>
    <t>Zip*</t>
  </si>
  <si>
    <r>
      <t xml:space="preserve">Mailing Address </t>
    </r>
    <r>
      <rPr>
        <i/>
        <sz val="8"/>
        <rFont val="Arial"/>
        <family val="2"/>
      </rPr>
      <t>(If different)</t>
    </r>
  </si>
  <si>
    <t>City</t>
  </si>
  <si>
    <t>Zip</t>
  </si>
  <si>
    <t>Primary Contact Name*</t>
  </si>
  <si>
    <t xml:space="preserve">Company </t>
  </si>
  <si>
    <t>Phone*</t>
  </si>
  <si>
    <r>
      <t xml:space="preserve">E-mail* </t>
    </r>
    <r>
      <rPr>
        <i/>
        <sz val="8"/>
        <color indexed="10"/>
        <rFont val="Arial"/>
        <family val="2"/>
      </rPr>
      <t>(required to send application notices)</t>
    </r>
  </si>
  <si>
    <t>Secondary Contact Name</t>
  </si>
  <si>
    <t>Company</t>
  </si>
  <si>
    <t>Phone</t>
  </si>
  <si>
    <t>E-mail</t>
  </si>
  <si>
    <t>Project Description*</t>
  </si>
  <si>
    <t>Planned Start Date*</t>
  </si>
  <si>
    <t>Planned Completion Date*</t>
  </si>
  <si>
    <t>Definitions</t>
  </si>
  <si>
    <r>
      <rPr>
        <b/>
        <sz val="10"/>
        <rFont val="Arial"/>
        <family val="2"/>
      </rPr>
      <t>New Construction and Major Renovation</t>
    </r>
    <r>
      <rPr>
        <sz val="10"/>
        <rFont val="Arial"/>
        <family val="2"/>
      </rPr>
      <t xml:space="preserve"> - new buildings, expansions, additions, major renovations or change of space usage type projects.</t>
    </r>
  </si>
  <si>
    <t>Do you have additional multifamily building with less than 5 units?</t>
  </si>
  <si>
    <t>Yes</t>
  </si>
  <si>
    <t>For more information on Idaho Power's residential programs, go to:</t>
  </si>
  <si>
    <t>https://www.idahopower.com/energy-environment/ways-to-save/savings-for-your-home/</t>
  </si>
  <si>
    <t xml:space="preserve">When project is completed, e-mail your completed Final Application and required supporting documentation to multifamily@idahopower.com. </t>
  </si>
  <si>
    <t>Page 1 of 1</t>
  </si>
  <si>
    <t>Multifamily (5 units or more per  building)</t>
  </si>
  <si>
    <t>Final Application and Signature</t>
  </si>
  <si>
    <r>
      <t xml:space="preserve">Account Number* </t>
    </r>
    <r>
      <rPr>
        <i/>
        <sz val="8"/>
        <color indexed="10"/>
        <rFont val="Arial"/>
        <family val="2"/>
      </rPr>
      <t>(Required)</t>
    </r>
  </si>
  <si>
    <t>Date*</t>
  </si>
  <si>
    <t>State</t>
  </si>
  <si>
    <t xml:space="preserve">Title </t>
  </si>
  <si>
    <t>E-mail*</t>
  </si>
  <si>
    <t>Project Start Date*</t>
  </si>
  <si>
    <t>Project Completion Date*</t>
  </si>
  <si>
    <t>Contractor Information</t>
  </si>
  <si>
    <t>Architect Company Name</t>
  </si>
  <si>
    <t>Contact Name</t>
  </si>
  <si>
    <t>Mechanical Engineer Company Name</t>
  </si>
  <si>
    <t>Electrical Engineer Company Name</t>
  </si>
  <si>
    <t>General Contractor Company Name</t>
  </si>
  <si>
    <t>Payment Information</t>
  </si>
  <si>
    <t>Check Payable To:</t>
  </si>
  <si>
    <t>(Please Select)</t>
  </si>
  <si>
    <t>Mail Payment To:</t>
  </si>
  <si>
    <r>
      <t xml:space="preserve">Legal Name </t>
    </r>
    <r>
      <rPr>
        <i/>
        <sz val="8"/>
        <color indexed="10"/>
        <rFont val="Arial"/>
        <family val="2"/>
      </rPr>
      <t>(Incentive check will be made payable to:)*</t>
    </r>
  </si>
  <si>
    <t>Attn:</t>
  </si>
  <si>
    <r>
      <t xml:space="preserve">Mailing Address </t>
    </r>
    <r>
      <rPr>
        <i/>
        <sz val="8"/>
        <rFont val="Arial"/>
        <family val="2"/>
      </rPr>
      <t>("Same" if same as customer mailing address.)</t>
    </r>
  </si>
  <si>
    <t>Title</t>
  </si>
  <si>
    <r>
      <t xml:space="preserve">Federal Tax ID Number </t>
    </r>
    <r>
      <rPr>
        <i/>
        <sz val="8"/>
        <color indexed="10"/>
        <rFont val="Arial"/>
        <family val="2"/>
      </rPr>
      <t>(EIN or SSN)*</t>
    </r>
  </si>
  <si>
    <r>
      <t xml:space="preserve">Official Tax Name </t>
    </r>
    <r>
      <rPr>
        <i/>
        <sz val="8"/>
        <color indexed="10"/>
        <rFont val="Arial"/>
        <family val="2"/>
      </rPr>
      <t>(Associated with Tax ID Number)*</t>
    </r>
  </si>
  <si>
    <t>Professional Assistance Incentive</t>
  </si>
  <si>
    <t xml:space="preserve">Is a professional architect or engineer providing the information necessary for this application? </t>
  </si>
  <si>
    <t>Professional Assistance Incentive Payment Information</t>
  </si>
  <si>
    <r>
      <t xml:space="preserve">Legal Name </t>
    </r>
    <r>
      <rPr>
        <i/>
        <sz val="8"/>
        <color rgb="FFFF0000"/>
        <rFont val="Arial"/>
        <family val="2"/>
      </rPr>
      <t>(Professional Assistance Incentive check will be made payable to:)*</t>
    </r>
  </si>
  <si>
    <t xml:space="preserve">Mailing Address </t>
  </si>
  <si>
    <r>
      <t xml:space="preserve">Federal Tax ID Number </t>
    </r>
    <r>
      <rPr>
        <i/>
        <sz val="8"/>
        <color rgb="FFFF0000"/>
        <rFont val="Arial"/>
        <family val="2"/>
      </rPr>
      <t>(EIN or SSN)*</t>
    </r>
  </si>
  <si>
    <r>
      <t xml:space="preserve">Official Tax Name </t>
    </r>
    <r>
      <rPr>
        <i/>
        <sz val="8"/>
        <color rgb="FFFF0000"/>
        <rFont val="Arial"/>
        <family val="2"/>
      </rPr>
      <t>(Associated with Tax ID Number)*</t>
    </r>
  </si>
  <si>
    <t>For question regarding this application, please contact Idaho Power by emailing multifamily@idahopower.com</t>
  </si>
  <si>
    <t>Heating Fuel Type of New Equipment Installed</t>
  </si>
  <si>
    <t>Primary heating type in dwelling units?*</t>
  </si>
  <si>
    <t>Primary heating type in common areas?*</t>
  </si>
  <si>
    <t>New Construction and Major Renovations</t>
  </si>
  <si>
    <r>
      <t xml:space="preserve">Complete the </t>
    </r>
    <r>
      <rPr>
        <b/>
        <i/>
        <sz val="8"/>
        <rFont val="Arial"/>
        <family val="2"/>
      </rPr>
      <t>NC and Major Reno</t>
    </r>
    <r>
      <rPr>
        <i/>
        <sz val="8"/>
        <rFont val="Arial"/>
        <family val="2"/>
      </rPr>
      <t xml:space="preserve"> tab to calculate estimated incentives for new buildings, expansions, additions, major renovations or changes of space usage type projects.</t>
    </r>
  </si>
  <si>
    <t>Total Incentive for Dwelling Units</t>
  </si>
  <si>
    <t>$</t>
  </si>
  <si>
    <t>Total Incentive for Common Areas</t>
  </si>
  <si>
    <t>Retrofits</t>
  </si>
  <si>
    <r>
      <t xml:space="preserve">Complete the </t>
    </r>
    <r>
      <rPr>
        <b/>
        <i/>
        <sz val="8"/>
        <rFont val="Arial"/>
        <family val="2"/>
      </rPr>
      <t xml:space="preserve">Retrofit </t>
    </r>
    <r>
      <rPr>
        <i/>
        <sz val="8"/>
        <rFont val="Arial"/>
        <family val="2"/>
      </rPr>
      <t>tab to calculate estimated incentives for retrofit projects replacing existing equipment.</t>
    </r>
  </si>
  <si>
    <t>Total Incentives:</t>
  </si>
  <si>
    <t>Professional Assistance Incentive:</t>
  </si>
  <si>
    <t>Applicant Agreement</t>
  </si>
  <si>
    <r>
      <t xml:space="preserve">I, the undersigned, declare that I am a duly authorized representative of the owner of the building described above, and that I have read and agree to comply with the Program Terms and Conditions found at </t>
    </r>
    <r>
      <rPr>
        <b/>
        <sz val="9"/>
        <rFont val="Arial"/>
        <family val="2"/>
      </rPr>
      <t>https://www.idahopower.com/ways-to-save/savings-for-your-business/terms-conditions/</t>
    </r>
    <r>
      <rPr>
        <sz val="9"/>
        <rFont val="Arial"/>
        <family val="2"/>
      </rPr>
      <t xml:space="preserve">.  I also agree that my project is complete, meets all the terms and conditions of the program and meets all other applicable specifications listed on the attached worksheet(s). </t>
    </r>
  </si>
  <si>
    <t>Applicant Digital Signature:</t>
  </si>
  <si>
    <t>By typing your name in the box below you are electronically signing the application, subject to the "Applicant Agreement" above.</t>
  </si>
  <si>
    <t>Date:</t>
  </si>
  <si>
    <t>X</t>
  </si>
  <si>
    <t>Customer</t>
  </si>
  <si>
    <t>No</t>
  </si>
  <si>
    <t>2018 App</t>
  </si>
  <si>
    <t>column</t>
  </si>
  <si>
    <t>Cell</t>
  </si>
  <si>
    <t>New 2021 Cell Location/Note</t>
  </si>
  <si>
    <t>Notes</t>
  </si>
  <si>
    <t>2021 App</t>
  </si>
  <si>
    <t>compare</t>
  </si>
  <si>
    <t>App No</t>
  </si>
  <si>
    <t>A</t>
  </si>
  <si>
    <t>Program Version Year</t>
  </si>
  <si>
    <t>B</t>
  </si>
  <si>
    <t>Date Final Received</t>
  </si>
  <si>
    <t>C</t>
  </si>
  <si>
    <t>Inspection Date</t>
  </si>
  <si>
    <t>D</t>
  </si>
  <si>
    <t>Region</t>
  </si>
  <si>
    <t>E</t>
  </si>
  <si>
    <t>CR</t>
  </si>
  <si>
    <t>F</t>
  </si>
  <si>
    <t>Handling Instructions</t>
  </si>
  <si>
    <t>G</t>
  </si>
  <si>
    <t>Passport Notes</t>
  </si>
  <si>
    <t>H</t>
  </si>
  <si>
    <t>Comment1</t>
  </si>
  <si>
    <t>I</t>
  </si>
  <si>
    <t>Comment2</t>
  </si>
  <si>
    <t>J</t>
  </si>
  <si>
    <t>Comment3</t>
  </si>
  <si>
    <t>K</t>
  </si>
  <si>
    <t>Comment4</t>
  </si>
  <si>
    <t>L</t>
  </si>
  <si>
    <t>Applicant Name</t>
  </si>
  <si>
    <t>M</t>
  </si>
  <si>
    <t>Account Number</t>
  </si>
  <si>
    <t>N</t>
  </si>
  <si>
    <t>Submit Date</t>
  </si>
  <si>
    <t>O</t>
  </si>
  <si>
    <t>P</t>
  </si>
  <si>
    <t>Project Description</t>
  </si>
  <si>
    <t>Q</t>
  </si>
  <si>
    <t>Project Site Address</t>
  </si>
  <si>
    <t>R</t>
  </si>
  <si>
    <t>Project Site City</t>
  </si>
  <si>
    <t>S</t>
  </si>
  <si>
    <t>Project Site State</t>
  </si>
  <si>
    <t>T</t>
  </si>
  <si>
    <t>Project Site Zip</t>
  </si>
  <si>
    <t>U</t>
  </si>
  <si>
    <t>Mailing Address</t>
  </si>
  <si>
    <t>V</t>
  </si>
  <si>
    <t>Mailing City</t>
  </si>
  <si>
    <t>W</t>
  </si>
  <si>
    <t>Mailing State</t>
  </si>
  <si>
    <t>Mailing Zip</t>
  </si>
  <si>
    <t>Y</t>
  </si>
  <si>
    <t>Primary Contact Name</t>
  </si>
  <si>
    <t>Z</t>
  </si>
  <si>
    <t xml:space="preserve">Primary Title </t>
  </si>
  <si>
    <t>AA</t>
  </si>
  <si>
    <t>Primary Phone</t>
  </si>
  <si>
    <t>AB</t>
  </si>
  <si>
    <t>Primary E-mail</t>
  </si>
  <si>
    <t>AC</t>
  </si>
  <si>
    <t>AD</t>
  </si>
  <si>
    <t xml:space="preserve">Secondary Title </t>
  </si>
  <si>
    <t>AE</t>
  </si>
  <si>
    <t>Secondary Phone</t>
  </si>
  <si>
    <t>AF</t>
  </si>
  <si>
    <t>Secondary E-mail</t>
  </si>
  <si>
    <t>AG</t>
  </si>
  <si>
    <t>Building Type</t>
  </si>
  <si>
    <t>AH</t>
  </si>
  <si>
    <t>Describe "Other"</t>
  </si>
  <si>
    <t>AI</t>
  </si>
  <si>
    <t xml:space="preserve">Applicant Status </t>
  </si>
  <si>
    <t>AJ</t>
  </si>
  <si>
    <t>Project Start Date</t>
  </si>
  <si>
    <t>AK</t>
  </si>
  <si>
    <t>Project Completion Date</t>
  </si>
  <si>
    <t>AL</t>
  </si>
  <si>
    <t>Building Area [s.f.]</t>
  </si>
  <si>
    <t>AM</t>
  </si>
  <si>
    <r>
      <t>Project Type</t>
    </r>
    <r>
      <rPr>
        <b/>
        <i/>
        <sz val="8"/>
        <rFont val="Arial"/>
        <family val="2"/>
      </rPr>
      <t xml:space="preserve"> </t>
    </r>
  </si>
  <si>
    <t>AN</t>
  </si>
  <si>
    <t>AO</t>
  </si>
  <si>
    <t>Architect Contact Name</t>
  </si>
  <si>
    <t>AP</t>
  </si>
  <si>
    <t>Architect Phone</t>
  </si>
  <si>
    <t>AQ</t>
  </si>
  <si>
    <t>Architect E-mail</t>
  </si>
  <si>
    <t>AR</t>
  </si>
  <si>
    <t>AS</t>
  </si>
  <si>
    <t>Mechanical Contact Name</t>
  </si>
  <si>
    <t>AT</t>
  </si>
  <si>
    <t>Mechanical Phone</t>
  </si>
  <si>
    <t>AU</t>
  </si>
  <si>
    <t>Mechanical E-mail</t>
  </si>
  <si>
    <t>AV</t>
  </si>
  <si>
    <t>AW</t>
  </si>
  <si>
    <t>Electrical Contact Name</t>
  </si>
  <si>
    <t>AX</t>
  </si>
  <si>
    <t>Electrical Phone</t>
  </si>
  <si>
    <t>AY</t>
  </si>
  <si>
    <t>Electrical E-mail</t>
  </si>
  <si>
    <t>AZ</t>
  </si>
  <si>
    <t>BA</t>
  </si>
  <si>
    <t>General Contact Name</t>
  </si>
  <si>
    <t>BB</t>
  </si>
  <si>
    <t>General Phone</t>
  </si>
  <si>
    <t>BC</t>
  </si>
  <si>
    <t>General E-mail</t>
  </si>
  <si>
    <t>BD</t>
  </si>
  <si>
    <t>Check to Customer</t>
  </si>
  <si>
    <t>BE</t>
  </si>
  <si>
    <t>Check to Third Party</t>
  </si>
  <si>
    <t>BF</t>
  </si>
  <si>
    <t>Mait to Customer</t>
  </si>
  <si>
    <t>BG</t>
  </si>
  <si>
    <t>Mail to Third Party</t>
  </si>
  <si>
    <t>BH</t>
  </si>
  <si>
    <t>Legal Name</t>
  </si>
  <si>
    <t>BI</t>
  </si>
  <si>
    <t>BJ</t>
  </si>
  <si>
    <r>
      <t xml:space="preserve">Payment Mailing Address </t>
    </r>
    <r>
      <rPr>
        <b/>
        <i/>
        <sz val="8"/>
        <rFont val="Arial"/>
        <family val="2"/>
      </rPr>
      <t>("Same" if same as customer mailing address.)</t>
    </r>
  </si>
  <si>
    <t>BK</t>
  </si>
  <si>
    <t>Payment City</t>
  </si>
  <si>
    <t>BL</t>
  </si>
  <si>
    <t>Payment State</t>
  </si>
  <si>
    <t>BM</t>
  </si>
  <si>
    <t>Payment Zip</t>
  </si>
  <si>
    <t>BN</t>
  </si>
  <si>
    <t>Payment Contact Name</t>
  </si>
  <si>
    <t>BO</t>
  </si>
  <si>
    <t>Payment Title</t>
  </si>
  <si>
    <t>BP</t>
  </si>
  <si>
    <t>Payment Phone</t>
  </si>
  <si>
    <t>BQ</t>
  </si>
  <si>
    <t>Payment E-mail</t>
  </si>
  <si>
    <t>BR</t>
  </si>
  <si>
    <t xml:space="preserve">Federal Tax ID </t>
  </si>
  <si>
    <t>BS</t>
  </si>
  <si>
    <t xml:space="preserve">Official Tax Name </t>
  </si>
  <si>
    <t>BT</t>
  </si>
  <si>
    <t>Professional Assistance-Yes</t>
  </si>
  <si>
    <t>BU</t>
  </si>
  <si>
    <t>Professional Assistance-No</t>
  </si>
  <si>
    <t>BV</t>
  </si>
  <si>
    <t>Prof. Assist. Legal Name</t>
  </si>
  <si>
    <t>BW</t>
  </si>
  <si>
    <t>Prof. Assist. Attn:</t>
  </si>
  <si>
    <t>BX</t>
  </si>
  <si>
    <r>
      <t xml:space="preserve">Prof. Assist. Payment Mailing Address </t>
    </r>
    <r>
      <rPr>
        <b/>
        <i/>
        <sz val="8"/>
        <rFont val="Arial"/>
        <family val="2"/>
      </rPr>
      <t>("Same" if same as customer mailing address.)</t>
    </r>
  </si>
  <si>
    <t>BY</t>
  </si>
  <si>
    <t>Prof. Assist. Payment Mailing Address</t>
  </si>
  <si>
    <t>Prof. Assist. Payment City</t>
  </si>
  <si>
    <t>BZ</t>
  </si>
  <si>
    <t>Prof. Assist. Payment State</t>
  </si>
  <si>
    <t>CA</t>
  </si>
  <si>
    <t>Prof. Assist. Payment Zip</t>
  </si>
  <si>
    <t>CB</t>
  </si>
  <si>
    <t>Prof. Assist. Payment Contact Name</t>
  </si>
  <si>
    <t>CC</t>
  </si>
  <si>
    <t>Prof. Assist. Payment Title</t>
  </si>
  <si>
    <t>CD</t>
  </si>
  <si>
    <t>Prof. Assist. Payment Phone</t>
  </si>
  <si>
    <t>CE</t>
  </si>
  <si>
    <t>Prof. Assist. Payment E-mail</t>
  </si>
  <si>
    <t>CF</t>
  </si>
  <si>
    <t xml:space="preserve">Prof. Assist. Federal Tax ID </t>
  </si>
  <si>
    <t>CG</t>
  </si>
  <si>
    <t xml:space="preserve">Prof. Assist. Official Tax Name </t>
  </si>
  <si>
    <t>CH</t>
  </si>
  <si>
    <t>CI</t>
  </si>
  <si>
    <t>Signature Date</t>
  </si>
  <si>
    <t>CJ</t>
  </si>
  <si>
    <t xml:space="preserve"> L1-Interior Light Load Red.</t>
  </si>
  <si>
    <t>CK</t>
  </si>
  <si>
    <t>L1-Actual</t>
  </si>
  <si>
    <t>CL</t>
  </si>
  <si>
    <t>L1-Code</t>
  </si>
  <si>
    <t>CM</t>
  </si>
  <si>
    <t>L1-%</t>
  </si>
  <si>
    <t>CN</t>
  </si>
  <si>
    <t>L1 Operating Hours</t>
  </si>
  <si>
    <t>CO</t>
  </si>
  <si>
    <t>L1 Area</t>
  </si>
  <si>
    <t>CP</t>
  </si>
  <si>
    <t>L1 Incentive</t>
  </si>
  <si>
    <t>CQ</t>
  </si>
  <si>
    <t>L1 kWh Savings</t>
  </si>
  <si>
    <t>L1 kW Reduction</t>
  </si>
  <si>
    <t>CS</t>
  </si>
  <si>
    <t xml:space="preserve"> L2-Exterior Light Load Red.</t>
  </si>
  <si>
    <t>CT</t>
  </si>
  <si>
    <t>L2 Actual</t>
  </si>
  <si>
    <t>CU</t>
  </si>
  <si>
    <t>L2 Code</t>
  </si>
  <si>
    <t>CV</t>
  </si>
  <si>
    <t>L2 %</t>
  </si>
  <si>
    <t>CW</t>
  </si>
  <si>
    <t>L2 Operating Hours</t>
  </si>
  <si>
    <t>CX</t>
  </si>
  <si>
    <t>L2 kW</t>
  </si>
  <si>
    <t>CY</t>
  </si>
  <si>
    <t>L2 Incentive</t>
  </si>
  <si>
    <t>CZ</t>
  </si>
  <si>
    <t>L2 kWh Savings</t>
  </si>
  <si>
    <t>DA</t>
  </si>
  <si>
    <t>L2 kW Reduction</t>
  </si>
  <si>
    <t>DB</t>
  </si>
  <si>
    <t xml:space="preserve"> L3-Daylight Photo Controls</t>
  </si>
  <si>
    <t>DC</t>
  </si>
  <si>
    <t>Removed from program</t>
  </si>
  <si>
    <t>L3a-Network Lighting Controls (Interior)</t>
  </si>
  <si>
    <t>NEW</t>
  </si>
  <si>
    <t>L3 Operating Hours</t>
  </si>
  <si>
    <t>DD</t>
  </si>
  <si>
    <t>L3a Operating Hours</t>
  </si>
  <si>
    <t>L3 Sensors</t>
  </si>
  <si>
    <t>DE</t>
  </si>
  <si>
    <t>L3a Installed kW</t>
  </si>
  <si>
    <t>L3 Incentive</t>
  </si>
  <si>
    <t>DF</t>
  </si>
  <si>
    <t>L3a Control Strategy 1</t>
  </si>
  <si>
    <t>L3 kWh Savings</t>
  </si>
  <si>
    <t>DG</t>
  </si>
  <si>
    <t>L3a Control Strategy 2</t>
  </si>
  <si>
    <t>L3 kW Reduction</t>
  </si>
  <si>
    <t>DH</t>
  </si>
  <si>
    <t>L3a Incentive</t>
  </si>
  <si>
    <t xml:space="preserve"> L4-Occupancy Sensors</t>
  </si>
  <si>
    <t>DI</t>
  </si>
  <si>
    <t>L3a kWh Savings</t>
  </si>
  <si>
    <t>L4 Operating Hours</t>
  </si>
  <si>
    <t>DJ</t>
  </si>
  <si>
    <t>L3a kW Reduction</t>
  </si>
  <si>
    <t>L4 Sensors</t>
  </si>
  <si>
    <t>DK</t>
  </si>
  <si>
    <t>L3b-Network Lighting Controls (Exterior)</t>
  </si>
  <si>
    <t>L4 Incentive</t>
  </si>
  <si>
    <t>DL</t>
  </si>
  <si>
    <t>L3b Operating Hours</t>
  </si>
  <si>
    <t>L4 kWh Savings</t>
  </si>
  <si>
    <t>DM</t>
  </si>
  <si>
    <t>L3b Installed kW</t>
  </si>
  <si>
    <t>L4 kW Reduction</t>
  </si>
  <si>
    <t>DN</t>
  </si>
  <si>
    <t>L3b Control Strategy 1</t>
  </si>
  <si>
    <t xml:space="preserve"> L5-High Efficiency Exit Signs</t>
  </si>
  <si>
    <t>DO</t>
  </si>
  <si>
    <t>L3b Control Strategy 2</t>
  </si>
  <si>
    <t>L5 Signs</t>
  </si>
  <si>
    <t>DP</t>
  </si>
  <si>
    <t>L3b Incentive</t>
  </si>
  <si>
    <t>L5 Incentive</t>
  </si>
  <si>
    <t>DQ</t>
  </si>
  <si>
    <t>L3b kWh Savings</t>
  </si>
  <si>
    <t>L5 kWh Savings</t>
  </si>
  <si>
    <t>DR</t>
  </si>
  <si>
    <t>L3b kW Reduction</t>
  </si>
  <si>
    <t>L5 kW Reduction</t>
  </si>
  <si>
    <t>DS</t>
  </si>
  <si>
    <t xml:space="preserve"> A1-Efficient AC &amp; HP Units</t>
  </si>
  <si>
    <t>DT</t>
  </si>
  <si>
    <t>A1 Total-Incentive</t>
  </si>
  <si>
    <t>DU</t>
  </si>
  <si>
    <t>A1 Total-kWh Savings</t>
  </si>
  <si>
    <t>DV</t>
  </si>
  <si>
    <t>A1 Total -kW Red</t>
  </si>
  <si>
    <t>DW</t>
  </si>
  <si>
    <t xml:space="preserve"> A2-Efficient VRF Units</t>
  </si>
  <si>
    <t>DX</t>
  </si>
  <si>
    <t>A2 Total-Incentive</t>
  </si>
  <si>
    <t>DY</t>
  </si>
  <si>
    <t>A2 Total-kWh Savings</t>
  </si>
  <si>
    <t>DZ</t>
  </si>
  <si>
    <t>A2 Total-kW Red</t>
  </si>
  <si>
    <t>EA</t>
  </si>
  <si>
    <t xml:space="preserve"> A3-Efficient Chillers</t>
  </si>
  <si>
    <t>EB</t>
  </si>
  <si>
    <t>A3 Incentive</t>
  </si>
  <si>
    <t>EC</t>
  </si>
  <si>
    <t>A3 Total-kWh Savings</t>
  </si>
  <si>
    <t>ED</t>
  </si>
  <si>
    <t>A3 Total-kW Red</t>
  </si>
  <si>
    <t>EE</t>
  </si>
  <si>
    <t xml:space="preserve"> A4-Air Side Economizer</t>
  </si>
  <si>
    <t>EF</t>
  </si>
  <si>
    <t>A4 Eligible Tons</t>
  </si>
  <si>
    <t>EG</t>
  </si>
  <si>
    <t>A4 Incentive</t>
  </si>
  <si>
    <t>EH</t>
  </si>
  <si>
    <t>A4 kWh Savings</t>
  </si>
  <si>
    <t>EI</t>
  </si>
  <si>
    <t>A4 Total-kW Red</t>
  </si>
  <si>
    <t>EJ</t>
  </si>
  <si>
    <t xml:space="preserve"> A5-Direct Evaporative Coolers</t>
  </si>
  <si>
    <t>EK</t>
  </si>
  <si>
    <t>A5 Eligible Tons</t>
  </si>
  <si>
    <t>EL</t>
  </si>
  <si>
    <t>A5 Incentive</t>
  </si>
  <si>
    <t>EM</t>
  </si>
  <si>
    <t>A5 kWh Savings</t>
  </si>
  <si>
    <t>EN</t>
  </si>
  <si>
    <t>A5 Total-kW Red</t>
  </si>
  <si>
    <t>EO</t>
  </si>
  <si>
    <t xml:space="preserve"> A6-High Speed Low Volume Fan</t>
  </si>
  <si>
    <t>EP</t>
  </si>
  <si>
    <t xml:space="preserve"> A4a-Economizer (air cooled)</t>
  </si>
  <si>
    <t>A6 Eligible Tons</t>
  </si>
  <si>
    <t>EQ</t>
  </si>
  <si>
    <t>A4a Eligible Tons</t>
  </si>
  <si>
    <t>A6 Incentive</t>
  </si>
  <si>
    <t>ER</t>
  </si>
  <si>
    <t>A4a Incentive</t>
  </si>
  <si>
    <t>A6 kWh Savings</t>
  </si>
  <si>
    <t>ES</t>
  </si>
  <si>
    <t>A4a kWh Savings</t>
  </si>
  <si>
    <t>A6 Total-kW Red</t>
  </si>
  <si>
    <t>ET</t>
  </si>
  <si>
    <t>A4a Total-kW Red</t>
  </si>
  <si>
    <t xml:space="preserve"> B1-Reflective Roof Treatment</t>
  </si>
  <si>
    <t>EU</t>
  </si>
  <si>
    <t xml:space="preserve"> A4b-Economizer (water cooled)</t>
  </si>
  <si>
    <t>B1 Roof Area</t>
  </si>
  <si>
    <t>EV</t>
  </si>
  <si>
    <t>A4b Eligible Tons</t>
  </si>
  <si>
    <t>B1 Incentive</t>
  </si>
  <si>
    <t>EW</t>
  </si>
  <si>
    <t>A4b Incentive</t>
  </si>
  <si>
    <t>B1 kWh Savings</t>
  </si>
  <si>
    <t>EX</t>
  </si>
  <si>
    <t>A4b kWh Savings</t>
  </si>
  <si>
    <t>B1 Total-kW Red</t>
  </si>
  <si>
    <t>EY</t>
  </si>
  <si>
    <t>A4b Total-kW Red</t>
  </si>
  <si>
    <t xml:space="preserve"> C1-Energy Management Control System</t>
  </si>
  <si>
    <t>EZ</t>
  </si>
  <si>
    <t xml:space="preserve"> A5a-Direct Evaporative Coolers</t>
  </si>
  <si>
    <t>C1 Incentive</t>
  </si>
  <si>
    <t>FA</t>
  </si>
  <si>
    <t>A5a Eligible Tons</t>
  </si>
  <si>
    <t>C1 kWh Savings</t>
  </si>
  <si>
    <t>FB</t>
  </si>
  <si>
    <t>A5a Incentive</t>
  </si>
  <si>
    <t>C1 Total-kW Red</t>
  </si>
  <si>
    <t>FC</t>
  </si>
  <si>
    <t>A5a kWh Savings</t>
  </si>
  <si>
    <t xml:space="preserve"> C2-Guest Room EMS</t>
  </si>
  <si>
    <t>FD</t>
  </si>
  <si>
    <t>A5a Total-kW Red</t>
  </si>
  <si>
    <t>C2 Total-units</t>
  </si>
  <si>
    <t>FE</t>
  </si>
  <si>
    <t xml:space="preserve"> A5b-Indirect Evaporative Coolers</t>
  </si>
  <si>
    <t>C2 Total-Incentive</t>
  </si>
  <si>
    <t>FF</t>
  </si>
  <si>
    <t>A5b Eligible Tons</t>
  </si>
  <si>
    <t>C2 Total-kWh Savings</t>
  </si>
  <si>
    <t>FG</t>
  </si>
  <si>
    <t>A5b Incentive</t>
  </si>
  <si>
    <t xml:space="preserve"> C3-HVAC Variable Speed Drives</t>
  </si>
  <si>
    <t>FH</t>
  </si>
  <si>
    <t>A5b kWh Savings</t>
  </si>
  <si>
    <t>C3 Total-Incentive</t>
  </si>
  <si>
    <t>FI</t>
  </si>
  <si>
    <t>A5b Total-kW Red</t>
  </si>
  <si>
    <t>C3 Total-kWh Savings</t>
  </si>
  <si>
    <t>FJ</t>
  </si>
  <si>
    <t xml:space="preserve"> C4-Kitchen Hood VSD</t>
  </si>
  <si>
    <t>FK</t>
  </si>
  <si>
    <t>A6 Qty</t>
  </si>
  <si>
    <t>C4 Total-hp</t>
  </si>
  <si>
    <t>FL</t>
  </si>
  <si>
    <t>C4 Total-Incentive</t>
  </si>
  <si>
    <t>FM</t>
  </si>
  <si>
    <t>C4 Total-kWh Savings</t>
  </si>
  <si>
    <t>FN</t>
  </si>
  <si>
    <t xml:space="preserve"> C5-Onion/Potato Shed VSD</t>
  </si>
  <si>
    <t>FO</t>
  </si>
  <si>
    <t xml:space="preserve"> A7-Evaporative Pre-coolers</t>
  </si>
  <si>
    <t>C5 Total-hp</t>
  </si>
  <si>
    <t>FP</t>
  </si>
  <si>
    <t>A7 Eligible Tons</t>
  </si>
  <si>
    <t>C5 Total-Incentive</t>
  </si>
  <si>
    <t>FQ</t>
  </si>
  <si>
    <t>A7 Incentive</t>
  </si>
  <si>
    <t>C5 Total-kWh Savings</t>
  </si>
  <si>
    <t>FR</t>
  </si>
  <si>
    <t>A7 kWh Savings</t>
  </si>
  <si>
    <t>C6-Dairy Vacuum Pump Variable Speed Drive</t>
  </si>
  <si>
    <t>FS</t>
  </si>
  <si>
    <t>A7 Total-kW Red</t>
  </si>
  <si>
    <t>C6 Total-hp</t>
  </si>
  <si>
    <t>FT</t>
  </si>
  <si>
    <t>C6 Total-Incentive</t>
  </si>
  <si>
    <t>FU</t>
  </si>
  <si>
    <t>C6 Total-kWh Savings</t>
  </si>
  <si>
    <t>FV</t>
  </si>
  <si>
    <t>C6 Total-kW Red</t>
  </si>
  <si>
    <t>FW</t>
  </si>
  <si>
    <t>C7a-Wall Block Heater controls</t>
  </si>
  <si>
    <t>FX</t>
  </si>
  <si>
    <t>C7a Total-qty</t>
  </si>
  <si>
    <t>FY</t>
  </si>
  <si>
    <t>C7a Total-Incentive</t>
  </si>
  <si>
    <t>FZ</t>
  </si>
  <si>
    <t>C7a Total-kWh Savings</t>
  </si>
  <si>
    <t>GA</t>
  </si>
  <si>
    <t>C7a Total-kW Red</t>
  </si>
  <si>
    <t>GB</t>
  </si>
  <si>
    <t>C7b-Engine Block Heater controls</t>
  </si>
  <si>
    <t>GC</t>
  </si>
  <si>
    <t>C7b Total-qty</t>
  </si>
  <si>
    <t>GD</t>
  </si>
  <si>
    <t>C7b Total-Incentive</t>
  </si>
  <si>
    <t>GE</t>
  </si>
  <si>
    <t>C7b Total-kWh Savings</t>
  </si>
  <si>
    <t>GF</t>
  </si>
  <si>
    <t>C7b Total-kW Red</t>
  </si>
  <si>
    <t>GG</t>
  </si>
  <si>
    <t>W1-Efficient Laundry Machines</t>
  </si>
  <si>
    <t>GH</t>
  </si>
  <si>
    <t>W1-Qty</t>
  </si>
  <si>
    <t>GI</t>
  </si>
  <si>
    <t>W1-Incentive</t>
  </si>
  <si>
    <t>GJ</t>
  </si>
  <si>
    <t>W1 kWh Savings</t>
  </si>
  <si>
    <t>GK</t>
  </si>
  <si>
    <t>W1 Total-kW Red</t>
  </si>
  <si>
    <t>GL</t>
  </si>
  <si>
    <t>D1-Energy Star U/C Dishwashers</t>
  </si>
  <si>
    <t>GM</t>
  </si>
  <si>
    <t>D1-Qty</t>
  </si>
  <si>
    <t>GN</t>
  </si>
  <si>
    <t>D1-Incentive</t>
  </si>
  <si>
    <t>GO</t>
  </si>
  <si>
    <t>D1 kWh Savings</t>
  </si>
  <si>
    <t>GP</t>
  </si>
  <si>
    <t>D1 Total-kW Red</t>
  </si>
  <si>
    <t>GQ</t>
  </si>
  <si>
    <t>D2-Energy Star Commercial Dishwashers</t>
  </si>
  <si>
    <t>GR</t>
  </si>
  <si>
    <t>D2-Qty</t>
  </si>
  <si>
    <t>GS</t>
  </si>
  <si>
    <t>D2-Incentive</t>
  </si>
  <si>
    <t>GT</t>
  </si>
  <si>
    <t>D2 kWh Savings</t>
  </si>
  <si>
    <t>GU</t>
  </si>
  <si>
    <t>D2 Total-kW Red</t>
  </si>
  <si>
    <t>GV</t>
  </si>
  <si>
    <t>R1-Head Pressure Controls</t>
  </si>
  <si>
    <t>GW</t>
  </si>
  <si>
    <t>C7-Dairy/Milk Transfer Pump</t>
  </si>
  <si>
    <t>R1-hp</t>
  </si>
  <si>
    <t>GX</t>
  </si>
  <si>
    <t>C7 Total-qty</t>
  </si>
  <si>
    <t>R1-Incentive</t>
  </si>
  <si>
    <t>GY</t>
  </si>
  <si>
    <t>C7 Total-Incentive</t>
  </si>
  <si>
    <t>R1 kWh Savings</t>
  </si>
  <si>
    <t>GZ</t>
  </si>
  <si>
    <t>C7 Total-kWh Savings</t>
  </si>
  <si>
    <t>R1 Total-kW Red</t>
  </si>
  <si>
    <t>HA</t>
  </si>
  <si>
    <t>C7 Total-kW Red</t>
  </si>
  <si>
    <t>R2-Floating Suction Controls</t>
  </si>
  <si>
    <t>HB</t>
  </si>
  <si>
    <t>R2-hp</t>
  </si>
  <si>
    <t>HC</t>
  </si>
  <si>
    <t>R2-Incentive</t>
  </si>
  <si>
    <t>HD</t>
  </si>
  <si>
    <t>R2 kWh Savings</t>
  </si>
  <si>
    <t>HE</t>
  </si>
  <si>
    <t>R2 Total-kW Red</t>
  </si>
  <si>
    <t>HF</t>
  </si>
  <si>
    <t>R3-Efficient Condensers</t>
  </si>
  <si>
    <t>HG</t>
  </si>
  <si>
    <t>I1a-ENERGY STAR Ice Machine &lt;200 lbs/day</t>
  </si>
  <si>
    <t>R3-ton</t>
  </si>
  <si>
    <t>HH</t>
  </si>
  <si>
    <t>I1a-Qty</t>
  </si>
  <si>
    <t>R3-Incentive</t>
  </si>
  <si>
    <t>HI</t>
  </si>
  <si>
    <t>I1a-Incentive</t>
  </si>
  <si>
    <t>R3 kWh Savings</t>
  </si>
  <si>
    <t>HJ</t>
  </si>
  <si>
    <t>I1a kWh Savings</t>
  </si>
  <si>
    <t>R3 Total-kW Red</t>
  </si>
  <si>
    <t>HK</t>
  </si>
  <si>
    <t>I1a Total-kW Red</t>
  </si>
  <si>
    <t>R4a-Refrigerator Strip Curtains</t>
  </si>
  <si>
    <t>HL</t>
  </si>
  <si>
    <t>I1b-ENERGY STAR Ice Machine &gt;=200 lbs/day</t>
  </si>
  <si>
    <t>R4a Total-qty</t>
  </si>
  <si>
    <t>HM</t>
  </si>
  <si>
    <t>I1b-Qty</t>
  </si>
  <si>
    <t>R4a Total-Incentive</t>
  </si>
  <si>
    <t>HN</t>
  </si>
  <si>
    <t>I1b-Incentive</t>
  </si>
  <si>
    <t>R4a Total-kWh Savings</t>
  </si>
  <si>
    <t>HO</t>
  </si>
  <si>
    <t>I1b kWh Savings</t>
  </si>
  <si>
    <t>R4a Total-kW Red</t>
  </si>
  <si>
    <t>HP</t>
  </si>
  <si>
    <t>I1b Total-kW Red</t>
  </si>
  <si>
    <t>R4b-Freezer Strip Curtains</t>
  </si>
  <si>
    <t>HQ</t>
  </si>
  <si>
    <t>E1a-Stationary Pump Circulating Block Heating &lt;= 200 kWh</t>
  </si>
  <si>
    <t>R4b Total-qty</t>
  </si>
  <si>
    <t>HR</t>
  </si>
  <si>
    <t>E1a-Qty</t>
  </si>
  <si>
    <t>R4b Total-Incentive</t>
  </si>
  <si>
    <t>HS</t>
  </si>
  <si>
    <t>E1a-Incentive</t>
  </si>
  <si>
    <t>R4b Total-kWh Savings</t>
  </si>
  <si>
    <t>HT</t>
  </si>
  <si>
    <t>E1a kWh Savings</t>
  </si>
  <si>
    <t>R4b Total-kW Red</t>
  </si>
  <si>
    <t>HU</t>
  </si>
  <si>
    <t>E1a Total-kW Red</t>
  </si>
  <si>
    <t>R5a-Automatic High Speed Door: Btw Frz &amp; Rfg</t>
  </si>
  <si>
    <t>HV</t>
  </si>
  <si>
    <t>Revised in 2021</t>
  </si>
  <si>
    <t>E1b-Stationary Pump Circulating Block Heating 201-500 kWh</t>
  </si>
  <si>
    <t>R5a Total-qty</t>
  </si>
  <si>
    <t>HW</t>
  </si>
  <si>
    <t>Revised in 2022</t>
  </si>
  <si>
    <t>E1b-Qty</t>
  </si>
  <si>
    <t>R5a Total-Incentive</t>
  </si>
  <si>
    <t>HX</t>
  </si>
  <si>
    <t>Revised in 2023</t>
  </si>
  <si>
    <t>E1b-Incentive</t>
  </si>
  <si>
    <t>R5a Total-kWh Savings</t>
  </si>
  <si>
    <t>HY</t>
  </si>
  <si>
    <t>Revised in 2024</t>
  </si>
  <si>
    <t>E1b kWh Savings</t>
  </si>
  <si>
    <t>R5a Total-kW Red</t>
  </si>
  <si>
    <t>HZ</t>
  </si>
  <si>
    <t>Revised in 2025</t>
  </si>
  <si>
    <t>E1b Total-kW Red</t>
  </si>
  <si>
    <t>R5b-Automatic High Speed Door: Btw Frz &amp; Unrfg dock</t>
  </si>
  <si>
    <t>IA</t>
  </si>
  <si>
    <t>Revised in 2026</t>
  </si>
  <si>
    <t>E1c-Stationary Pump Circulating Block Heating 501-1,000 kWh</t>
  </si>
  <si>
    <t>R5b Total-qty</t>
  </si>
  <si>
    <t>IB</t>
  </si>
  <si>
    <t>Revised in 2027</t>
  </si>
  <si>
    <t>E1c-Qty</t>
  </si>
  <si>
    <t>R5b Total-Incentive</t>
  </si>
  <si>
    <t>IC</t>
  </si>
  <si>
    <t>Revised in 2028</t>
  </si>
  <si>
    <t>E1c-Incentive</t>
  </si>
  <si>
    <t>R5b Total-kWh Savings</t>
  </si>
  <si>
    <t>ID</t>
  </si>
  <si>
    <t>Revised in 2029</t>
  </si>
  <si>
    <t>E1c kWh Savings</t>
  </si>
  <si>
    <t>R5b Total-kW Red</t>
  </si>
  <si>
    <t>IE</t>
  </si>
  <si>
    <t>Revised in 2030</t>
  </si>
  <si>
    <t>E1c Total-kW Red</t>
  </si>
  <si>
    <t>P1-Smart Strips</t>
  </si>
  <si>
    <t>IF</t>
  </si>
  <si>
    <t>E2-High Efficiency Battery Charger</t>
  </si>
  <si>
    <t>P1-unit</t>
  </si>
  <si>
    <t>IG</t>
  </si>
  <si>
    <t>E2-Single Phase Qty</t>
  </si>
  <si>
    <t>P1-Incentive</t>
  </si>
  <si>
    <t>IH</t>
  </si>
  <si>
    <t>E2-Three Phase Qty</t>
  </si>
  <si>
    <t>P1-kWh Savings</t>
  </si>
  <si>
    <t>II</t>
  </si>
  <si>
    <t>E2-Incentive</t>
  </si>
  <si>
    <t>CA1-Air Compressor VSD</t>
  </si>
  <si>
    <t>IJ</t>
  </si>
  <si>
    <t>E2 kWh Savings</t>
  </si>
  <si>
    <t>CA1 Total-qty</t>
  </si>
  <si>
    <t>IK</t>
  </si>
  <si>
    <t>E2 Total-kW Red</t>
  </si>
  <si>
    <t>CA1 Total-Incentive</t>
  </si>
  <si>
    <t>IL</t>
  </si>
  <si>
    <t>E3a-Wall Mounted Block Heater Controls</t>
  </si>
  <si>
    <t>CA1 Total-kWh Savings</t>
  </si>
  <si>
    <t>IM</t>
  </si>
  <si>
    <t>E3a-Qty</t>
  </si>
  <si>
    <t>CA1 Total-kW Red</t>
  </si>
  <si>
    <t>IN</t>
  </si>
  <si>
    <t>E3a-Incentive</t>
  </si>
  <si>
    <t>CA2-No Loss Condensate Drain</t>
  </si>
  <si>
    <t>IO</t>
  </si>
  <si>
    <t>E3a kWh Savings</t>
  </si>
  <si>
    <t>CA2 Total-qty</t>
  </si>
  <si>
    <t>IP</t>
  </si>
  <si>
    <t>E3a Total-kW Red</t>
  </si>
  <si>
    <t>CA2 Total-Incentive</t>
  </si>
  <si>
    <t>IQ</t>
  </si>
  <si>
    <t>E3b-Engine Mounted Block Heater Controls</t>
  </si>
  <si>
    <t>CA2 Total-kWh Savings</t>
  </si>
  <si>
    <t>IR</t>
  </si>
  <si>
    <t>E3b-Qty</t>
  </si>
  <si>
    <t>CA2 Total-kW Red</t>
  </si>
  <si>
    <t>IS</t>
  </si>
  <si>
    <t>E3b-Incentive</t>
  </si>
  <si>
    <t>CA3-Low Pressure Drop Filter</t>
  </si>
  <si>
    <t>IT</t>
  </si>
  <si>
    <t>E3b kWh Savings</t>
  </si>
  <si>
    <t>CA3 Total-qty</t>
  </si>
  <si>
    <t>IU</t>
  </si>
  <si>
    <t>E3b Total-kW Red</t>
  </si>
  <si>
    <t>CA3 Total-Incentive</t>
  </si>
  <si>
    <t>IV</t>
  </si>
  <si>
    <t>R1-Efficient Condensers</t>
  </si>
  <si>
    <t>CA3 Total-kWh Savings</t>
  </si>
  <si>
    <t>IW</t>
  </si>
  <si>
    <t>R1-ton</t>
  </si>
  <si>
    <t>CA3 Total-kW Red</t>
  </si>
  <si>
    <t>IX</t>
  </si>
  <si>
    <t>CA4-Refrigerated Compressed Air Dryer</t>
  </si>
  <si>
    <t>IY</t>
  </si>
  <si>
    <t>CA4 Total-qty</t>
  </si>
  <si>
    <t>IZ</t>
  </si>
  <si>
    <t>CA4 Total-Incentive</t>
  </si>
  <si>
    <t>JA</t>
  </si>
  <si>
    <t>R2a-Automatic High Speed Door: Btw Rfg &amp; Unrfg dock</t>
  </si>
  <si>
    <t>CA4 Total-kWh Savings</t>
  </si>
  <si>
    <t>JB</t>
  </si>
  <si>
    <t>R2a-Qty</t>
  </si>
  <si>
    <t>CA4 Total-kW Red</t>
  </si>
  <si>
    <t>JC</t>
  </si>
  <si>
    <t>R2a-Incentive</t>
  </si>
  <si>
    <t>CA5a-Compressed Air Nozzle &lt;=1/4"</t>
  </si>
  <si>
    <t>JD</t>
  </si>
  <si>
    <t>R2a kWh Savings</t>
  </si>
  <si>
    <t>CA5a Total-qty</t>
  </si>
  <si>
    <t>JE</t>
  </si>
  <si>
    <t>R2a Total-kW Red</t>
  </si>
  <si>
    <t>CA5a Total-Incentive</t>
  </si>
  <si>
    <t>JF</t>
  </si>
  <si>
    <t>R2b-Automatic High Speed Door: Btw Frz &amp; Rfg</t>
  </si>
  <si>
    <t>CA5a Total-kWh Savings</t>
  </si>
  <si>
    <t>JG</t>
  </si>
  <si>
    <t>R2b Total-qty</t>
  </si>
  <si>
    <t>CA5a Total-kW Red</t>
  </si>
  <si>
    <t>JH</t>
  </si>
  <si>
    <t>R2b Total-Incentive</t>
  </si>
  <si>
    <t>CA5b-Compressed Air Nozzle &gt;1/4"</t>
  </si>
  <si>
    <t>JI</t>
  </si>
  <si>
    <t>R2b Total-kWh Savings</t>
  </si>
  <si>
    <t>CA5b Total-qty</t>
  </si>
  <si>
    <t>JJ</t>
  </si>
  <si>
    <t>R2b Total-kW Red</t>
  </si>
  <si>
    <t>CA5b Total-Incentive</t>
  </si>
  <si>
    <t>JK</t>
  </si>
  <si>
    <t>R2c-Automatic High Speed Door: Btw Frz &amp; Unrfg dock</t>
  </si>
  <si>
    <t>CA5b Total-kWh Savings</t>
  </si>
  <si>
    <t>JL</t>
  </si>
  <si>
    <t>R2c Total-qty</t>
  </si>
  <si>
    <t>CA5b Total-kW Red</t>
  </si>
  <si>
    <t>JM</t>
  </si>
  <si>
    <t>R2c Total-Incentive</t>
  </si>
  <si>
    <t>Total Incentive</t>
  </si>
  <si>
    <t>JN</t>
  </si>
  <si>
    <t>R2c Total-kWh Savings</t>
  </si>
  <si>
    <t>Total kWh Savings</t>
  </si>
  <si>
    <t>JO</t>
  </si>
  <si>
    <t>R2c Total-kW Red</t>
  </si>
  <si>
    <t>Total kW Reduction</t>
  </si>
  <si>
    <t>JP</t>
  </si>
  <si>
    <t>R3-Evaporative Pre-coolers on air cooled condensers (refrig)</t>
  </si>
  <si>
    <t>JQ</t>
  </si>
  <si>
    <t>R3-Qty</t>
  </si>
  <si>
    <t>A1: 1-Qty</t>
  </si>
  <si>
    <t>JR</t>
  </si>
  <si>
    <t>A1: 1-Tons</t>
  </si>
  <si>
    <t>JS</t>
  </si>
  <si>
    <t>A1: 1-Type (use drop-down menu)</t>
  </si>
  <si>
    <t>JT</t>
  </si>
  <si>
    <t>A1: 1-Heating Section Type</t>
  </si>
  <si>
    <t>JU</t>
  </si>
  <si>
    <t>A1: 1-Split or Single</t>
  </si>
  <si>
    <t>JV</t>
  </si>
  <si>
    <t>A1: 1-Model / Designation</t>
  </si>
  <si>
    <t>JW</t>
  </si>
  <si>
    <t>A1: 1-Actual Eff.</t>
  </si>
  <si>
    <t>JX</t>
  </si>
  <si>
    <t>renamed</t>
  </si>
  <si>
    <t>A1: 1-Efficiency Units</t>
  </si>
  <si>
    <t>JY</t>
  </si>
  <si>
    <t>A1: 1-Min Elig. ($30)</t>
  </si>
  <si>
    <t>JZ</t>
  </si>
  <si>
    <t>A1: 1-Qualified ($30)</t>
  </si>
  <si>
    <t>KA</t>
  </si>
  <si>
    <t>A1: 1-Min Elig. ($75)</t>
  </si>
  <si>
    <t>KB</t>
  </si>
  <si>
    <t>A1: 1-Qualified ($75)</t>
  </si>
  <si>
    <t>KC</t>
  </si>
  <si>
    <t>A1: 1-Incentive
(tons x $30 or $75)</t>
  </si>
  <si>
    <t>KD</t>
  </si>
  <si>
    <t>A1: 1-kWh Savings</t>
  </si>
  <si>
    <t>KE</t>
  </si>
  <si>
    <t>A1: 1-kW Reduction</t>
  </si>
  <si>
    <t>KF</t>
  </si>
  <si>
    <t>A1: 2-Qty</t>
  </si>
  <si>
    <t>KG</t>
  </si>
  <si>
    <t>A1: 2-Tons</t>
  </si>
  <si>
    <t>KH</t>
  </si>
  <si>
    <t>A1: 2-Type (use drop-down menu)</t>
  </si>
  <si>
    <t>KI</t>
  </si>
  <si>
    <t>A1: 2-Heating Section Type</t>
  </si>
  <si>
    <t>KJ</t>
  </si>
  <si>
    <t>A1: 2-Split or Single</t>
  </si>
  <si>
    <t>KK</t>
  </si>
  <si>
    <t>A1: 2-Model / Designation</t>
  </si>
  <si>
    <t>KL</t>
  </si>
  <si>
    <t>A1: 2-Actual Eff.</t>
  </si>
  <si>
    <t>KM</t>
  </si>
  <si>
    <t>A1: 2-Efficiency Units</t>
  </si>
  <si>
    <t>KN</t>
  </si>
  <si>
    <t>A1: 2-Min Elig. ($30)</t>
  </si>
  <si>
    <t>KO</t>
  </si>
  <si>
    <t>CA5-Compressed Air Nozzle</t>
  </si>
  <si>
    <t>A1: 2-Qualified ($30)</t>
  </si>
  <si>
    <t>KP</t>
  </si>
  <si>
    <t>CA5 Total-qty</t>
  </si>
  <si>
    <t>A1: 2-Min Elig. ($75)</t>
  </si>
  <si>
    <t>KQ</t>
  </si>
  <si>
    <t>CA5 Total-Incentive</t>
  </si>
  <si>
    <t>A1: 2-Qualified ($75)</t>
  </si>
  <si>
    <t>KR</t>
  </si>
  <si>
    <t>CA5 Total-kWh Savings</t>
  </si>
  <si>
    <t>A1: 2-Incentive
(tons x $30 or $75)</t>
  </si>
  <si>
    <t>KS</t>
  </si>
  <si>
    <t>CA5 Total-kW Red</t>
  </si>
  <si>
    <t>A1: 2-kWh Savings</t>
  </si>
  <si>
    <t>KT</t>
  </si>
  <si>
    <t>A1: 2-kW Reduction</t>
  </si>
  <si>
    <t>KU</t>
  </si>
  <si>
    <t>A1: 3-Qty</t>
  </si>
  <si>
    <t>KV</t>
  </si>
  <si>
    <t>A1: 3-Tons</t>
  </si>
  <si>
    <t>KW</t>
  </si>
  <si>
    <t>A1: 3-Type (use drop-down menu)</t>
  </si>
  <si>
    <t>KX</t>
  </si>
  <si>
    <t>x</t>
  </si>
  <si>
    <t>A1: 3-Heating Section Type</t>
  </si>
  <si>
    <t>KY</t>
  </si>
  <si>
    <t>A1: 3-Split or Single</t>
  </si>
  <si>
    <t>KZ</t>
  </si>
  <si>
    <t>A1: 3-Model / Designation</t>
  </si>
  <si>
    <t>LA</t>
  </si>
  <si>
    <t>A1: 3-Actual Eff.</t>
  </si>
  <si>
    <t>LB</t>
  </si>
  <si>
    <t>A1: 3-Efficiency Units</t>
  </si>
  <si>
    <t>LC</t>
  </si>
  <si>
    <t>A1: 3-Min Elig. ($30)</t>
  </si>
  <si>
    <t>LD</t>
  </si>
  <si>
    <t>A1: 1-Actual Eff. EER/SEER</t>
  </si>
  <si>
    <t>A1: 3-Qualified ($30)</t>
  </si>
  <si>
    <t>LE</t>
  </si>
  <si>
    <t>A1: 1-Efficiency Units (EER/SEER)</t>
  </si>
  <si>
    <t>A1: 3-Min Elig. ($75)</t>
  </si>
  <si>
    <t>LF</t>
  </si>
  <si>
    <t>A1: 1-Actual Eff. EER/IEER</t>
  </si>
  <si>
    <t>A1: 3-Qualified ($75)</t>
  </si>
  <si>
    <t>LG</t>
  </si>
  <si>
    <t>A1: 1-Efficiency Units (EER/IEER)</t>
  </si>
  <si>
    <t>A1: 3-Incentive
(tons x $30 or $75)</t>
  </si>
  <si>
    <t>LH</t>
  </si>
  <si>
    <t>A1: 1-Tier 1 Min Elig. (EER/SEER)</t>
  </si>
  <si>
    <t>A1: 3-kWh Savings</t>
  </si>
  <si>
    <t>LI</t>
  </si>
  <si>
    <t>A1: 1-Tier 1 Min Elig. (EER/IEER)</t>
  </si>
  <si>
    <t>A1: 3-kW Reduction</t>
  </si>
  <si>
    <t>LJ</t>
  </si>
  <si>
    <t>A1: 1-Tier 1 Qualified</t>
  </si>
  <si>
    <t>A1: 4-Qty</t>
  </si>
  <si>
    <t>LK</t>
  </si>
  <si>
    <t>A1: 1-Tier 2 Min Elig. (EER/SEER)</t>
  </si>
  <si>
    <t>A1: 4-Tons</t>
  </si>
  <si>
    <t>LL</t>
  </si>
  <si>
    <t>A1: 1-Tier 2 Min Elig. (EER/IEER)</t>
  </si>
  <si>
    <t>A1: 4-Type (use drop-down menu)</t>
  </si>
  <si>
    <t>LM</t>
  </si>
  <si>
    <t>A1: 1-Tier 2 Qualified</t>
  </si>
  <si>
    <t>A1: 4-Heating Section Type</t>
  </si>
  <si>
    <t>LN</t>
  </si>
  <si>
    <t>A1: 1-Incentive</t>
  </si>
  <si>
    <t>A1: 4-Split or Single</t>
  </si>
  <si>
    <t>LO</t>
  </si>
  <si>
    <t>A1: 4-Model / Designation</t>
  </si>
  <si>
    <t>LP</t>
  </si>
  <si>
    <t>A1: 4-Actual Eff.</t>
  </si>
  <si>
    <t>LQ</t>
  </si>
  <si>
    <t>A1: 4-Efficiency Units</t>
  </si>
  <si>
    <t>LR</t>
  </si>
  <si>
    <t>A1: 4-Min Elig. ($30)</t>
  </si>
  <si>
    <t>LS</t>
  </si>
  <si>
    <t>A1: 4-Qualified ($30)</t>
  </si>
  <si>
    <t>LT</t>
  </si>
  <si>
    <t>A1: 4-Min Elig. ($75)</t>
  </si>
  <si>
    <t>LU</t>
  </si>
  <si>
    <t>A1: 4-Qualified ($75)</t>
  </si>
  <si>
    <t>LV</t>
  </si>
  <si>
    <t>A1: 4-Incentive
(tons x $30 or $75)</t>
  </si>
  <si>
    <t>LW</t>
  </si>
  <si>
    <t>A1: 2-Actual Eff. EER/SEER</t>
  </si>
  <si>
    <t>A1: 4-kWh Savings</t>
  </si>
  <si>
    <t>LX</t>
  </si>
  <si>
    <t>A1: 2-Efficiency Units (EER/SEER)</t>
  </si>
  <si>
    <t>A1: 4-kW Reduction</t>
  </si>
  <si>
    <t>LY</t>
  </si>
  <si>
    <t>A1: 2-Actual Eff. EER/IEER</t>
  </si>
  <si>
    <t>A1: 5-Qty</t>
  </si>
  <si>
    <t>LZ</t>
  </si>
  <si>
    <t>A1: 2-Efficiency Units (EER/IEER)</t>
  </si>
  <si>
    <t>A1: 5-Tons</t>
  </si>
  <si>
    <t>MA</t>
  </si>
  <si>
    <t>A1: 2-Tier 1 Min Elig. (EER/SEER)</t>
  </si>
  <si>
    <t>A1: 5-Type (use drop-down menu)</t>
  </si>
  <si>
    <t>MB</t>
  </si>
  <si>
    <t>A1: 2-Tier 1 Min Elig. (EER/IEER)</t>
  </si>
  <si>
    <t>A1: 5-Heating Section Type</t>
  </si>
  <si>
    <t>MC</t>
  </si>
  <si>
    <t>A1: 2-Tier 1 Qualified</t>
  </si>
  <si>
    <t>A1: 5-Split or Single</t>
  </si>
  <si>
    <t>MD</t>
  </si>
  <si>
    <t>A1: 2-Tier 2 Min Elig. (EER/SEER)</t>
  </si>
  <si>
    <t>A1: 5-Model / Designation</t>
  </si>
  <si>
    <t>ME</t>
  </si>
  <si>
    <t>A1: 2-Tier 2 Min Elig. (EER/IEER)</t>
  </si>
  <si>
    <t>A1: 5-Actual Eff.</t>
  </si>
  <si>
    <t>MF</t>
  </si>
  <si>
    <t>A1: 2-Tier 2 Qualified</t>
  </si>
  <si>
    <t>A1: 5-Efficiency Units</t>
  </si>
  <si>
    <t>MG</t>
  </si>
  <si>
    <t>A1: 2-Incentive</t>
  </si>
  <si>
    <t>A1: 5-Min Elig. ($30)</t>
  </si>
  <si>
    <t>MH</t>
  </si>
  <si>
    <t>A1: 5-Qualified ($30)</t>
  </si>
  <si>
    <t>MI</t>
  </si>
  <si>
    <t>A1: 5-Min Elig. ($75)</t>
  </si>
  <si>
    <t>MJ</t>
  </si>
  <si>
    <t>A1: 5-Qualified ($75)</t>
  </si>
  <si>
    <t>MK</t>
  </si>
  <si>
    <t>A1: 5-Incentive
(tons x $30 or $75)</t>
  </si>
  <si>
    <t>ML</t>
  </si>
  <si>
    <t>A1: 5-kWh Savings</t>
  </si>
  <si>
    <t>MM</t>
  </si>
  <si>
    <t>A1: 5-kW Reduction</t>
  </si>
  <si>
    <t>MN</t>
  </si>
  <si>
    <t>A1: 6-Qty</t>
  </si>
  <si>
    <t>MO</t>
  </si>
  <si>
    <t>A1: 6-Tons</t>
  </si>
  <si>
    <t>MP</t>
  </si>
  <si>
    <t>A1: 3-Actual Eff. EER/SEER</t>
  </si>
  <si>
    <t>A1: 6-Type (use drop-down menu)</t>
  </si>
  <si>
    <t>MQ</t>
  </si>
  <si>
    <t>A1: 3-Efficiency Units (EER/SEER)</t>
  </si>
  <si>
    <t>A1: 6-Heating Section Type</t>
  </si>
  <si>
    <t>MR</t>
  </si>
  <si>
    <t>A1: 3-Actual Eff. EER/IEER</t>
  </si>
  <si>
    <t>A1: 6-Split or Single</t>
  </si>
  <si>
    <t>MS</t>
  </si>
  <si>
    <t>A1: 3-Efficiency Units (EER/IEER)</t>
  </si>
  <si>
    <t>A1: 6-Model / Designation</t>
  </si>
  <si>
    <t>MT</t>
  </si>
  <si>
    <t>A1: 3-Tier 1 Min Elig. (EER/SEER)</t>
  </si>
  <si>
    <t>A1: 6-Actual Eff.</t>
  </si>
  <si>
    <t>MU</t>
  </si>
  <si>
    <t>A1: 3-Tier 1 Min Elig. (EER/IEER)</t>
  </si>
  <si>
    <t>A1: 6-Efficiency Units</t>
  </si>
  <si>
    <t>MV</t>
  </si>
  <si>
    <t>A1: 3-Tier 1 Qualified</t>
  </si>
  <si>
    <t>A1: 6-Min Elig. ($30)</t>
  </si>
  <si>
    <t>MW</t>
  </si>
  <si>
    <t>A1: 3-Tier 2 Min Elig. (EER/SEER)</t>
  </si>
  <si>
    <t>A1: 6-Qualified ($30)</t>
  </si>
  <si>
    <t>MX</t>
  </si>
  <si>
    <t>A1: 3-Tier 2 Min Elig. (EER/IEER)</t>
  </si>
  <si>
    <t>A1: 6-Min Elig. ($75)</t>
  </si>
  <si>
    <t>MY</t>
  </si>
  <si>
    <t>A1: 3-Tier 2 Qualified</t>
  </si>
  <si>
    <t>A1: 6-Qualified ($75)</t>
  </si>
  <si>
    <t>MZ</t>
  </si>
  <si>
    <t>A1: 3-Incentive</t>
  </si>
  <si>
    <t>A1: 6-Incentive
(tons x $30 or $75)</t>
  </si>
  <si>
    <t>NA</t>
  </si>
  <si>
    <t>A1: 6-kWh Savings</t>
  </si>
  <si>
    <t>NB</t>
  </si>
  <si>
    <t>A1: 6-kW Reduction</t>
  </si>
  <si>
    <t>NC</t>
  </si>
  <si>
    <t>A1: 7-Qty</t>
  </si>
  <si>
    <t>ND</t>
  </si>
  <si>
    <t>A1: 7-Tons</t>
  </si>
  <si>
    <t>NE</t>
  </si>
  <si>
    <t>A1: 7-Type (use drop-down menu)</t>
  </si>
  <si>
    <t>NF</t>
  </si>
  <si>
    <t>A1: 7-Heating Section Type</t>
  </si>
  <si>
    <t>NG</t>
  </si>
  <si>
    <t>A1: 7-Split or Single</t>
  </si>
  <si>
    <t>NH</t>
  </si>
  <si>
    <t>A1: 7-Model / Designation</t>
  </si>
  <si>
    <t>NI</t>
  </si>
  <si>
    <t>A1: 4-Actual Eff. EER/SEER</t>
  </si>
  <si>
    <t>A1: 7-Actual Eff.</t>
  </si>
  <si>
    <t>NJ</t>
  </si>
  <si>
    <t>A1: 4-Efficiency Units (EER/SEER)</t>
  </si>
  <si>
    <t>A1: 7-Efficiency Units</t>
  </si>
  <si>
    <t>NK</t>
  </si>
  <si>
    <t>A1: 4-Actual Eff. EER/IEER</t>
  </si>
  <si>
    <t>A1: 7-Min Elig. ($30)</t>
  </si>
  <si>
    <t>NL</t>
  </si>
  <si>
    <t>A1: 4-Efficiency Units (EER/IEER)</t>
  </si>
  <si>
    <t>A1: 7-Qualified ($30)</t>
  </si>
  <si>
    <t>NM</t>
  </si>
  <si>
    <t>A1: 4-Tier 1 Min Elig. (EER/SEER)</t>
  </si>
  <si>
    <t>A1: 7-Min Elig. ($75)</t>
  </si>
  <si>
    <t>NN</t>
  </si>
  <si>
    <t>A1: 4-Tier 1 Min Elig. (EER/IEER)</t>
  </si>
  <si>
    <t>A1: 7-Qualified ($75)</t>
  </si>
  <si>
    <t>NO</t>
  </si>
  <si>
    <t>A1: 4-Tier 1 Qualified</t>
  </si>
  <si>
    <t>A1: 7-Incentive
(tons x $30 or $75)</t>
  </si>
  <si>
    <t>NP</t>
  </si>
  <si>
    <t>A1: 4-Tier 2 Min Elig. (EER/SEER)</t>
  </si>
  <si>
    <t>A1: 7-kWh Savings</t>
  </si>
  <si>
    <t>NQ</t>
  </si>
  <si>
    <t>A1: 4-Tier 2 Min Elig. (EER/IEER)</t>
  </si>
  <si>
    <t>A1: 7-kW Reduction</t>
  </si>
  <si>
    <t>NR</t>
  </si>
  <si>
    <t>A1: 4-Tier 2 Qualified</t>
  </si>
  <si>
    <t>A1: 8-Qty</t>
  </si>
  <si>
    <t>NS</t>
  </si>
  <si>
    <t>A1: 4-Incentive</t>
  </si>
  <si>
    <t>A1: 8-Tons</t>
  </si>
  <si>
    <t>NT</t>
  </si>
  <si>
    <t>A1: 8-Type (use drop-down menu)</t>
  </si>
  <si>
    <t>NU</t>
  </si>
  <si>
    <t>A1: 8-Heating Section Type</t>
  </si>
  <si>
    <t>NV</t>
  </si>
  <si>
    <t>A1: 8-Split or Single</t>
  </si>
  <si>
    <t>NW</t>
  </si>
  <si>
    <t>A1: 8-Model / Designation</t>
  </si>
  <si>
    <t>NX</t>
  </si>
  <si>
    <t>A1: 8-Actual Eff.</t>
  </si>
  <si>
    <t>NY</t>
  </si>
  <si>
    <t>A1: 8-Efficiency Units</t>
  </si>
  <si>
    <t>NZ</t>
  </si>
  <si>
    <t>A1: 8-Min Elig. ($30)</t>
  </si>
  <si>
    <t>OA</t>
  </si>
  <si>
    <t>A1: 8-Qualified ($30)</t>
  </si>
  <si>
    <t>OB</t>
  </si>
  <si>
    <t>A1: 5-Actual Eff. EER/SEER</t>
  </si>
  <si>
    <t>A1: 8-Min Elig. ($75)</t>
  </si>
  <si>
    <t>OC</t>
  </si>
  <si>
    <t>A1: 5-Efficiency Units (EER/SEER)</t>
  </si>
  <si>
    <t>A1: 8-Qualified ($75)</t>
  </si>
  <si>
    <t>OD</t>
  </si>
  <si>
    <t>A1: 5-Actual Eff. EER/IEER</t>
  </si>
  <si>
    <t>A1: 8-Incentive
(tons x $30 or $75)</t>
  </si>
  <si>
    <t>OE</t>
  </si>
  <si>
    <t>A1: 5-Efficiency Units (EER/IEER)</t>
  </si>
  <si>
    <t>A1: 8-kWh Savings</t>
  </si>
  <si>
    <t>OF</t>
  </si>
  <si>
    <t>A1: 5-Tier 1 Min Elig. (EER/SEER)</t>
  </si>
  <si>
    <t>A1: 8-kW Reduction</t>
  </si>
  <si>
    <t>OG</t>
  </si>
  <si>
    <t>A1: 5-Tier 1 Min Elig. (EER/IEER)</t>
  </si>
  <si>
    <t>A1: 9-Qty</t>
  </si>
  <si>
    <t>OH</t>
  </si>
  <si>
    <t>A1: 5-Tier 1 Qualified</t>
  </si>
  <si>
    <t>A1: 9-Tons</t>
  </si>
  <si>
    <t>OI</t>
  </si>
  <si>
    <t>A1: 5-Tier 2 Min Elig. (EER/SEER)</t>
  </si>
  <si>
    <t>A1: 9-Type (use drop-down menu)</t>
  </si>
  <si>
    <t>OJ</t>
  </si>
  <si>
    <t>A1: 5-Tier 2 Min Elig. (EER/IEER)</t>
  </si>
  <si>
    <t>A1: 9-Heating Section Type</t>
  </si>
  <si>
    <t>OK</t>
  </si>
  <si>
    <t>A1: 5-Tier 2 Qualified</t>
  </si>
  <si>
    <t>A1: 9-Split or Single</t>
  </si>
  <si>
    <t>OL</t>
  </si>
  <si>
    <t>A1: 5-Incentive</t>
  </si>
  <si>
    <t>A1: 9-Model / Designation</t>
  </si>
  <si>
    <t>OM</t>
  </si>
  <si>
    <t>A1: 9-Actual Eff.</t>
  </si>
  <si>
    <t>ON</t>
  </si>
  <si>
    <t>A1: 9-Efficiency Units</t>
  </si>
  <si>
    <t>OO</t>
  </si>
  <si>
    <t>A1: 9-Min Elig. ($30)</t>
  </si>
  <si>
    <t>OP</t>
  </si>
  <si>
    <t>A1: 9-Qualified ($30)</t>
  </si>
  <si>
    <t>OQ</t>
  </si>
  <si>
    <t>A1: 9-Min Elig. ($75)</t>
  </si>
  <si>
    <t>OR</t>
  </si>
  <si>
    <t>A1: 9-Qualified ($75)</t>
  </si>
  <si>
    <t>OS</t>
  </si>
  <si>
    <t>A1: 9-Incentive
(tons x $30 or $75)</t>
  </si>
  <si>
    <t>OT</t>
  </si>
  <si>
    <t>A1: 9-kWh Savings</t>
  </si>
  <si>
    <t>OU</t>
  </si>
  <si>
    <t>A1: 6-Actual Eff. EER/SEER</t>
  </si>
  <si>
    <t>A1: 9-kW Reduction</t>
  </si>
  <si>
    <t>OV</t>
  </si>
  <si>
    <t>A1: 6-Efficiency Units (EER/SEER)</t>
  </si>
  <si>
    <t>A1: 10-Qty</t>
  </si>
  <si>
    <t>OW</t>
  </si>
  <si>
    <t>A1: 6-Actual Eff. EER/IEER</t>
  </si>
  <si>
    <t>A1: 10-Tons</t>
  </si>
  <si>
    <t>OX</t>
  </si>
  <si>
    <t>A1: 6-Efficiency Units (EER/IEER)</t>
  </si>
  <si>
    <t>A1: 10-Type (use drop-down menu)</t>
  </si>
  <si>
    <t>OY</t>
  </si>
  <si>
    <t>A1: 6-Tier 1 Min Elig. (EER/SEER)</t>
  </si>
  <si>
    <t>A1: 10-Heating Section Type</t>
  </si>
  <si>
    <t>OZ</t>
  </si>
  <si>
    <t>A1: 6-Tier 1 Min Elig. (EER/IEER)</t>
  </si>
  <si>
    <t>A1: 10-Split or Single</t>
  </si>
  <si>
    <t>PA</t>
  </si>
  <si>
    <t>A1: 6-Tier 1 Qualified</t>
  </si>
  <si>
    <t>A1: 10-Model / Designation</t>
  </si>
  <si>
    <t>PB</t>
  </si>
  <si>
    <t>A1: 6-Tier 2 Min Elig. (EER/SEER)</t>
  </si>
  <si>
    <t>A1: 10-Actual Eff.</t>
  </si>
  <si>
    <t>PC</t>
  </si>
  <si>
    <t>A1: 6-Tier 2 Min Elig. (EER/IEER)</t>
  </si>
  <si>
    <t>A1: 10-Efficiency Units</t>
  </si>
  <si>
    <t>PD</t>
  </si>
  <si>
    <t>A1: 6-Tier 2 Qualified</t>
  </si>
  <si>
    <t>A1: 10-Min Elig. ($30)</t>
  </si>
  <si>
    <t>PE</t>
  </si>
  <si>
    <t>A1: 6-Incentive</t>
  </si>
  <si>
    <t>A1: 10-Qualified ($30)</t>
  </si>
  <si>
    <t>PF</t>
  </si>
  <si>
    <t>A1: 10-Min Elig. ($75)</t>
  </si>
  <si>
    <t>PG</t>
  </si>
  <si>
    <t>A1: 10-Qualified ($75)</t>
  </si>
  <si>
    <t>PH</t>
  </si>
  <si>
    <t>A1: 10-Incentive
(tons x $30 or $75)</t>
  </si>
  <si>
    <t>PI</t>
  </si>
  <si>
    <t>A1: 10-kWh Savings</t>
  </si>
  <si>
    <t>PJ</t>
  </si>
  <si>
    <t>A1: 10-kW Reduction</t>
  </si>
  <si>
    <t>PK</t>
  </si>
  <si>
    <t>A1: 11-Qty</t>
  </si>
  <si>
    <t>PL</t>
  </si>
  <si>
    <t>A1: 11-Tons</t>
  </si>
  <si>
    <t>PM</t>
  </si>
  <si>
    <t>A1: 11-Type (use drop-down menu)</t>
  </si>
  <si>
    <t>PN</t>
  </si>
  <si>
    <t>A1: 7-Actual Eff. EER/SEER</t>
  </si>
  <si>
    <t>A1: 11-Heating Section Type</t>
  </si>
  <si>
    <t>PO</t>
  </si>
  <si>
    <t>A1: 7-Efficiency Units (EER/SEER)</t>
  </si>
  <si>
    <t>A1: 11-Split or Single</t>
  </si>
  <si>
    <t>PP</t>
  </si>
  <si>
    <t>A1: 7-Actual Eff. EER/IEER</t>
  </si>
  <si>
    <t>A1: 11-Model / Designation</t>
  </si>
  <si>
    <t>PQ</t>
  </si>
  <si>
    <t>A1: 7-Efficiency Units (EER/IEER)</t>
  </si>
  <si>
    <t>A1: 11-Actual Eff.</t>
  </si>
  <si>
    <t>PR</t>
  </si>
  <si>
    <t>A1: 7-Tier 1 Min Elig. (EER/SEER)</t>
  </si>
  <si>
    <t>A1: 11-Efficiency Units</t>
  </si>
  <si>
    <t>PS</t>
  </si>
  <si>
    <t>A1: 7-Tier 1 Min Elig. (EER/IEER)</t>
  </si>
  <si>
    <t>A1: 11-Min Elig. ($30)</t>
  </si>
  <si>
    <t>PT</t>
  </si>
  <si>
    <t>A1: 7-Tier 1 Qualified</t>
  </si>
  <si>
    <t>A1: 11-Qualified ($30)</t>
  </si>
  <si>
    <t>PU</t>
  </si>
  <si>
    <t>A1: 7-Tier 2 Min Elig. (EER/SEER)</t>
  </si>
  <si>
    <t>A1: 11-Min Elig. ($75)</t>
  </si>
  <si>
    <t>PV</t>
  </si>
  <si>
    <t>A1: 7-Tier 2 Min Elig. (EER/IEER)</t>
  </si>
  <si>
    <t>A1: 11-Qualified ($75)</t>
  </si>
  <si>
    <t>PW</t>
  </si>
  <si>
    <t>A1: 7-Tier 2 Qualified</t>
  </si>
  <si>
    <t>A1: 11-Incentive
(tons x $30 or $75)</t>
  </si>
  <si>
    <t>PX</t>
  </si>
  <si>
    <t>A1: 7-Incentive</t>
  </si>
  <si>
    <t>A1: 11-kWh Savings</t>
  </si>
  <si>
    <t>PY</t>
  </si>
  <si>
    <t>A1: 11-kW Reduction</t>
  </si>
  <si>
    <t>PZ</t>
  </si>
  <si>
    <t>A1: 12-Qty</t>
  </si>
  <si>
    <t>QA</t>
  </si>
  <si>
    <t>A1: 12-Tons</t>
  </si>
  <si>
    <t>QB</t>
  </si>
  <si>
    <t>A1: 12-Type (use drop-down menu)</t>
  </si>
  <si>
    <t>QC</t>
  </si>
  <si>
    <t>A1: 12-Heating Section Type</t>
  </si>
  <si>
    <t>QD</t>
  </si>
  <si>
    <t>A1: 12-Split or Single</t>
  </si>
  <si>
    <t>QE</t>
  </si>
  <si>
    <t>A1: 12-Model / Designation</t>
  </si>
  <si>
    <t>QF</t>
  </si>
  <si>
    <t>A1: 12-Actual Eff.</t>
  </si>
  <si>
    <t>QG</t>
  </si>
  <si>
    <t>A1: 8-Actual Eff. EER/SEER</t>
  </si>
  <si>
    <t>A1: 12-Efficiency Units</t>
  </si>
  <si>
    <t>QH</t>
  </si>
  <si>
    <t>A1: 8-Efficiency Units (EER/SEER)</t>
  </si>
  <si>
    <t>A1: 12-Min Elig. ($30)</t>
  </si>
  <si>
    <t>QI</t>
  </si>
  <si>
    <t>A1: 8-Actual Eff. EER/IEER</t>
  </si>
  <si>
    <t>A1: 12-Qualified ($30)</t>
  </si>
  <si>
    <t>QJ</t>
  </si>
  <si>
    <t>A1: 8-Efficiency Units (EER/IEER)</t>
  </si>
  <si>
    <t>A1: 12-Min Elig. ($75)</t>
  </si>
  <si>
    <t>QK</t>
  </si>
  <si>
    <t>A1: 8-Tier 1 Min Elig. (EER/SEER)</t>
  </si>
  <si>
    <t>A1: 12-Qualified ($75)</t>
  </si>
  <si>
    <t>QL</t>
  </si>
  <si>
    <t>A1: 8-Tier 1 Min Elig. (EER/IEER)</t>
  </si>
  <si>
    <t>A1: 12-Incentive
(tons x $30 or $75)</t>
  </si>
  <si>
    <t>QM</t>
  </si>
  <si>
    <t>A1: 8-Tier 1 Qualified</t>
  </si>
  <si>
    <t>A1: 12-kWh Savings</t>
  </si>
  <si>
    <t>QN</t>
  </si>
  <si>
    <t>A1: 8-Tier 2 Min Elig. (EER/SEER)</t>
  </si>
  <si>
    <t>A1: 12-kW Reduction</t>
  </si>
  <si>
    <t>QO</t>
  </si>
  <si>
    <t>A1: 8-Tier 2 Min Elig. (EER/IEER)</t>
  </si>
  <si>
    <t>A1: 13-Qty</t>
  </si>
  <si>
    <t>QP</t>
  </si>
  <si>
    <t>A1: 8-Tier 2 Qualified</t>
  </si>
  <si>
    <t>A1: 13-Tons</t>
  </si>
  <si>
    <t>QQ</t>
  </si>
  <si>
    <t>A1: 8-Incentive</t>
  </si>
  <si>
    <t>A1: 13-Type (use drop-down menu)</t>
  </si>
  <si>
    <t>QR</t>
  </si>
  <si>
    <t>A1: 13-Heating Section Type</t>
  </si>
  <si>
    <t>QS</t>
  </si>
  <si>
    <t>A1: 13-Split or Single</t>
  </si>
  <si>
    <t>QT</t>
  </si>
  <si>
    <t>A1: 13-Model / Designation</t>
  </si>
  <si>
    <t>QU</t>
  </si>
  <si>
    <t>A1: 13-Actual Eff.</t>
  </si>
  <si>
    <t>QV</t>
  </si>
  <si>
    <t>A1: 13-Efficiency Units</t>
  </si>
  <si>
    <t>QW</t>
  </si>
  <si>
    <t>A1: 13-Min Elig. ($30)</t>
  </si>
  <si>
    <t>QX</t>
  </si>
  <si>
    <t>A1: 13-Qualified ($30)</t>
  </si>
  <si>
    <t>QY</t>
  </si>
  <si>
    <t>A1: 13-Min Elig. ($75)</t>
  </si>
  <si>
    <t>QZ</t>
  </si>
  <si>
    <t>A1: 9-Actual Eff. EER/SEER</t>
  </si>
  <si>
    <t>A1: 13-Qualified ($75)</t>
  </si>
  <si>
    <t>RA</t>
  </si>
  <si>
    <t>A1: 9-Efficiency Units (EER/SEER)</t>
  </si>
  <si>
    <t>A1: 13-Incentive
(tons x $30 or $75)</t>
  </si>
  <si>
    <t>RB</t>
  </si>
  <si>
    <t>A1: 9-Actual Eff. EER/IEER</t>
  </si>
  <si>
    <t>A1: 13-kWh Savings</t>
  </si>
  <si>
    <t>RC</t>
  </si>
  <si>
    <t>A1: 9-Efficiency Units (EER/IEER)</t>
  </si>
  <si>
    <t>A1: 13-kW Reduction</t>
  </si>
  <si>
    <t>RD</t>
  </si>
  <si>
    <t>A1: 9-Tier 1 Min Elig. (EER/SEER)</t>
  </si>
  <si>
    <t>A1: 14-Qty</t>
  </si>
  <si>
    <t>RE</t>
  </si>
  <si>
    <t>A1: 9-Tier 1 Min Elig. (EER/IEER)</t>
  </si>
  <si>
    <t>A1: 14-Tons</t>
  </si>
  <si>
    <t>RF</t>
  </si>
  <si>
    <t>A1: 9-Tier 1 Qualified</t>
  </si>
  <si>
    <t>A1: 14-Type (use drop-down menu)</t>
  </si>
  <si>
    <t>RG</t>
  </si>
  <si>
    <t>A1: 9-Tier 2 Min Elig. (EER/SEER)</t>
  </si>
  <si>
    <t>A1: 14-Heating Section Type</t>
  </si>
  <si>
    <t>RH</t>
  </si>
  <si>
    <t>A1: 9-Tier 2 Min Elig. (EER/IEER)</t>
  </si>
  <si>
    <t>A1: 14-Split or Single</t>
  </si>
  <si>
    <t>RI</t>
  </si>
  <si>
    <t>A1: 9-Tier 2 Qualified</t>
  </si>
  <si>
    <t>A1: 14-Model / Designation</t>
  </si>
  <si>
    <t>RJ</t>
  </si>
  <si>
    <t>A1: 9-Incentive</t>
  </si>
  <si>
    <t>A1: 14-Actual Eff.</t>
  </si>
  <si>
    <t>RK</t>
  </si>
  <si>
    <t>A1: 14-Efficiency Units</t>
  </si>
  <si>
    <t>RL</t>
  </si>
  <si>
    <t>A1: 14-Min Elig. ($30)</t>
  </si>
  <si>
    <t>RM</t>
  </si>
  <si>
    <t>A1: 14-Qualified ($30)</t>
  </si>
  <si>
    <t>RN</t>
  </si>
  <si>
    <t>A1: 14-Min Elig. ($75)</t>
  </si>
  <si>
    <t>RO</t>
  </si>
  <si>
    <t>A1: 14-Qualified ($75)</t>
  </si>
  <si>
    <t>RP</t>
  </si>
  <si>
    <t>A1: 14-Incentive
(tons x $30 or $75)</t>
  </si>
  <si>
    <t>RQ</t>
  </si>
  <si>
    <t>A1: 14-kWh Savings</t>
  </si>
  <si>
    <t>RR</t>
  </si>
  <si>
    <t>A1: 14-kW Reduction</t>
  </si>
  <si>
    <t>RS</t>
  </si>
  <si>
    <t>A1: 10-Actual Eff. EER/SEER</t>
  </si>
  <si>
    <t>A1: 15-Qty</t>
  </si>
  <si>
    <t>RT</t>
  </si>
  <si>
    <t>A1: 10-Efficiency Units (EER/SEER)</t>
  </si>
  <si>
    <t>A1: 15-Tons</t>
  </si>
  <si>
    <t>RU</t>
  </si>
  <si>
    <t>A1: 10-Actual Eff. EER/IEER</t>
  </si>
  <si>
    <t>A1: 15-Type (use drop-down menu)</t>
  </si>
  <si>
    <t>RV</t>
  </si>
  <si>
    <t>A1: 10-Efficiency Units (EER/IEER)</t>
  </si>
  <si>
    <t>A1: 15-Heating Section Type</t>
  </si>
  <si>
    <t>RW</t>
  </si>
  <si>
    <t>A1: 10-Tier 1 Min Elig. (EER/SEER)</t>
  </si>
  <si>
    <t>A1: 15-Split or Single</t>
  </si>
  <si>
    <t>RX</t>
  </si>
  <si>
    <t>A1: 10-Tier 1 Min Elig. (EER/IEER)</t>
  </si>
  <si>
    <t>A1: 15-Model / Designation</t>
  </si>
  <si>
    <t>RY</t>
  </si>
  <si>
    <t>A1: 10-Tier 1 Qualified</t>
  </si>
  <si>
    <t>A1: 15-Actual Eff.</t>
  </si>
  <si>
    <t>RZ</t>
  </si>
  <si>
    <t>A1: 10-Tier 2 Min Elig. (EER/SEER)</t>
  </si>
  <si>
    <t>A1: 15-Efficiency Units</t>
  </si>
  <si>
    <t>SA</t>
  </si>
  <si>
    <t>A1: 10-Tier 2 Min Elig. (EER/IEER)</t>
  </si>
  <si>
    <t>A1: 15-Min Elig. ($30)</t>
  </si>
  <si>
    <t>SB</t>
  </si>
  <si>
    <t>A1: 10-Tier 2 Qualified</t>
  </si>
  <si>
    <t>A1: 15-Qualified ($30)</t>
  </si>
  <si>
    <t>SC</t>
  </si>
  <si>
    <t>A1: 10-Incentive</t>
  </si>
  <si>
    <t>A1: 15-Min Elig. ($75)</t>
  </si>
  <si>
    <t>SD</t>
  </si>
  <si>
    <t>A1: 15-Qualified ($75)</t>
  </si>
  <si>
    <t>SE</t>
  </si>
  <si>
    <t>A1: 15-Incentive
(tons x $30 or $75)</t>
  </si>
  <si>
    <t>SF</t>
  </si>
  <si>
    <t>A1: 15-kWh Savings</t>
  </si>
  <si>
    <t>SG</t>
  </si>
  <si>
    <t>A1: 15-kW Reduction</t>
  </si>
  <si>
    <t>SH</t>
  </si>
  <si>
    <t>A2: 1-Qty</t>
  </si>
  <si>
    <t>SI</t>
  </si>
  <si>
    <t>A2: 1-Tons</t>
  </si>
  <si>
    <t>SJ</t>
  </si>
  <si>
    <t>A2: 1-Type (use drop-down menu)</t>
  </si>
  <si>
    <t>SK</t>
  </si>
  <si>
    <t>A2: 1-Heating Section Type</t>
  </si>
  <si>
    <t>SL</t>
  </si>
  <si>
    <t>A1: 11-Actual Eff. EER/SEER</t>
  </si>
  <si>
    <t>A2: 1-Subcategory</t>
  </si>
  <si>
    <t>SM</t>
  </si>
  <si>
    <t>A1: 11-Efficiency Units (EER/SEER)</t>
  </si>
  <si>
    <t>A2: 1-Model / Designation</t>
  </si>
  <si>
    <t>SN</t>
  </si>
  <si>
    <t>A1: 11-Actual Eff. EER/IEER</t>
  </si>
  <si>
    <t>A2: 1-Actual Eff.</t>
  </si>
  <si>
    <t>SO</t>
  </si>
  <si>
    <t>A1: 11-Efficiency Units (EER/IEER)</t>
  </si>
  <si>
    <t>A2: 1-Efficiency Units</t>
  </si>
  <si>
    <t>SP</t>
  </si>
  <si>
    <t>A1: 11-Tier 1 Min Elig. (EER/SEER)</t>
  </si>
  <si>
    <r>
      <t xml:space="preserve">A2: 1-Min Elig. </t>
    </r>
    <r>
      <rPr>
        <b/>
        <sz val="8"/>
        <color rgb="FFFF0000"/>
        <rFont val="Arial"/>
        <family val="2"/>
      </rPr>
      <t>($75)</t>
    </r>
  </si>
  <si>
    <t>SQ</t>
  </si>
  <si>
    <t>A1: 11-Tier 1 Min Elig. (EER/IEER)</t>
  </si>
  <si>
    <r>
      <t xml:space="preserve">A2: 1-Qualified </t>
    </r>
    <r>
      <rPr>
        <b/>
        <sz val="8"/>
        <color rgb="FFFF0000"/>
        <rFont val="Arial"/>
        <family val="2"/>
      </rPr>
      <t>($75)</t>
    </r>
  </si>
  <si>
    <t>SR</t>
  </si>
  <si>
    <t>A1: 11-Tier 1 Qualified</t>
  </si>
  <si>
    <r>
      <t xml:space="preserve">A2: 1-Min Elig. </t>
    </r>
    <r>
      <rPr>
        <b/>
        <sz val="8"/>
        <color rgb="FFFF0000"/>
        <rFont val="Arial"/>
        <family val="2"/>
      </rPr>
      <t>($100)</t>
    </r>
  </si>
  <si>
    <t>SS</t>
  </si>
  <si>
    <t>A1: 11-Tier 2 Min Elig. (EER/SEER)</t>
  </si>
  <si>
    <r>
      <t xml:space="preserve">A2: 1-Qualified </t>
    </r>
    <r>
      <rPr>
        <b/>
        <sz val="8"/>
        <color rgb="FFFF0000"/>
        <rFont val="Arial"/>
        <family val="2"/>
      </rPr>
      <t>($100)</t>
    </r>
  </si>
  <si>
    <t>ST</t>
  </si>
  <si>
    <t>A1: 11-Tier 2 Min Elig. (EER/IEER)</t>
  </si>
  <si>
    <r>
      <t>A2: 1-Incentive</t>
    </r>
    <r>
      <rPr>
        <b/>
        <sz val="8"/>
        <color rgb="FFFF0000"/>
        <rFont val="Arial"/>
        <family val="2"/>
      </rPr>
      <t xml:space="preserve"> (tons x $75 or $100)</t>
    </r>
  </si>
  <si>
    <t>SU</t>
  </si>
  <si>
    <t>A1: 11-Tier 2 Qualified</t>
  </si>
  <si>
    <t>A2: 1-kWh Savings</t>
  </si>
  <si>
    <t>SV</t>
  </si>
  <si>
    <t>A1: 11-Incentive</t>
  </si>
  <si>
    <t>A2: 1-kW Reduction</t>
  </si>
  <si>
    <t>SW</t>
  </si>
  <si>
    <t>A2: 2-Qty</t>
  </si>
  <si>
    <t>SX</t>
  </si>
  <si>
    <t>A2: 2-Tons</t>
  </si>
  <si>
    <t>SY</t>
  </si>
  <si>
    <t>A2: 2-Type (use drop-down menu)</t>
  </si>
  <si>
    <t>SZ</t>
  </si>
  <si>
    <t>A2: 2-Heating Section Type</t>
  </si>
  <si>
    <t>TA</t>
  </si>
  <si>
    <t>A2: 2-Subcategory</t>
  </si>
  <si>
    <t>TB</t>
  </si>
  <si>
    <t>A2: 2-Model / Designation</t>
  </si>
  <si>
    <t>TC</t>
  </si>
  <si>
    <t>A2: 2-Actual Eff.</t>
  </si>
  <si>
    <t>TD</t>
  </si>
  <si>
    <t>A2: 2-Efficiency Units</t>
  </si>
  <si>
    <t>TE</t>
  </si>
  <si>
    <t>A1: 12-Actual Eff. EER/SEER</t>
  </si>
  <si>
    <r>
      <t xml:space="preserve">A2: 2-Min Elig. </t>
    </r>
    <r>
      <rPr>
        <b/>
        <sz val="8"/>
        <color rgb="FFFF0000"/>
        <rFont val="Arial"/>
        <family val="2"/>
      </rPr>
      <t>($75)</t>
    </r>
  </si>
  <si>
    <t>TF</t>
  </si>
  <si>
    <t>A1: 12-Efficiency Units (EER/SEER)</t>
  </si>
  <si>
    <r>
      <t xml:space="preserve">A2: 2-Qualified </t>
    </r>
    <r>
      <rPr>
        <b/>
        <sz val="8"/>
        <color rgb="FFFF0000"/>
        <rFont val="Arial"/>
        <family val="2"/>
      </rPr>
      <t>($75)</t>
    </r>
  </si>
  <si>
    <t>TG</t>
  </si>
  <si>
    <t>A1: 12-Actual Eff. EER/IEER</t>
  </si>
  <si>
    <r>
      <t xml:space="preserve">A2: 2-Min Elig. </t>
    </r>
    <r>
      <rPr>
        <b/>
        <sz val="8"/>
        <color rgb="FFFF0000"/>
        <rFont val="Arial"/>
        <family val="2"/>
      </rPr>
      <t>($100)</t>
    </r>
  </si>
  <si>
    <t>TH</t>
  </si>
  <si>
    <t>A1: 12-Efficiency Units (EER/IEER)</t>
  </si>
  <si>
    <r>
      <t xml:space="preserve">A2: 2-Qualified </t>
    </r>
    <r>
      <rPr>
        <b/>
        <sz val="8"/>
        <color rgb="FFFF0000"/>
        <rFont val="Arial"/>
        <family val="2"/>
      </rPr>
      <t>($100)</t>
    </r>
  </si>
  <si>
    <t>TI</t>
  </si>
  <si>
    <t>A1: 12-Tier 1 Min Elig. (EER/SEER)</t>
  </si>
  <si>
    <r>
      <t xml:space="preserve">A2: 2-Incentive </t>
    </r>
    <r>
      <rPr>
        <b/>
        <sz val="8"/>
        <color rgb="FFFF0000"/>
        <rFont val="Arial"/>
        <family val="2"/>
      </rPr>
      <t>(tons x $75 or $100)</t>
    </r>
  </si>
  <si>
    <t>TJ</t>
  </si>
  <si>
    <t>A1: 12-Tier 1 Min Elig. (EER/IEER)</t>
  </si>
  <si>
    <t>A2: 2-kWh Savings</t>
  </si>
  <si>
    <t>TK</t>
  </si>
  <si>
    <t>A1: 12-Tier 1 Qualified</t>
  </si>
  <si>
    <t>A2: 2-kW Reduction</t>
  </si>
  <si>
    <t>TL</t>
  </si>
  <si>
    <t>A1: 12-Tier 2 Min Elig. (EER/SEER)</t>
  </si>
  <si>
    <t>A2: 3-Qty</t>
  </si>
  <si>
    <t>TM</t>
  </si>
  <si>
    <t>A1: 12-Tier 2 Min Elig. (EER/IEER)</t>
  </si>
  <si>
    <t>A2: 3-Tons</t>
  </si>
  <si>
    <t>TN</t>
  </si>
  <si>
    <t>A1: 12-Tier 2 Qualified</t>
  </si>
  <si>
    <t>A2: 3-Type (use drop-down menu)</t>
  </si>
  <si>
    <t>TO</t>
  </si>
  <si>
    <t>A1: 12-Incentive</t>
  </si>
  <si>
    <t>A2: 3-Heating Section Type</t>
  </si>
  <si>
    <t>TP</t>
  </si>
  <si>
    <t>A2: 3-Subcategory</t>
  </si>
  <si>
    <t>TQ</t>
  </si>
  <si>
    <t>A2: 3-Model / Designation</t>
  </si>
  <si>
    <t>TR</t>
  </si>
  <si>
    <t>A2: 3-Actual Eff.</t>
  </si>
  <si>
    <t>TS</t>
  </si>
  <si>
    <t>A2: 3-Efficiency Units</t>
  </si>
  <si>
    <t>TT</t>
  </si>
  <si>
    <r>
      <t>A2: 3-Min Elig.</t>
    </r>
    <r>
      <rPr>
        <b/>
        <sz val="8"/>
        <color rgb="FFFF0000"/>
        <rFont val="Arial"/>
        <family val="2"/>
      </rPr>
      <t xml:space="preserve"> ($75)</t>
    </r>
  </si>
  <si>
    <t>TU</t>
  </si>
  <si>
    <r>
      <t>A2: 3-Qualified</t>
    </r>
    <r>
      <rPr>
        <b/>
        <sz val="8"/>
        <color rgb="FFFF0000"/>
        <rFont val="Arial"/>
        <family val="2"/>
      </rPr>
      <t xml:space="preserve"> ($75)</t>
    </r>
  </si>
  <si>
    <t>TV</t>
  </si>
  <si>
    <r>
      <t>A2: 3-Min Elig.</t>
    </r>
    <r>
      <rPr>
        <b/>
        <sz val="8"/>
        <color rgb="FFFF0000"/>
        <rFont val="Arial"/>
        <family val="2"/>
      </rPr>
      <t xml:space="preserve"> ($100)</t>
    </r>
  </si>
  <si>
    <t>TW</t>
  </si>
  <si>
    <r>
      <t>A2: 3-Qualified</t>
    </r>
    <r>
      <rPr>
        <b/>
        <sz val="8"/>
        <color rgb="FFFF0000"/>
        <rFont val="Arial"/>
        <family val="2"/>
      </rPr>
      <t xml:space="preserve"> ($100)</t>
    </r>
  </si>
  <si>
    <t>TX</t>
  </si>
  <si>
    <t>A1: 13-Actual Eff. EER/SEER</t>
  </si>
  <si>
    <r>
      <t xml:space="preserve">A2: 3-Incentive </t>
    </r>
    <r>
      <rPr>
        <b/>
        <sz val="8"/>
        <color rgb="FFFF0000"/>
        <rFont val="Arial"/>
        <family val="2"/>
      </rPr>
      <t>(tons x $75 or $100)</t>
    </r>
  </si>
  <si>
    <t>TY</t>
  </si>
  <si>
    <t>A1: 13-Efficiency Units (EER/SEER)</t>
  </si>
  <si>
    <t>A2: 3-kWh Savings</t>
  </si>
  <si>
    <t>TZ</t>
  </si>
  <si>
    <t>A1: 13-Actual Eff. EER/IEER</t>
  </si>
  <si>
    <t>A2: 3-kW Reduction</t>
  </si>
  <si>
    <t>UA</t>
  </si>
  <si>
    <t>A1: 13-Efficiency Units (EER/IEER)</t>
  </si>
  <si>
    <t>A2: 4-Qty</t>
  </si>
  <si>
    <t>UB</t>
  </si>
  <si>
    <t>A1: 13-Tier 1 Min Elig. (EER/SEER)</t>
  </si>
  <si>
    <t>A2: 4-Tons</t>
  </si>
  <si>
    <t>UC</t>
  </si>
  <si>
    <t>A1: 13-Tier 1 Min Elig. (EER/IEER)</t>
  </si>
  <si>
    <t>A2: 4-Type (use drop-down menu)</t>
  </si>
  <si>
    <t>UD</t>
  </si>
  <si>
    <t>A1: 13-Tier 1 Qualified</t>
  </si>
  <si>
    <t>A2: 4-Heating Section Type</t>
  </si>
  <si>
    <t>UE</t>
  </si>
  <si>
    <t>A1: 13-Tier 2 Min Elig. (EER/SEER)</t>
  </si>
  <si>
    <t>A2: 4-Subcategory</t>
  </si>
  <si>
    <t>UF</t>
  </si>
  <si>
    <t>A1: 13-Tier 2 Min Elig. (EER/IEER)</t>
  </si>
  <si>
    <t>A2: 4-Model / Designation</t>
  </si>
  <si>
    <t>UG</t>
  </si>
  <si>
    <t>A1: 13-Tier 2 Qualified</t>
  </si>
  <si>
    <t>A2: 4-Actual Eff.</t>
  </si>
  <si>
    <t>UH</t>
  </si>
  <si>
    <t>A1: 13-Incentive</t>
  </si>
  <si>
    <t>A2: 4-Efficiency Units</t>
  </si>
  <si>
    <t>UI</t>
  </si>
  <si>
    <r>
      <t>A2: 4-Min Elig.</t>
    </r>
    <r>
      <rPr>
        <b/>
        <sz val="8"/>
        <color rgb="FFFF0000"/>
        <rFont val="Arial"/>
        <family val="2"/>
      </rPr>
      <t xml:space="preserve"> ($75)</t>
    </r>
  </si>
  <si>
    <t>UJ</t>
  </si>
  <si>
    <r>
      <t xml:space="preserve">A2: 4-Qualified </t>
    </r>
    <r>
      <rPr>
        <b/>
        <sz val="8"/>
        <color rgb="FFFF0000"/>
        <rFont val="Arial"/>
        <family val="2"/>
      </rPr>
      <t>($75)</t>
    </r>
  </si>
  <si>
    <t>UK</t>
  </si>
  <si>
    <r>
      <t>A2: 4-Min Elig.</t>
    </r>
    <r>
      <rPr>
        <b/>
        <sz val="8"/>
        <color rgb="FFFF0000"/>
        <rFont val="Arial"/>
        <family val="2"/>
      </rPr>
      <t xml:space="preserve"> ($100)</t>
    </r>
  </si>
  <si>
    <t>UL</t>
  </si>
  <si>
    <r>
      <t xml:space="preserve">A2: 4-Qualified </t>
    </r>
    <r>
      <rPr>
        <b/>
        <sz val="8"/>
        <color rgb="FFFF0000"/>
        <rFont val="Arial"/>
        <family val="2"/>
      </rPr>
      <t>($100)</t>
    </r>
  </si>
  <si>
    <t>UM</t>
  </si>
  <si>
    <r>
      <t>A2: 4-Incentive</t>
    </r>
    <r>
      <rPr>
        <b/>
        <sz val="8"/>
        <color rgb="FFFF0000"/>
        <rFont val="Arial"/>
        <family val="2"/>
      </rPr>
      <t xml:space="preserve"> (tons x $75 x $100)</t>
    </r>
  </si>
  <si>
    <t>UN</t>
  </si>
  <si>
    <t>A2: 4-kWh Savings</t>
  </si>
  <si>
    <t>UO</t>
  </si>
  <si>
    <t>A2: 4-kW Reduction</t>
  </si>
  <si>
    <t>UP</t>
  </si>
  <si>
    <t>A2: 5-Qty</t>
  </si>
  <si>
    <t>UQ</t>
  </si>
  <si>
    <t>A1: 14-Actual Eff. EER/SEER</t>
  </si>
  <si>
    <t>A2: 5-Tons</t>
  </si>
  <si>
    <t>UR</t>
  </si>
  <si>
    <t>A1: 14-Efficiency Units (EER/SEER)</t>
  </si>
  <si>
    <t>A2: 5-Type (use drop-down menu)</t>
  </si>
  <si>
    <t>US</t>
  </si>
  <si>
    <t>A1: 14-Actual Eff. EER/IEER</t>
  </si>
  <si>
    <t>A2: 5-Heating Section Type</t>
  </si>
  <si>
    <t>UT</t>
  </si>
  <si>
    <t>A1: 14-Efficiency Units (EER/IEER)</t>
  </si>
  <si>
    <t>A2: 5-Subcategory</t>
  </si>
  <si>
    <t>UU</t>
  </si>
  <si>
    <t>A1: 14-Tier 1 Min Elig. (EER/SEER)</t>
  </si>
  <si>
    <t>A2: 5-Model / Designation</t>
  </si>
  <si>
    <t>UV</t>
  </si>
  <si>
    <t>A1: 14-Tier 1 Min Elig. (EER/IEER)</t>
  </si>
  <si>
    <t>A2: 5-Actual Eff.</t>
  </si>
  <si>
    <t>UW</t>
  </si>
  <si>
    <t>A1: 14-Tier 1 Qualified</t>
  </si>
  <si>
    <t>A2: 5-Efficiency Units</t>
  </si>
  <si>
    <t>UX</t>
  </si>
  <si>
    <t>A1: 14-Tier 2 Min Elig. (EER/SEER)</t>
  </si>
  <si>
    <r>
      <t xml:space="preserve">A2: 5-Min Elig. </t>
    </r>
    <r>
      <rPr>
        <b/>
        <sz val="8"/>
        <color rgb="FFFF0000"/>
        <rFont val="Arial"/>
        <family val="2"/>
      </rPr>
      <t>($75)</t>
    </r>
  </si>
  <si>
    <t>UY</t>
  </si>
  <si>
    <t>A1: 14-Tier 2 Min Elig. (EER/IEER)</t>
  </si>
  <si>
    <r>
      <t xml:space="preserve">A2: 5-Qualified </t>
    </r>
    <r>
      <rPr>
        <b/>
        <sz val="8"/>
        <color rgb="FFFF0000"/>
        <rFont val="Arial"/>
        <family val="2"/>
      </rPr>
      <t>($75)</t>
    </r>
  </si>
  <si>
    <t>UZ</t>
  </si>
  <si>
    <t>A1: 14-Tier 2 Qualified</t>
  </si>
  <si>
    <r>
      <t xml:space="preserve">A2: 5-Min Elig. </t>
    </r>
    <r>
      <rPr>
        <b/>
        <sz val="8"/>
        <color rgb="FFFF0000"/>
        <rFont val="Arial"/>
        <family val="2"/>
      </rPr>
      <t>($100)</t>
    </r>
  </si>
  <si>
    <t>VA</t>
  </si>
  <si>
    <t>A1: 14-Incentive</t>
  </si>
  <si>
    <r>
      <t xml:space="preserve">A2: 5-Qualified </t>
    </r>
    <r>
      <rPr>
        <b/>
        <sz val="8"/>
        <color rgb="FFFF0000"/>
        <rFont val="Arial"/>
        <family val="2"/>
      </rPr>
      <t>($100)</t>
    </r>
  </si>
  <si>
    <t>VB</t>
  </si>
  <si>
    <r>
      <t xml:space="preserve">A2: 5-Incentive </t>
    </r>
    <r>
      <rPr>
        <b/>
        <sz val="8"/>
        <color rgb="FFFF0000"/>
        <rFont val="Arial"/>
        <family val="2"/>
      </rPr>
      <t>(tons x $75 x $100)</t>
    </r>
  </si>
  <si>
    <t>VC</t>
  </si>
  <si>
    <t>A2: 5-kWh Savings</t>
  </si>
  <si>
    <t>VD</t>
  </si>
  <si>
    <t>A2: 5-kW Reduction</t>
  </si>
  <si>
    <t>VE</t>
  </si>
  <si>
    <t>A3: 1-Qty</t>
  </si>
  <si>
    <t>VF</t>
  </si>
  <si>
    <t>A3: 1-Tons</t>
  </si>
  <si>
    <t>VG</t>
  </si>
  <si>
    <t>A3: 1-System Name (use drop-down menu)</t>
  </si>
  <si>
    <t>VH</t>
  </si>
  <si>
    <t>A3: 1-Model / Designation</t>
  </si>
  <si>
    <t>VI</t>
  </si>
  <si>
    <t>A3: 1-Actual Eff.</t>
  </si>
  <si>
    <t>VJ</t>
  </si>
  <si>
    <t>A1: 15-Actual Eff. EER/SEER</t>
  </si>
  <si>
    <t>A3: 1-Efficiency Units</t>
  </si>
  <si>
    <t>VK</t>
  </si>
  <si>
    <t>A1: 15-Efficiency Units (EER/SEER)</t>
  </si>
  <si>
    <t>A3: 1-Min Elig. ($40)</t>
  </si>
  <si>
    <t>VL</t>
  </si>
  <si>
    <t>A1: 15-Actual Eff. EER/IEER</t>
  </si>
  <si>
    <t>A3: 1-Qualified ($40)</t>
  </si>
  <si>
    <t>VM</t>
  </si>
  <si>
    <t>A1: 15-Efficiency Units (EER/IEER)</t>
  </si>
  <si>
    <t>A3: 1-Min Elig. ($80)</t>
  </si>
  <si>
    <t>VN</t>
  </si>
  <si>
    <t>A1: 15-Tier 1 Min Elig. (EER/SEER)</t>
  </si>
  <si>
    <t>A3: 1-Qualified ($80)</t>
  </si>
  <si>
    <t>VO</t>
  </si>
  <si>
    <t>A1: 15-Tier 1 Min Elig. (EER/IEER)</t>
  </si>
  <si>
    <t>A3: 1-Incentive
(tons x $40 or $80)</t>
  </si>
  <si>
    <t>VP</t>
  </si>
  <si>
    <t>A1: 15-Tier 1 Qualified</t>
  </si>
  <si>
    <t>A3: 1-kWh Savings</t>
  </si>
  <si>
    <t>VQ</t>
  </si>
  <si>
    <t>A1: 15-Tier 2 Min Elig. (EER/SEER)</t>
  </si>
  <si>
    <t>A3: 1-kW Reduction</t>
  </si>
  <si>
    <t>VR</t>
  </si>
  <si>
    <t>A1: 15-Tier 2 Min Elig. (EER/IEER)</t>
  </si>
  <si>
    <t>A3: 2-Qty</t>
  </si>
  <si>
    <t>VS</t>
  </si>
  <si>
    <t>A1: 15-Tier 2 Qualified</t>
  </si>
  <si>
    <t>A3: 2-Tons</t>
  </si>
  <si>
    <t>VT</t>
  </si>
  <si>
    <t>A1: 15-Incentive</t>
  </si>
  <si>
    <t>A3: 2-System Name (use drop-down menu)</t>
  </si>
  <si>
    <t>VU</t>
  </si>
  <si>
    <t>A3: 2-Model / Designation</t>
  </si>
  <si>
    <t>VV</t>
  </si>
  <si>
    <t>A3: 2-Actual Eff.</t>
  </si>
  <si>
    <t>VW</t>
  </si>
  <si>
    <t>A3: 2-Efficiency Units</t>
  </si>
  <si>
    <t>VX</t>
  </si>
  <si>
    <t>A3: 2-Min Elig. ($40)</t>
  </si>
  <si>
    <t>VY</t>
  </si>
  <si>
    <t>A3: 2-Qualified ($40)</t>
  </si>
  <si>
    <t>VZ</t>
  </si>
  <si>
    <t>A3: 2-Min Elig. ($80)</t>
  </si>
  <si>
    <t>WA</t>
  </si>
  <si>
    <t>A3: 2-Qualified ($80)</t>
  </si>
  <si>
    <t>WB</t>
  </si>
  <si>
    <t>A3: 2-Incentive
(tons x $40 or $80)</t>
  </si>
  <si>
    <t>WC</t>
  </si>
  <si>
    <t>A3: 2-kWh Savings</t>
  </si>
  <si>
    <t>WD</t>
  </si>
  <si>
    <t>A3: 2-kW Reduction</t>
  </si>
  <si>
    <t>WE</t>
  </si>
  <si>
    <t>A3: 3-Qty</t>
  </si>
  <si>
    <t>WF</t>
  </si>
  <si>
    <t>A3: 3-Tons</t>
  </si>
  <si>
    <t>WG</t>
  </si>
  <si>
    <t>A3: 3-System Name (use drop-down menu)</t>
  </si>
  <si>
    <t>WH</t>
  </si>
  <si>
    <t>A3: 3-Model / Designation</t>
  </si>
  <si>
    <t>WI</t>
  </si>
  <si>
    <t>A3: 3-Actual Eff.</t>
  </si>
  <si>
    <t>WJ</t>
  </si>
  <si>
    <t>A3: 3-Efficiency Units</t>
  </si>
  <si>
    <t>WK</t>
  </si>
  <si>
    <t>A3: 3-Min Elig. ($40)</t>
  </si>
  <si>
    <t>WL</t>
  </si>
  <si>
    <t>A3: 3-Qualified ($40)</t>
  </si>
  <si>
    <t>WM</t>
  </si>
  <si>
    <t>A3: 3-Min Elig. ($80)</t>
  </si>
  <si>
    <t>WN</t>
  </si>
  <si>
    <t>A3: 3-Qualified ($80)</t>
  </si>
  <si>
    <t>WO</t>
  </si>
  <si>
    <t>A3: 3-Incentive
(tons x $40 or $80)</t>
  </si>
  <si>
    <t>WP</t>
  </si>
  <si>
    <t>A3: 3-kWh Savings</t>
  </si>
  <si>
    <t>WQ</t>
  </si>
  <si>
    <t>A3: 3-kW Reduction</t>
  </si>
  <si>
    <t>WR</t>
  </si>
  <si>
    <t>A3: 4-Qty</t>
  </si>
  <si>
    <t>WS</t>
  </si>
  <si>
    <t>A3: 4-Tons</t>
  </si>
  <si>
    <t>WT</t>
  </si>
  <si>
    <t>A3: 4-System Name (use drop-down menu)</t>
  </si>
  <si>
    <t>WU</t>
  </si>
  <si>
    <t>A3: 4-Model / Designation</t>
  </si>
  <si>
    <t>WV</t>
  </si>
  <si>
    <t>A3: 4-Actual Eff.</t>
  </si>
  <si>
    <t>WW</t>
  </si>
  <si>
    <t>A3: 4-Efficiency Units</t>
  </si>
  <si>
    <t>WX</t>
  </si>
  <si>
    <t>A3: 4-Min Elig. ($40)</t>
  </si>
  <si>
    <t>WY</t>
  </si>
  <si>
    <t>A3: 4-Qualified ($40)</t>
  </si>
  <si>
    <t>WZ</t>
  </si>
  <si>
    <t>A3: 4-Min Elig. ($80)</t>
  </si>
  <si>
    <t>XA</t>
  </si>
  <si>
    <t>A3: 4-Qualified ($80)</t>
  </si>
  <si>
    <t>XB</t>
  </si>
  <si>
    <t>A3: 4-Incentive
(tons x $40 or $80)</t>
  </si>
  <si>
    <t>XC</t>
  </si>
  <si>
    <t>A3: 4-kWh Savings</t>
  </si>
  <si>
    <t>XD</t>
  </si>
  <si>
    <t>A3: 4-kW Reduction</t>
  </si>
  <si>
    <t>XE</t>
  </si>
  <si>
    <t>A3: 5-Qty</t>
  </si>
  <si>
    <t>XF</t>
  </si>
  <si>
    <t>A3: 5-Tons</t>
  </si>
  <si>
    <t>XG</t>
  </si>
  <si>
    <t>A3: 5-System Name (use drop-down menu)</t>
  </si>
  <si>
    <t>XH</t>
  </si>
  <si>
    <t>A3: 5-Model / Designation</t>
  </si>
  <si>
    <t>XI</t>
  </si>
  <si>
    <t>A3: 5-Actual Eff.</t>
  </si>
  <si>
    <t>XJ</t>
  </si>
  <si>
    <t>A3: 5-Efficiency Units</t>
  </si>
  <si>
    <t>XK</t>
  </si>
  <si>
    <t>A3: 5-Min Elig. ($40)</t>
  </si>
  <si>
    <t>XL</t>
  </si>
  <si>
    <t>A3: 5-Qualified ($40)</t>
  </si>
  <si>
    <t>XM</t>
  </si>
  <si>
    <t>A3: 5-Min Elig. ($80)</t>
  </si>
  <si>
    <t>XN</t>
  </si>
  <si>
    <t>A3: 5-Qualified ($80)</t>
  </si>
  <si>
    <t>XO</t>
  </si>
  <si>
    <t>A3: 5-Incentive
(tons x $40 or $80)</t>
  </si>
  <si>
    <t>XP</t>
  </si>
  <si>
    <t>A3: 5-kWh Savings</t>
  </si>
  <si>
    <t>XQ</t>
  </si>
  <si>
    <t>A3: 5-kW Reduction</t>
  </si>
  <si>
    <t>XR</t>
  </si>
  <si>
    <t>C1: 1-Type of System</t>
  </si>
  <si>
    <t>XS</t>
  </si>
  <si>
    <t>C1: 1-Cooling Load</t>
  </si>
  <si>
    <t>XT</t>
  </si>
  <si>
    <t>C1: 1-Opt Start/Stop</t>
  </si>
  <si>
    <t>XU</t>
  </si>
  <si>
    <t>C1: 1-Chiller Water Reset</t>
  </si>
  <si>
    <t>XV</t>
  </si>
  <si>
    <t>C1: 1-DCV</t>
  </si>
  <si>
    <t>XW</t>
  </si>
  <si>
    <t>C1: 1-SA Reset</t>
  </si>
  <si>
    <t>XX</t>
  </si>
  <si>
    <r>
      <t xml:space="preserve">C1: 1-Cond Water Reset </t>
    </r>
    <r>
      <rPr>
        <b/>
        <sz val="8"/>
        <color rgb="FFFF0000"/>
        <rFont val="Arial"/>
        <family val="2"/>
      </rPr>
      <t>(Not in use)</t>
    </r>
  </si>
  <si>
    <t>XY</t>
  </si>
  <si>
    <t>C1: 1-No. of  Strategies</t>
  </si>
  <si>
    <t>XZ</t>
  </si>
  <si>
    <t>C1: 1-Incentive</t>
  </si>
  <si>
    <t>YA</t>
  </si>
  <si>
    <t>C1: 1-kWh savings</t>
  </si>
  <si>
    <t>YB</t>
  </si>
  <si>
    <t>C1: 1-kW reduction</t>
  </si>
  <si>
    <t>YC</t>
  </si>
  <si>
    <t>C1: 2-Type of System</t>
  </si>
  <si>
    <t>YD</t>
  </si>
  <si>
    <t>C1: 2-Cooling Load</t>
  </si>
  <si>
    <t>YE</t>
  </si>
  <si>
    <t>C1: 2-Opt Start/Stop</t>
  </si>
  <si>
    <t>YF</t>
  </si>
  <si>
    <t>C1: 2-Chiller Water Reset</t>
  </si>
  <si>
    <t>YG</t>
  </si>
  <si>
    <t>C1: 2-DCV</t>
  </si>
  <si>
    <t>YH</t>
  </si>
  <si>
    <t>C1: 2-SA Reset</t>
  </si>
  <si>
    <t>YI</t>
  </si>
  <si>
    <r>
      <t xml:space="preserve">C1: 2-Cond Water Reset </t>
    </r>
    <r>
      <rPr>
        <b/>
        <sz val="8"/>
        <color rgb="FFFF0000"/>
        <rFont val="Arial"/>
        <family val="2"/>
      </rPr>
      <t>(Not in use)</t>
    </r>
  </si>
  <si>
    <t>YJ</t>
  </si>
  <si>
    <t>C1: 2-No. of  Strategies</t>
  </si>
  <si>
    <t>YK</t>
  </si>
  <si>
    <t>C1: 2-Incentive</t>
  </si>
  <si>
    <t>YL</t>
  </si>
  <si>
    <t>C1: 2-kWh savings</t>
  </si>
  <si>
    <t>YM</t>
  </si>
  <si>
    <t>C1: 2-kW reduction</t>
  </si>
  <si>
    <t>YN</t>
  </si>
  <si>
    <t>C1: 3-Type of System</t>
  </si>
  <si>
    <t>YO</t>
  </si>
  <si>
    <t>C1: 3-Cooling Load</t>
  </si>
  <si>
    <t>YP</t>
  </si>
  <si>
    <t>C1: 3-Opt Start/Stop</t>
  </si>
  <si>
    <t>YQ</t>
  </si>
  <si>
    <t>C1: 3-Chiller Water Reset</t>
  </si>
  <si>
    <t>YR</t>
  </si>
  <si>
    <t>C1: 3-DCV</t>
  </si>
  <si>
    <t>YS</t>
  </si>
  <si>
    <t>C1: 3-SA Reset</t>
  </si>
  <si>
    <t>YT</t>
  </si>
  <si>
    <r>
      <t xml:space="preserve">C1: 3-Cond Water Reset </t>
    </r>
    <r>
      <rPr>
        <b/>
        <sz val="8"/>
        <color rgb="FFFF0000"/>
        <rFont val="Arial"/>
        <family val="2"/>
      </rPr>
      <t>(Not in use)</t>
    </r>
  </si>
  <si>
    <t>YU</t>
  </si>
  <si>
    <t>C1: 3-No. of  Strategies</t>
  </si>
  <si>
    <t>YV</t>
  </si>
  <si>
    <t>C1: 3-Incentive</t>
  </si>
  <si>
    <t>YW</t>
  </si>
  <si>
    <t>C1: 3-kWh savings</t>
  </si>
  <si>
    <t>YX</t>
  </si>
  <si>
    <t>C1: 3-kW reduction</t>
  </si>
  <si>
    <t>YY</t>
  </si>
  <si>
    <t>C1: 4-Type of System</t>
  </si>
  <si>
    <t>YZ</t>
  </si>
  <si>
    <t>C1: 4-Cooling Load</t>
  </si>
  <si>
    <t>ZA</t>
  </si>
  <si>
    <t>C1: 4-Opt Start/Stop</t>
  </si>
  <si>
    <t>ZB</t>
  </si>
  <si>
    <t>C1: 4-Chiller Water Reset</t>
  </si>
  <si>
    <t>ZC</t>
  </si>
  <si>
    <t>C1: 4-DCV</t>
  </si>
  <si>
    <t>ZD</t>
  </si>
  <si>
    <t>C1: 4-SA Reset</t>
  </si>
  <si>
    <t>ZE</t>
  </si>
  <si>
    <r>
      <t xml:space="preserve">C1: 4-Cond Water Reset </t>
    </r>
    <r>
      <rPr>
        <b/>
        <sz val="8"/>
        <color rgb="FFFF0000"/>
        <rFont val="Arial"/>
        <family val="2"/>
      </rPr>
      <t>(Not in use)</t>
    </r>
  </si>
  <si>
    <t>ZF</t>
  </si>
  <si>
    <t>C1: 4-No. of  Strategies</t>
  </si>
  <si>
    <t>ZG</t>
  </si>
  <si>
    <t>C1: 4-Incentive</t>
  </si>
  <si>
    <t>ZH</t>
  </si>
  <si>
    <t>C1: 4-kWh savings</t>
  </si>
  <si>
    <t>ZI</t>
  </si>
  <si>
    <t>C1: 4-kW reduction</t>
  </si>
  <si>
    <t>ZJ</t>
  </si>
  <si>
    <t>C1: 5-Type of System</t>
  </si>
  <si>
    <t>ZK</t>
  </si>
  <si>
    <t>C1: 5-Cooling Load</t>
  </si>
  <si>
    <t>ZL</t>
  </si>
  <si>
    <t>C1: 5-Opt Start/Stop</t>
  </si>
  <si>
    <t>ZM</t>
  </si>
  <si>
    <t>C1: 5-Chiller Water Reset</t>
  </si>
  <si>
    <t>ZN</t>
  </si>
  <si>
    <t>C1: 5-DCV</t>
  </si>
  <si>
    <t>ZO</t>
  </si>
  <si>
    <t>C1: 5-SA Reset</t>
  </si>
  <si>
    <t>ZP</t>
  </si>
  <si>
    <r>
      <t xml:space="preserve">C1: 5-Cond Water Reset </t>
    </r>
    <r>
      <rPr>
        <b/>
        <sz val="8"/>
        <color rgb="FFFF0000"/>
        <rFont val="Arial"/>
        <family val="2"/>
      </rPr>
      <t>(Not in use)</t>
    </r>
  </si>
  <si>
    <t>ZQ</t>
  </si>
  <si>
    <t>C1: 5-No. of  Strategies</t>
  </si>
  <si>
    <t>ZR</t>
  </si>
  <si>
    <t>C1: 5-Incentive</t>
  </si>
  <si>
    <t>ZS</t>
  </si>
  <si>
    <t>C1: 5-kWh savings</t>
  </si>
  <si>
    <t>ZT</t>
  </si>
  <si>
    <t>C1: 5-kW reduction</t>
  </si>
  <si>
    <t>ZU</t>
  </si>
  <si>
    <t>C1: 6-Type of System</t>
  </si>
  <si>
    <t>ZV</t>
  </si>
  <si>
    <t>C1: 6-Cooling Load</t>
  </si>
  <si>
    <t>ZW</t>
  </si>
  <si>
    <t>C1: 6-Opt Start/Stop</t>
  </si>
  <si>
    <t>ZX</t>
  </si>
  <si>
    <t>C1: 6-Chiller Water Reset</t>
  </si>
  <si>
    <t>ZY</t>
  </si>
  <si>
    <t>C1: 6-DCV</t>
  </si>
  <si>
    <t>ZZ</t>
  </si>
  <si>
    <t>C1: 6-SA Reset</t>
  </si>
  <si>
    <t>AAA</t>
  </si>
  <si>
    <r>
      <t xml:space="preserve">C1: 6-Cond Water Reset </t>
    </r>
    <r>
      <rPr>
        <b/>
        <sz val="8"/>
        <color rgb="FFFF0000"/>
        <rFont val="Arial"/>
        <family val="2"/>
      </rPr>
      <t>(Not in use)</t>
    </r>
  </si>
  <si>
    <t>AAB</t>
  </si>
  <si>
    <t>C1: 6-No. of  Strategies</t>
  </si>
  <si>
    <t>AAC</t>
  </si>
  <si>
    <t>C1: 6-Incentive</t>
  </si>
  <si>
    <t>AAD</t>
  </si>
  <si>
    <t>C1: 6-kWh savings</t>
  </si>
  <si>
    <t>AAE</t>
  </si>
  <si>
    <t>C1: 6-kW reduction</t>
  </si>
  <si>
    <t>AAF</t>
  </si>
  <si>
    <t>C3: 1-Operating Hours</t>
  </si>
  <si>
    <t>AAG</t>
  </si>
  <si>
    <t xml:space="preserve">C3: 1-Motor Designation </t>
  </si>
  <si>
    <t>AAH</t>
  </si>
  <si>
    <t>C3: 1-Motor Type</t>
  </si>
  <si>
    <t>AAI</t>
  </si>
  <si>
    <t>C3: 1-VSD Model No.</t>
  </si>
  <si>
    <t>AAJ</t>
  </si>
  <si>
    <t xml:space="preserve">C3: 1-Motor Power </t>
  </si>
  <si>
    <t>AAK</t>
  </si>
  <si>
    <t>C3: 1-IEEE Compliant</t>
  </si>
  <si>
    <t>AAL</t>
  </si>
  <si>
    <t>C3: 1-Incentive</t>
  </si>
  <si>
    <t>AAM</t>
  </si>
  <si>
    <t>C3: 1-kWh savings</t>
  </si>
  <si>
    <t>AAN</t>
  </si>
  <si>
    <t>C3: 2-Operating Hours</t>
  </si>
  <si>
    <t>AAO</t>
  </si>
  <si>
    <t xml:space="preserve">C3: 2-Motor Designation </t>
  </si>
  <si>
    <t>AAP</t>
  </si>
  <si>
    <t>C3: 2-Motor Type</t>
  </si>
  <si>
    <t>AAQ</t>
  </si>
  <si>
    <t>C3: 2-VSD Model No.</t>
  </si>
  <si>
    <t>AAR</t>
  </si>
  <si>
    <t xml:space="preserve">C3: 2-Motor Power </t>
  </si>
  <si>
    <t>AAS</t>
  </si>
  <si>
    <t>C3: 2-IEEE Compliant</t>
  </si>
  <si>
    <t>AAT</t>
  </si>
  <si>
    <t>C3: 2-Incentive</t>
  </si>
  <si>
    <t>AAU</t>
  </si>
  <si>
    <t>C3: 2-kWh savings</t>
  </si>
  <si>
    <t>AAV</t>
  </si>
  <si>
    <t>C3: 3-Operating Hours</t>
  </si>
  <si>
    <t>AAW</t>
  </si>
  <si>
    <t xml:space="preserve">C3: 3-Motor Designation </t>
  </si>
  <si>
    <t>AAX</t>
  </si>
  <si>
    <t>C3: 3-Motor Type</t>
  </si>
  <si>
    <t>AAY</t>
  </si>
  <si>
    <t>C3: 3-VSD Model No.</t>
  </si>
  <si>
    <t>AAZ</t>
  </si>
  <si>
    <t xml:space="preserve">C3: 3-Motor Power </t>
  </si>
  <si>
    <t>ABA</t>
  </si>
  <si>
    <t>C3: 3-IEEE Compliant</t>
  </si>
  <si>
    <t>ABB</t>
  </si>
  <si>
    <t>C3: 3-Incentive</t>
  </si>
  <si>
    <t>ABC</t>
  </si>
  <si>
    <t>C3: 3-kWh savings</t>
  </si>
  <si>
    <t>ABD</t>
  </si>
  <si>
    <t>C3: 4-Operating Hours</t>
  </si>
  <si>
    <t>ABE</t>
  </si>
  <si>
    <t xml:space="preserve">C3: 4-Motor Designation </t>
  </si>
  <si>
    <t>ABF</t>
  </si>
  <si>
    <t>C3: 4-Motor Type</t>
  </si>
  <si>
    <t>ABG</t>
  </si>
  <si>
    <t>C3: 4-VSD Model No.</t>
  </si>
  <si>
    <t>ABH</t>
  </si>
  <si>
    <t xml:space="preserve">C3: 4-Motor Power </t>
  </si>
  <si>
    <t>ABI</t>
  </si>
  <si>
    <t>C3: 4-IEEE Compliant</t>
  </si>
  <si>
    <t>ABJ</t>
  </si>
  <si>
    <t>C3: 4-Incentive</t>
  </si>
  <si>
    <t>ABK</t>
  </si>
  <si>
    <t>C3: 4-kWh savings</t>
  </si>
  <si>
    <t>ABL</t>
  </si>
  <si>
    <t>C3: 5-Operating Hours</t>
  </si>
  <si>
    <t>ABM</t>
  </si>
  <si>
    <t xml:space="preserve">C3: 5-Motor Designation </t>
  </si>
  <si>
    <t>ABN</t>
  </si>
  <si>
    <t>C3: 5-Motor Type</t>
  </si>
  <si>
    <t>ABO</t>
  </si>
  <si>
    <t>C3: 5-VSD Model No.</t>
  </si>
  <si>
    <t>ABP</t>
  </si>
  <si>
    <t xml:space="preserve">C3: 5-Motor Power </t>
  </si>
  <si>
    <t>ABQ</t>
  </si>
  <si>
    <t>C3: 5-IEEE Compliant</t>
  </si>
  <si>
    <t>ABR</t>
  </si>
  <si>
    <t>C3: 5-Incentive</t>
  </si>
  <si>
    <t>ABS</t>
  </si>
  <si>
    <t>C3: 5-kWh savings</t>
  </si>
  <si>
    <t>ABT</t>
  </si>
  <si>
    <t>C3: 6-Operating Hours</t>
  </si>
  <si>
    <t>ABU</t>
  </si>
  <si>
    <t xml:space="preserve">C3: 6-Motor Designation </t>
  </si>
  <si>
    <t>ABV</t>
  </si>
  <si>
    <t>C3: 6-Motor Type</t>
  </si>
  <si>
    <t>ABW</t>
  </si>
  <si>
    <t>C3: 6-VSD Model No.</t>
  </si>
  <si>
    <t>ABX</t>
  </si>
  <si>
    <t xml:space="preserve">C3: 6-Motor Power </t>
  </si>
  <si>
    <t>ABY</t>
  </si>
  <si>
    <t>C3: 6-IEEE Compliant</t>
  </si>
  <si>
    <t>ABZ</t>
  </si>
  <si>
    <t>C3: 6-Incentive</t>
  </si>
  <si>
    <t>ACA</t>
  </si>
  <si>
    <t>C3: 6-kWh savings</t>
  </si>
  <si>
    <t>ACB</t>
  </si>
  <si>
    <t>C3: 7-Operating Hours</t>
  </si>
  <si>
    <t>ACC</t>
  </si>
  <si>
    <t xml:space="preserve">C3: 7-Motor Designation </t>
  </si>
  <si>
    <t>ACD</t>
  </si>
  <si>
    <t>C3: 7-Motor Type</t>
  </si>
  <si>
    <t>ACE</t>
  </si>
  <si>
    <t>C3: 7-VSD Model No.</t>
  </si>
  <si>
    <t>ACF</t>
  </si>
  <si>
    <t xml:space="preserve">C3: 7-Motor Power </t>
  </si>
  <si>
    <t>ACG</t>
  </si>
  <si>
    <t>A2: 1-Actual Eff. EER/SEER</t>
  </si>
  <si>
    <t>C3: 7-IEEE Compliant</t>
  </si>
  <si>
    <t>ACH</t>
  </si>
  <si>
    <t>A2: 1-Efficiency Units (EER/SEER)</t>
  </si>
  <si>
    <t>C3: 7-Incentive</t>
  </si>
  <si>
    <t>ACI</t>
  </si>
  <si>
    <t>A2: 1-Actual Eff. EER/IEER</t>
  </si>
  <si>
    <t>C3: 7-kWh savings</t>
  </si>
  <si>
    <t>ACJ</t>
  </si>
  <si>
    <t>A2: 1-Efficiency Units (EER/IEER)</t>
  </si>
  <si>
    <t>C3: 8-Operating Hours</t>
  </si>
  <si>
    <t>ACK</t>
  </si>
  <si>
    <t>A2: 1-Tier 1 Min Elig. (EER/SEER)</t>
  </si>
  <si>
    <t xml:space="preserve">C3: 8-Motor Designation </t>
  </si>
  <si>
    <t>ACL</t>
  </si>
  <si>
    <t>A2: 1-Tier 1 Min Elig. (EER/IEER)</t>
  </si>
  <si>
    <t>C3: 8-Motor Type</t>
  </si>
  <si>
    <t>ACM</t>
  </si>
  <si>
    <t>A2: 1-Tier 1 Qualified</t>
  </si>
  <si>
    <t>C3: 8-VSD Model No.</t>
  </si>
  <si>
    <t>ACN</t>
  </si>
  <si>
    <t>A2: 1-Tier 2 Min Elig. (EER/SEER)</t>
  </si>
  <si>
    <t xml:space="preserve">C3: 8-Motor Power </t>
  </si>
  <si>
    <t>ACO</t>
  </si>
  <si>
    <t>A2: 1-Tier 2 Min Elig. (EER/IEER)</t>
  </si>
  <si>
    <t>C3: 8-IEEE Compliant</t>
  </si>
  <si>
    <t>ACP</t>
  </si>
  <si>
    <t>A2: 1-Tier 2 Qualified</t>
  </si>
  <si>
    <t>C3: 8-Incentive</t>
  </si>
  <si>
    <t>ACQ</t>
  </si>
  <si>
    <t>A2: 1-Incentive</t>
  </si>
  <si>
    <t>C3: 8-kWh savings</t>
  </si>
  <si>
    <t>ACR</t>
  </si>
  <si>
    <t>C3: 9-Operating Hours</t>
  </si>
  <si>
    <t>ACS</t>
  </si>
  <si>
    <t xml:space="preserve">C3: 9-Motor Designation </t>
  </si>
  <si>
    <t>ACT</t>
  </si>
  <si>
    <t>C3: 9-Motor Type</t>
  </si>
  <si>
    <t>ACU</t>
  </si>
  <si>
    <t>C3: 9-VSD Model No.</t>
  </si>
  <si>
    <t>ACV</t>
  </si>
  <si>
    <t xml:space="preserve">C3: 9-Motor Power </t>
  </si>
  <si>
    <t>ACW</t>
  </si>
  <si>
    <t>C3: 9-IEEE Compliant</t>
  </si>
  <si>
    <t>ACX</t>
  </si>
  <si>
    <t>C3: 9-Incentive</t>
  </si>
  <si>
    <t>ACY</t>
  </si>
  <si>
    <t>C3: 9-kWh savings</t>
  </si>
  <si>
    <t>ACZ</t>
  </si>
  <si>
    <t>A2: 2-Actual Eff. EER/SEER</t>
  </si>
  <si>
    <t>C3: 10-Operating Hours</t>
  </si>
  <si>
    <t>ADA</t>
  </si>
  <si>
    <t>A2: 2-Efficiency Units (EER/SEER)</t>
  </si>
  <si>
    <t xml:space="preserve">C3: 10-Motor Designation </t>
  </si>
  <si>
    <t>ADB</t>
  </si>
  <si>
    <t>A2: 2-Actual Eff. EER/IEER</t>
  </si>
  <si>
    <t>C3: 10-Motor Type</t>
  </si>
  <si>
    <t>ADC</t>
  </si>
  <si>
    <t>A2: 2-Efficiency Units (EER/IEER)</t>
  </si>
  <si>
    <t>C3: 10-VSD Model No.</t>
  </si>
  <si>
    <t>ADD</t>
  </si>
  <si>
    <t>A2: 2-Tier 1 Min Elig. (EER/SEER)</t>
  </si>
  <si>
    <t xml:space="preserve">C3: 10-Motor Power </t>
  </si>
  <si>
    <t>ADE</t>
  </si>
  <si>
    <t>A2: 2-Tier 1 Min Elig. (EER/IEER)</t>
  </si>
  <si>
    <t>C3: 10-IEEE Compliant</t>
  </si>
  <si>
    <t>ADF</t>
  </si>
  <si>
    <t>A2: 2-Tier 1 Qualified</t>
  </si>
  <si>
    <t>C3: 10-Incentive</t>
  </si>
  <si>
    <t>ADG</t>
  </si>
  <si>
    <t>A2: 2-Tier 2 Min Elig. (EER/SEER)</t>
  </si>
  <si>
    <t>C3: 10-kWh savings</t>
  </si>
  <si>
    <t>ADH</t>
  </si>
  <si>
    <t>A2: 2-Tier 2 Min Elig. (EER/IEER)</t>
  </si>
  <si>
    <t>C3: 11-Operating Hours</t>
  </si>
  <si>
    <t>ADI</t>
  </si>
  <si>
    <t>A2: 2-Tier 2 Qualified</t>
  </si>
  <si>
    <t xml:space="preserve">C3: 11-Motor Designation </t>
  </si>
  <si>
    <t>ADJ</t>
  </si>
  <si>
    <t>A2: 2-Incentive</t>
  </si>
  <si>
    <t>C3: 11-Motor Type</t>
  </si>
  <si>
    <t>ADK</t>
  </si>
  <si>
    <t>C3: 11-VSD Model No.</t>
  </si>
  <si>
    <t>ADL</t>
  </si>
  <si>
    <t xml:space="preserve">C3: 11-Motor Power </t>
  </si>
  <si>
    <t>ADM</t>
  </si>
  <si>
    <t>C3: 11-IEEE Compliant</t>
  </si>
  <si>
    <t>ADN</t>
  </si>
  <si>
    <t>C3: 11-Incentive</t>
  </si>
  <si>
    <t>ADO</t>
  </si>
  <si>
    <t>C3: 11-kWh savings</t>
  </si>
  <si>
    <t>ADP</t>
  </si>
  <si>
    <t>C3: 12-Operating Hours</t>
  </si>
  <si>
    <t>ADQ</t>
  </si>
  <si>
    <t xml:space="preserve">C3: 12-Motor Designation </t>
  </si>
  <si>
    <t>ADR</t>
  </si>
  <si>
    <t>C3: 12-Motor Type</t>
  </si>
  <si>
    <t>ADS</t>
  </si>
  <si>
    <t>A2: 3-Actual Eff. EER/SEER</t>
  </si>
  <si>
    <t>C3: 12-VSD Model No.</t>
  </si>
  <si>
    <t>ADT</t>
  </si>
  <si>
    <t>A2: 3-Efficiency Units (EER/SEER)</t>
  </si>
  <si>
    <t xml:space="preserve">C3: 12-Motor Power </t>
  </si>
  <si>
    <t>ADU</t>
  </si>
  <si>
    <t>A2: 3-Actual Eff. EER/IEER</t>
  </si>
  <si>
    <t>C3: 12-IEEE Compliant</t>
  </si>
  <si>
    <t>ADV</t>
  </si>
  <si>
    <t>A2: 3-Efficiency Units (EER/IEER)</t>
  </si>
  <si>
    <t>C3: 12-Incentive</t>
  </si>
  <si>
    <t>ADW</t>
  </si>
  <si>
    <t>A2: 3-Tier 1 Min Elig. (EER/SEER)</t>
  </si>
  <si>
    <t>C3: 12-kWh savings</t>
  </si>
  <si>
    <t>ADX</t>
  </si>
  <si>
    <t>A2: 3-Tier 1 Min Elig. (EER/IEER)</t>
  </si>
  <si>
    <t>C3: 13-Operating Hours</t>
  </si>
  <si>
    <t>ADY</t>
  </si>
  <si>
    <t>A2: 3-Tier 1 Qualified</t>
  </si>
  <si>
    <t xml:space="preserve">C3: 13-Motor Designation </t>
  </si>
  <si>
    <t>ADZ</t>
  </si>
  <si>
    <t>A2: 3-Tier 2 Min Elig. (EER/SEER)</t>
  </si>
  <si>
    <t>C3: 13-Motor Type</t>
  </si>
  <si>
    <t>AEA</t>
  </si>
  <si>
    <t>A2: 3-Tier 2 Min Elig. (EER/IEER)</t>
  </si>
  <si>
    <t>C3: 13-VSD Model No.</t>
  </si>
  <si>
    <t>AEB</t>
  </si>
  <si>
    <t>A2: 3-Tier 2 Qualified</t>
  </si>
  <si>
    <t xml:space="preserve">C3: 13-Motor Power </t>
  </si>
  <si>
    <t>AEC</t>
  </si>
  <si>
    <t>A2: 3-Incentive</t>
  </si>
  <si>
    <t>C3: 13-IEEE Compliant</t>
  </si>
  <si>
    <t>AED</t>
  </si>
  <si>
    <t>C3: 13-Incentive</t>
  </si>
  <si>
    <t>AEE</t>
  </si>
  <si>
    <t>C3: 13-kWh savings</t>
  </si>
  <si>
    <t>AEF</t>
  </si>
  <si>
    <t>C3: 14-Operating Hours</t>
  </si>
  <si>
    <t>AEG</t>
  </si>
  <si>
    <t xml:space="preserve">C3: 14-Motor Designation </t>
  </si>
  <si>
    <t>AEH</t>
  </si>
  <si>
    <t>C3: 14-Motor Type</t>
  </si>
  <si>
    <t>AEI</t>
  </si>
  <si>
    <t>C3: 14-VSD Model No.</t>
  </si>
  <si>
    <t>AEJ</t>
  </si>
  <si>
    <t xml:space="preserve">C3: 14-Motor Power </t>
  </si>
  <si>
    <t>AEK</t>
  </si>
  <si>
    <t>C3: 14-IEEE Compliant</t>
  </si>
  <si>
    <t>AEL</t>
  </si>
  <si>
    <t>A2: 4-Actual Eff. EER/SEER</t>
  </si>
  <si>
    <t>C3: 14-Incentive</t>
  </si>
  <si>
    <t>AEM</t>
  </si>
  <si>
    <t>A2: 4-Efficiency Units (EER/SEER)</t>
  </si>
  <si>
    <t>C3: 14-kWh savings</t>
  </si>
  <si>
    <t>AEN</t>
  </si>
  <si>
    <t>A2: 4-Actual Eff. EER/IEER</t>
  </si>
  <si>
    <t>C3: 15-Operating Hours</t>
  </si>
  <si>
    <t>AEO</t>
  </si>
  <si>
    <t>A2: 4-Efficiency Units (EER/IEER)</t>
  </si>
  <si>
    <t xml:space="preserve">C3: 15-Motor Designation </t>
  </si>
  <si>
    <t>AEP</t>
  </si>
  <si>
    <t>A2: 4-Tier 1 Min Elig. (EER/SEER)</t>
  </si>
  <si>
    <t>C3: 15-Motor Type</t>
  </si>
  <si>
    <t>AEQ</t>
  </si>
  <si>
    <t>A2: 4-Tier 1 Min Elig. (EER/IEER)</t>
  </si>
  <si>
    <t>C3: 15-VSD Model No.</t>
  </si>
  <si>
    <t>AER</t>
  </si>
  <si>
    <t>A2: 4-Tier 1 Qualified</t>
  </si>
  <si>
    <t xml:space="preserve">C3: 15-Motor Power </t>
  </si>
  <si>
    <t>AES</t>
  </si>
  <si>
    <t>A2: 4-Tier 2 Min Elig. (EER/SEER)</t>
  </si>
  <si>
    <t>C3: 15-IEEE Compliant</t>
  </si>
  <si>
    <t>AET</t>
  </si>
  <si>
    <t>A2: 4-Tier 2 Min Elig. (EER/IEER)</t>
  </si>
  <si>
    <t>C3: 15-Incentive</t>
  </si>
  <si>
    <t>AEU</t>
  </si>
  <si>
    <t>A2: 4-Tier 2 Qualified</t>
  </si>
  <si>
    <t>C3: 15-kWh savings</t>
  </si>
  <si>
    <t>AEV</t>
  </si>
  <si>
    <t>A2: 4-Incentive</t>
  </si>
  <si>
    <t>AEW</t>
  </si>
  <si>
    <t>AEX</t>
  </si>
  <si>
    <t>AEY</t>
  </si>
  <si>
    <t>AEZ</t>
  </si>
  <si>
    <t>AFA</t>
  </si>
  <si>
    <t>AFB</t>
  </si>
  <si>
    <t>AFC</t>
  </si>
  <si>
    <t>AFD</t>
  </si>
  <si>
    <t>A2: 5-Actual Eff. EER/SEER</t>
  </si>
  <si>
    <t>AFE</t>
  </si>
  <si>
    <t>A2: 5-Efficiency Units (EER/SEER)</t>
  </si>
  <si>
    <t>AFF</t>
  </si>
  <si>
    <t>A2: 5-Actual Eff. EER/IEER</t>
  </si>
  <si>
    <t>AFG</t>
  </si>
  <si>
    <t>A2: 5-Efficiency Units (EER/IEER)</t>
  </si>
  <si>
    <t>AFH</t>
  </si>
  <si>
    <t>A2: 5-Tier 1 Min Elig. (EER/SEER)</t>
  </si>
  <si>
    <t>AFI</t>
  </si>
  <si>
    <t>A2: 5-Tier 1 Min Elig. (EER/IEER)</t>
  </si>
  <si>
    <t>AFJ</t>
  </si>
  <si>
    <t>A2: 5-Tier 1 Qualified</t>
  </si>
  <si>
    <t>AFK</t>
  </si>
  <si>
    <t>A2: 5-Tier 2 Min Elig. (EER/SEER)</t>
  </si>
  <si>
    <t>AFL</t>
  </si>
  <si>
    <t>A2: 5-Tier 2 Min Elig. (EER/IEER)</t>
  </si>
  <si>
    <t>AFM</t>
  </si>
  <si>
    <t>A2: 5-Tier 2 Qualified</t>
  </si>
  <si>
    <t>AFN</t>
  </si>
  <si>
    <t>A2: 5-Incentive</t>
  </si>
  <si>
    <t>AFO</t>
  </si>
  <si>
    <t>AFP</t>
  </si>
  <si>
    <t>AFQ</t>
  </si>
  <si>
    <t>AFR</t>
  </si>
  <si>
    <t>AFS</t>
  </si>
  <si>
    <t>A3: 1-System Name</t>
  </si>
  <si>
    <t>AFT</t>
  </si>
  <si>
    <t>AFU</t>
  </si>
  <si>
    <t>A3: 1-Actual Eff. EER/kW/ton</t>
  </si>
  <si>
    <t>AFV</t>
  </si>
  <si>
    <t>A3: 1-Efficiency Units (EER/kW/ton)</t>
  </si>
  <si>
    <t>AFW</t>
  </si>
  <si>
    <t>A3: 1-Min Eligibility (Water Cooled)</t>
  </si>
  <si>
    <t>AFX</t>
  </si>
  <si>
    <t>A3: 1-Qualified (Water Cooled)</t>
  </si>
  <si>
    <t>AFY</t>
  </si>
  <si>
    <t>A3: 1-Min Eligibility (Air Cooled)</t>
  </si>
  <si>
    <t>AFZ</t>
  </si>
  <si>
    <t>A3: 1-Qualified (Air Cooled)</t>
  </si>
  <si>
    <t>AGA</t>
  </si>
  <si>
    <t>A3: 1-Incentive</t>
  </si>
  <si>
    <t>AGB</t>
  </si>
  <si>
    <t>AGC</t>
  </si>
  <si>
    <t>AGD</t>
  </si>
  <si>
    <t>AGE</t>
  </si>
  <si>
    <t>AGF</t>
  </si>
  <si>
    <t>A3: 2-System Name</t>
  </si>
  <si>
    <t>AGG</t>
  </si>
  <si>
    <t>AGH</t>
  </si>
  <si>
    <t>A3: 2-Actual Eff. EER/kW/ton</t>
  </si>
  <si>
    <t>AGI</t>
  </si>
  <si>
    <t>A3: 2-Efficiency Units (EER/kW/ton)</t>
  </si>
  <si>
    <t>AGJ</t>
  </si>
  <si>
    <t>A3: 2-Min Eligibility (Water Cooled)</t>
  </si>
  <si>
    <t>AGK</t>
  </si>
  <si>
    <t>A3: 2-Qualified (Water Cooled)</t>
  </si>
  <si>
    <t>AGL</t>
  </si>
  <si>
    <t>A3: 2-Min Eligibility (Air Cooled)</t>
  </si>
  <si>
    <t>AGM</t>
  </si>
  <si>
    <t>A3: 2-Qualified (Air Cooled)</t>
  </si>
  <si>
    <t>AGN</t>
  </si>
  <si>
    <t>A3: 2-Incentive</t>
  </si>
  <si>
    <t>AGO</t>
  </si>
  <si>
    <t>AGP</t>
  </si>
  <si>
    <t>AGQ</t>
  </si>
  <si>
    <t>AGR</t>
  </si>
  <si>
    <t>AGS</t>
  </si>
  <si>
    <t>A3: 3-System Name</t>
  </si>
  <si>
    <t>AGT</t>
  </si>
  <si>
    <t>AGU</t>
  </si>
  <si>
    <t>A3: 3-Actual Eff. EER/kW/ton</t>
  </si>
  <si>
    <t>AGV</t>
  </si>
  <si>
    <t>A3: 3-Efficiency Units (EER/kW/ton)</t>
  </si>
  <si>
    <t>AGW</t>
  </si>
  <si>
    <t>A3: 3-Min Eligibility (Water Cooled)</t>
  </si>
  <si>
    <t>AGX</t>
  </si>
  <si>
    <t>A3: 3-Qualified (Water Cooled)</t>
  </si>
  <si>
    <t>AGY</t>
  </si>
  <si>
    <t>A3: 3-Min Eligibility (Air Cooled)</t>
  </si>
  <si>
    <t>AGZ</t>
  </si>
  <si>
    <t>A3: 3-Qualified (Air Cooled)</t>
  </si>
  <si>
    <t>AHA</t>
  </si>
  <si>
    <t>A3: 3-Incentive</t>
  </si>
  <si>
    <t>AHB</t>
  </si>
  <si>
    <t>AHC</t>
  </si>
  <si>
    <t>AHD</t>
  </si>
  <si>
    <t>AHE</t>
  </si>
  <si>
    <t>AHF</t>
  </si>
  <si>
    <t>A3: 4-System Name</t>
  </si>
  <si>
    <t>AHG</t>
  </si>
  <si>
    <t>AHH</t>
  </si>
  <si>
    <t>A3: 4-Actual Eff. EER/kW/ton</t>
  </si>
  <si>
    <t>AHI</t>
  </si>
  <si>
    <t>A3: 4-Efficiency Units (EER/kW/ton)</t>
  </si>
  <si>
    <t>AHJ</t>
  </si>
  <si>
    <t>A3: 4-Min Eligibility (Water Cooled)</t>
  </si>
  <si>
    <t>AHK</t>
  </si>
  <si>
    <t>A3: 4-Qualified (Water Cooled)</t>
  </si>
  <si>
    <t>AHL</t>
  </si>
  <si>
    <t>A3: 4-Min Eligibility (Air Cooled)</t>
  </si>
  <si>
    <t>AHM</t>
  </si>
  <si>
    <t>A3: 4-Qualified (Air Cooled)</t>
  </si>
  <si>
    <t>AHN</t>
  </si>
  <si>
    <t>A3: 4-Incentive</t>
  </si>
  <si>
    <t>AHO</t>
  </si>
  <si>
    <t>AHP</t>
  </si>
  <si>
    <t>AHQ</t>
  </si>
  <si>
    <t>AHR</t>
  </si>
  <si>
    <t>AHS</t>
  </si>
  <si>
    <t>A3: 5-System Name</t>
  </si>
  <si>
    <t>AHT</t>
  </si>
  <si>
    <t>AHU</t>
  </si>
  <si>
    <t>A3: 5-Actual Eff. EER/kW/ton</t>
  </si>
  <si>
    <t>AHV</t>
  </si>
  <si>
    <t>A3: 5-Efficiency Units (EER/kW/ton)</t>
  </si>
  <si>
    <t>AHW</t>
  </si>
  <si>
    <t>A3: 5-Min Eligibility (Water Cooled)</t>
  </si>
  <si>
    <t>AHX</t>
  </si>
  <si>
    <t>A3: 5-Qualified (Water Cooled)</t>
  </si>
  <si>
    <t>AHY</t>
  </si>
  <si>
    <t>A3: 5-Min Eligibility (Air Cooled)</t>
  </si>
  <si>
    <t>AHZ</t>
  </si>
  <si>
    <t>A3: 5-Qualified (Air Cooled)</t>
  </si>
  <si>
    <t>AIA</t>
  </si>
  <si>
    <t>A3: 5-Incentive</t>
  </si>
  <si>
    <t>AIB</t>
  </si>
  <si>
    <t>AIC</t>
  </si>
  <si>
    <t>AID</t>
  </si>
  <si>
    <t>AIE</t>
  </si>
  <si>
    <t>AIF</t>
  </si>
  <si>
    <t>AIG</t>
  </si>
  <si>
    <t>AIH</t>
  </si>
  <si>
    <t>AII</t>
  </si>
  <si>
    <t>AIJ</t>
  </si>
  <si>
    <t>C1: 1-Cond Water Reset (Not in use)</t>
  </si>
  <si>
    <t>AIK</t>
  </si>
  <si>
    <t>AIL</t>
  </si>
  <si>
    <t>AIM</t>
  </si>
  <si>
    <t>AIN</t>
  </si>
  <si>
    <t>AIO</t>
  </si>
  <si>
    <t>AIP</t>
  </si>
  <si>
    <t>AIQ</t>
  </si>
  <si>
    <t>AIR</t>
  </si>
  <si>
    <t>AIS</t>
  </si>
  <si>
    <t>AIT</t>
  </si>
  <si>
    <t>AIU</t>
  </si>
  <si>
    <t>C1: 2-Cond Water Reset (Not in use)</t>
  </si>
  <si>
    <t>AIV</t>
  </si>
  <si>
    <t>AIW</t>
  </si>
  <si>
    <t>AIX</t>
  </si>
  <si>
    <t>AIY</t>
  </si>
  <si>
    <t>AIZ</t>
  </si>
  <si>
    <t>AJA</t>
  </si>
  <si>
    <t>AJB</t>
  </si>
  <si>
    <t>AJC</t>
  </si>
  <si>
    <t>AJD</t>
  </si>
  <si>
    <t>AJE</t>
  </si>
  <si>
    <t>AJF</t>
  </si>
  <si>
    <t>C1: 3-Cond Water Reset (Not in use)</t>
  </si>
  <si>
    <t>AJG</t>
  </si>
  <si>
    <t>AJH</t>
  </si>
  <si>
    <t>AJI</t>
  </si>
  <si>
    <t>AJJ</t>
  </si>
  <si>
    <t>AJK</t>
  </si>
  <si>
    <t>AJL</t>
  </si>
  <si>
    <t>AJM</t>
  </si>
  <si>
    <t>AJN</t>
  </si>
  <si>
    <t>AJO</t>
  </si>
  <si>
    <t>AJP</t>
  </si>
  <si>
    <t>AJQ</t>
  </si>
  <si>
    <t>C1: 4-Cond Water Reset (Not in use)</t>
  </si>
  <si>
    <t>AJR</t>
  </si>
  <si>
    <t>AJS</t>
  </si>
  <si>
    <t>AJT</t>
  </si>
  <si>
    <t>AJU</t>
  </si>
  <si>
    <t>AJV</t>
  </si>
  <si>
    <t>AJW</t>
  </si>
  <si>
    <t>AJX</t>
  </si>
  <si>
    <t>AJY</t>
  </si>
  <si>
    <t>AJZ</t>
  </si>
  <si>
    <t>AKA</t>
  </si>
  <si>
    <t>AKB</t>
  </si>
  <si>
    <t>C1: 5-Cond Water Reset (Not in use)</t>
  </si>
  <si>
    <t>AKC</t>
  </si>
  <si>
    <t>AKD</t>
  </si>
  <si>
    <t>AKE</t>
  </si>
  <si>
    <t>AKF</t>
  </si>
  <si>
    <t>AKG</t>
  </si>
  <si>
    <t>AKH</t>
  </si>
  <si>
    <t>AKI</t>
  </si>
  <si>
    <t>AKJ</t>
  </si>
  <si>
    <t>AKK</t>
  </si>
  <si>
    <t>AKL</t>
  </si>
  <si>
    <t>AKM</t>
  </si>
  <si>
    <t>C1: 6-Cond Water Reset (Not in use)</t>
  </si>
  <si>
    <t>AKN</t>
  </si>
  <si>
    <t>AKO</t>
  </si>
  <si>
    <t>AKP</t>
  </si>
  <si>
    <t>AKQ</t>
  </si>
  <si>
    <t>AKR</t>
  </si>
  <si>
    <t>AKS</t>
  </si>
  <si>
    <t>AKT</t>
  </si>
  <si>
    <t>AKU</t>
  </si>
  <si>
    <t>AKV</t>
  </si>
  <si>
    <t>AKW</t>
  </si>
  <si>
    <t>AKX</t>
  </si>
  <si>
    <t>AKY</t>
  </si>
  <si>
    <t>AKZ</t>
  </si>
  <si>
    <t>ALA</t>
  </si>
  <si>
    <t>ALB</t>
  </si>
  <si>
    <t>ALC</t>
  </si>
  <si>
    <t>ALD</t>
  </si>
  <si>
    <t>ALE</t>
  </si>
  <si>
    <t>ALF</t>
  </si>
  <si>
    <t>ALG</t>
  </si>
  <si>
    <t>ALH</t>
  </si>
  <si>
    <t>ALI</t>
  </si>
  <si>
    <t>ALJ</t>
  </si>
  <si>
    <t>ALK</t>
  </si>
  <si>
    <t>ALL</t>
  </si>
  <si>
    <t>ALM</t>
  </si>
  <si>
    <t>ALN</t>
  </si>
  <si>
    <t>ALO</t>
  </si>
  <si>
    <t>ALP</t>
  </si>
  <si>
    <t>ALQ</t>
  </si>
  <si>
    <t>ALR</t>
  </si>
  <si>
    <t>ALS</t>
  </si>
  <si>
    <t>ALT</t>
  </si>
  <si>
    <t>ALU</t>
  </si>
  <si>
    <t>ALV</t>
  </si>
  <si>
    <t>ALW</t>
  </si>
  <si>
    <t>ALX</t>
  </si>
  <si>
    <t>ALY</t>
  </si>
  <si>
    <t>ALZ</t>
  </si>
  <si>
    <t>AMA</t>
  </si>
  <si>
    <t>AMB</t>
  </si>
  <si>
    <t>AMC</t>
  </si>
  <si>
    <t>AMD</t>
  </si>
  <si>
    <t>AME</t>
  </si>
  <si>
    <t>AMF</t>
  </si>
  <si>
    <t>AMG</t>
  </si>
  <si>
    <t>AMH</t>
  </si>
  <si>
    <t>AMI</t>
  </si>
  <si>
    <t>AMJ</t>
  </si>
  <si>
    <t>AMK</t>
  </si>
  <si>
    <t>AML</t>
  </si>
  <si>
    <t>AMM</t>
  </si>
  <si>
    <t>AMN</t>
  </si>
  <si>
    <t>AMO</t>
  </si>
  <si>
    <t>AMP</t>
  </si>
  <si>
    <t>AMQ</t>
  </si>
  <si>
    <t>AMR</t>
  </si>
  <si>
    <t>AMS</t>
  </si>
  <si>
    <t>AMT</t>
  </si>
  <si>
    <t>AMU</t>
  </si>
  <si>
    <t>AMV</t>
  </si>
  <si>
    <t>AMW</t>
  </si>
  <si>
    <t>AMX</t>
  </si>
  <si>
    <t>AMY</t>
  </si>
  <si>
    <t>AMZ</t>
  </si>
  <si>
    <t>ANA</t>
  </si>
  <si>
    <t>ANB</t>
  </si>
  <si>
    <t>ANC</t>
  </si>
  <si>
    <t>AND</t>
  </si>
  <si>
    <t>ANE</t>
  </si>
  <si>
    <t>ANF</t>
  </si>
  <si>
    <t>ANG</t>
  </si>
  <si>
    <t>ANH</t>
  </si>
  <si>
    <t>ANI</t>
  </si>
  <si>
    <t>ANJ</t>
  </si>
  <si>
    <t>ANK</t>
  </si>
  <si>
    <t>ANL</t>
  </si>
  <si>
    <t>ANM</t>
  </si>
  <si>
    <t>ANN</t>
  </si>
  <si>
    <t>ANO</t>
  </si>
  <si>
    <t>ANP</t>
  </si>
  <si>
    <t>ANQ</t>
  </si>
  <si>
    <t>ANR</t>
  </si>
  <si>
    <t>ANS</t>
  </si>
  <si>
    <t>ANT</t>
  </si>
  <si>
    <t>ANU</t>
  </si>
  <si>
    <t>ANV</t>
  </si>
  <si>
    <t>ANW</t>
  </si>
  <si>
    <t>ANX</t>
  </si>
  <si>
    <t>ANY</t>
  </si>
  <si>
    <t>ANZ</t>
  </si>
  <si>
    <t>AOA</t>
  </si>
  <si>
    <t>AOB</t>
  </si>
  <si>
    <t>AOC</t>
  </si>
  <si>
    <t>AOD</t>
  </si>
  <si>
    <t>AOE</t>
  </si>
  <si>
    <t>AOF</t>
  </si>
  <si>
    <t>AOG</t>
  </si>
  <si>
    <t>AOH</t>
  </si>
  <si>
    <t>AOI</t>
  </si>
  <si>
    <t>AOJ</t>
  </si>
  <si>
    <t>AOK</t>
  </si>
  <si>
    <t>AOL</t>
  </si>
  <si>
    <t>AOM</t>
  </si>
  <si>
    <t>AON</t>
  </si>
  <si>
    <t>AOO</t>
  </si>
  <si>
    <t>AOP</t>
  </si>
  <si>
    <t>AOQ</t>
  </si>
  <si>
    <t>AOR</t>
  </si>
  <si>
    <t>AOS</t>
  </si>
  <si>
    <t>AOT</t>
  </si>
  <si>
    <t>AOU</t>
  </si>
  <si>
    <t>AOV</t>
  </si>
  <si>
    <t>AOW</t>
  </si>
  <si>
    <t>AOX</t>
  </si>
  <si>
    <t>AOY</t>
  </si>
  <si>
    <t>AOZ</t>
  </si>
  <si>
    <t>APA</t>
  </si>
  <si>
    <t>APB</t>
  </si>
  <si>
    <t>APC</t>
  </si>
  <si>
    <t>APD</t>
  </si>
  <si>
    <t>APE</t>
  </si>
  <si>
    <t>APF</t>
  </si>
  <si>
    <t>APG</t>
  </si>
  <si>
    <t>APH</t>
  </si>
  <si>
    <t>Project State</t>
  </si>
  <si>
    <t>Dwelling Heat</t>
  </si>
  <si>
    <t>Common Heat</t>
  </si>
  <si>
    <t>Office &lt;20,000 sf</t>
  </si>
  <si>
    <t>New Construction and Major Renovation Worksheet</t>
  </si>
  <si>
    <t>For new buildings, expansions, additions, major renovations or changes in space usage type projects</t>
  </si>
  <si>
    <t>For question regarding this worksheet, please contact Idaho Power by emailing multifamily@idahopower.com</t>
  </si>
  <si>
    <t>Dwelling Unit Energy Efficiency Incentives for New Construction and Major Renovations</t>
  </si>
  <si>
    <t>Reported Savings</t>
  </si>
  <si>
    <t>Savings (before stacking)</t>
  </si>
  <si>
    <t>Incentive</t>
  </si>
  <si>
    <t>kWh Savings</t>
  </si>
  <si>
    <t>kW</t>
  </si>
  <si>
    <t>Orig kWh</t>
  </si>
  <si>
    <t>Orig kW</t>
  </si>
  <si>
    <t>Stacking</t>
  </si>
  <si>
    <t>HVAC Savings (for stacking)</t>
  </si>
  <si>
    <t>HVAC rank</t>
  </si>
  <si>
    <t xml:space="preserve"> MF1 - Ductless Mini-Split Heat Pump</t>
  </si>
  <si>
    <t>Complete NC HVAC Worksheet</t>
  </si>
  <si>
    <t>x $125 per ton=</t>
  </si>
  <si>
    <t>HVAC</t>
  </si>
  <si>
    <t xml:space="preserve"> MF2 - Air Source Heat Pump</t>
  </si>
  <si>
    <t>x $75 to $125 per ton=</t>
  </si>
  <si>
    <t xml:space="preserve"> MF3a - Package Terminal Air Conditioners</t>
  </si>
  <si>
    <t>x $25 or $50 per ton=</t>
  </si>
  <si>
    <t>x $75 or $100 per ton=</t>
  </si>
  <si>
    <t>Qty:</t>
  </si>
  <si>
    <t>Single Speed Fans</t>
  </si>
  <si>
    <t>Two Speed Fans</t>
  </si>
  <si>
    <t>x $25 per fan=</t>
  </si>
  <si>
    <t>Fan w/o Light</t>
  </si>
  <si>
    <t>Fan w/ Light</t>
  </si>
  <si>
    <r>
      <t xml:space="preserve"> MF6  - Reflective Roof Treatment </t>
    </r>
    <r>
      <rPr>
        <i/>
        <sz val="8"/>
        <rFont val="Arial"/>
        <family val="2"/>
      </rPr>
      <t>(sq ft over dwelling units only)</t>
    </r>
  </si>
  <si>
    <t xml:space="preserve">Roof Area: </t>
  </si>
  <si>
    <t>sq ft</t>
  </si>
  <si>
    <t>x $0.05 per sq ft=</t>
  </si>
  <si>
    <r>
      <t xml:space="preserve"> MF7 - Connected Smart Thermostat</t>
    </r>
    <r>
      <rPr>
        <i/>
        <sz val="8"/>
        <rFont val="Arial"/>
        <family val="2"/>
      </rPr>
      <t xml:space="preserve"> (electric heat only)</t>
    </r>
  </si>
  <si>
    <t>Electric Heat Pump</t>
  </si>
  <si>
    <t>Electric Furnace</t>
  </si>
  <si>
    <t>x $30 per unit=</t>
  </si>
  <si>
    <r>
      <t xml:space="preserve"> MF8  - Efficient Windows </t>
    </r>
    <r>
      <rPr>
        <i/>
        <sz val="8"/>
        <rFont val="Arial"/>
        <family val="2"/>
      </rPr>
      <t xml:space="preserve">(low rise and electric heat only) </t>
    </r>
  </si>
  <si>
    <t xml:space="preserve"> Tier 1 (U-factor &lt;0.30 and &gt;0.27)</t>
  </si>
  <si>
    <t xml:space="preserve">Window area: </t>
  </si>
  <si>
    <t>x $0.25 per sq ft=</t>
  </si>
  <si>
    <t xml:space="preserve"> Tier 2 (U-factor ≤0.27 and &gt;0.24)</t>
  </si>
  <si>
    <t>x $0.50 per sq ft=</t>
  </si>
  <si>
    <t xml:space="preserve"> Tier 3 (U-factor ≤0.24)</t>
  </si>
  <si>
    <t>x $1.00 per sq ft=</t>
  </si>
  <si>
    <r>
      <t xml:space="preserve"> MF9  - Low E Storm Window </t>
    </r>
    <r>
      <rPr>
        <i/>
        <sz val="8"/>
        <color rgb="FFFF0000"/>
        <rFont val="Arial"/>
        <family val="2"/>
      </rPr>
      <t>(electric heat only)</t>
    </r>
  </si>
  <si>
    <t>Common Area Incentives for New Construction and Major Renovations</t>
  </si>
  <si>
    <t>Lighting</t>
  </si>
  <si>
    <t>Lighting Load</t>
  </si>
  <si>
    <t>Actual [kW]</t>
  </si>
  <si>
    <t>Code [kW]</t>
  </si>
  <si>
    <t>% Below Code</t>
  </si>
  <si>
    <t>Operating Hours</t>
  </si>
  <si>
    <t>Lighting Savings</t>
  </si>
  <si>
    <t>Lighting Rank</t>
  </si>
  <si>
    <t>HVAC Savings</t>
  </si>
  <si>
    <t xml:space="preserve"> L1N - Interior Light Load Red.</t>
  </si>
  <si>
    <t xml:space="preserve">Floor Area: </t>
  </si>
  <si>
    <t xml:space="preserve"> L2N - Exterior Light Load Red.</t>
  </si>
  <si>
    <t xml:space="preserve">Reduction: </t>
  </si>
  <si>
    <t>x $200 per kW =</t>
  </si>
  <si>
    <t xml:space="preserve"> L3a - LLLC Interior (Networked)</t>
  </si>
  <si>
    <t>See L3 LLLC Tab for Req.</t>
  </si>
  <si>
    <t xml:space="preserve">Installed: </t>
  </si>
  <si>
    <t>x $0.26 per kWh=</t>
  </si>
  <si>
    <t>Control Strategy 1:</t>
  </si>
  <si>
    <t>Control Strategy 2:</t>
  </si>
  <si>
    <t xml:space="preserve"> L3b - LLLC Exterior (Networked)</t>
  </si>
  <si>
    <t>x $0.20 per kWh=</t>
  </si>
  <si>
    <t xml:space="preserve"> L4 - Occupancy Sensors*</t>
  </si>
  <si>
    <t xml:space="preserve">Qty: </t>
  </si>
  <si>
    <t>x $25 per sensor=</t>
  </si>
  <si>
    <t xml:space="preserve"> L5N - High Efficiency Exit Signs</t>
  </si>
  <si>
    <t>x $7.50 per sign=</t>
  </si>
  <si>
    <t>LEDs must be on one of the following QPLs (qualified product lists), DLC, LDL or ENERGY STAR® (exceptions are  granted if an architect or engineer specified the product and completed COMcheck or if there is not a QPL category for proposed product). If a project is 60% or more below code and/or has high operating hours, a non-standard incentive may be available.</t>
  </si>
  <si>
    <t>Air-Conditioning</t>
  </si>
  <si>
    <t xml:space="preserve"> A1N - Efficient AC &amp; HP Units*</t>
  </si>
  <si>
    <t>x $25 to $70 per ton=</t>
  </si>
  <si>
    <t xml:space="preserve"> A2 - Efficient VRF Units*</t>
  </si>
  <si>
    <t>Complete HVAC Worksheet</t>
  </si>
  <si>
    <t>x $35 to $100 per ton=</t>
  </si>
  <si>
    <t xml:space="preserve"> A3N - Efficient Chillers*</t>
  </si>
  <si>
    <t>x $40 or $80 per ton=</t>
  </si>
  <si>
    <r>
      <t xml:space="preserve"> A4N - Economizer </t>
    </r>
    <r>
      <rPr>
        <i/>
        <sz val="8"/>
        <color theme="1"/>
        <rFont val="Arial"/>
        <family val="2"/>
      </rPr>
      <t>(Air Cooled)</t>
    </r>
  </si>
  <si>
    <t xml:space="preserve">Total Eligible: </t>
  </si>
  <si>
    <t>tons</t>
  </si>
  <si>
    <t>x $75 per ton=</t>
  </si>
  <si>
    <t xml:space="preserve"> A4Nb - Economizer (Water Cooled)*</t>
  </si>
  <si>
    <t>x $50 per ton=</t>
  </si>
  <si>
    <t xml:space="preserve"> A5a - Evaporative Coolers (Direct)*</t>
  </si>
  <si>
    <t>x $200 per ton=</t>
  </si>
  <si>
    <t xml:space="preserve"> A5b - Evaporative Coolers (Indirect)*</t>
  </si>
  <si>
    <t>x $130 per ton=</t>
  </si>
  <si>
    <t xml:space="preserve"> A6N - High Volume Low Speed Fans</t>
  </si>
  <si>
    <t>fans</t>
  </si>
  <si>
    <t>x $2,000 per fan=</t>
  </si>
  <si>
    <t xml:space="preserve"> A7 - Evaporative Pre-coolers on Air-Cooled Condensers (HVAC)*</t>
  </si>
  <si>
    <t>x $30 per ton=</t>
  </si>
  <si>
    <t>Building Shell</t>
  </si>
  <si>
    <r>
      <t xml:space="preserve"> B1N - Reflective Roof Treatment </t>
    </r>
    <r>
      <rPr>
        <i/>
        <sz val="8"/>
        <rFont val="Arial"/>
        <family val="2"/>
      </rPr>
      <t>(sq ft over common areas only)</t>
    </r>
  </si>
  <si>
    <t>Controls</t>
  </si>
  <si>
    <t>x $60*, $80, $100, or $120 per ton=</t>
  </si>
  <si>
    <t xml:space="preserve"> C1 - Energy Management Control Systems*</t>
  </si>
  <si>
    <t>Complete Controls Worksheet</t>
  </si>
  <si>
    <r>
      <t xml:space="preserve"> C2 - Guest Room EMS  </t>
    </r>
    <r>
      <rPr>
        <b/>
        <i/>
        <u/>
        <sz val="8"/>
        <color rgb="FFDD0806"/>
        <rFont val="Arial"/>
        <family val="2"/>
      </rPr>
      <t>-Must use electric heat-</t>
    </r>
  </si>
  <si>
    <t xml:space="preserve">Total Eligible (cooling): </t>
  </si>
  <si>
    <t>unit(s)</t>
  </si>
  <si>
    <t>x $50 per unit=</t>
  </si>
  <si>
    <t>N/A</t>
  </si>
  <si>
    <t xml:space="preserve"> C3 - HVAC Variable Speed Drives</t>
  </si>
  <si>
    <t>x $125 per hp=</t>
  </si>
  <si>
    <t xml:space="preserve"> C4 - Kitchen Hood Supply &amp; Exhaust Variable Speed Drive</t>
  </si>
  <si>
    <t>hp</t>
  </si>
  <si>
    <t>x $250 per hp=</t>
  </si>
  <si>
    <t xml:space="preserve"> C5 - Onion/Potato Shed Ventilation Variable Speed Drive</t>
  </si>
  <si>
    <t xml:space="preserve"> C6 - Dairy Vacuum Pump Variable Speed Drive*</t>
  </si>
  <si>
    <t>x $170 per hp=</t>
  </si>
  <si>
    <t xml:space="preserve"> C7 - Dairy/Milk Transfer Pump</t>
  </si>
  <si>
    <t>x $1,500 per unit=</t>
  </si>
  <si>
    <t>Appliances and Equipment</t>
  </si>
  <si>
    <t>WH Savings</t>
  </si>
  <si>
    <t>WH Rank</t>
  </si>
  <si>
    <t xml:space="preserve"> W1N - ENERGY STAR® Efficient Laundry Machines</t>
  </si>
  <si>
    <t>x $200 per unit=</t>
  </si>
  <si>
    <t>WATER HEATER</t>
  </si>
  <si>
    <t xml:space="preserve"> I1a - ENERGY STAR Ice Machine &lt; 200 lbs/day*</t>
  </si>
  <si>
    <t>x $100 per unit=</t>
  </si>
  <si>
    <r>
      <t xml:space="preserve"> I1b - ENERGY STAR Ice Machine </t>
    </r>
    <r>
      <rPr>
        <sz val="8"/>
        <color rgb="FFDD0806"/>
        <rFont val="Calibri"/>
        <family val="2"/>
      </rPr>
      <t>≥</t>
    </r>
    <r>
      <rPr>
        <sz val="8"/>
        <color rgb="FFDD0806"/>
        <rFont val="Arial"/>
        <family val="2"/>
      </rPr>
      <t xml:space="preserve"> 200 lbs/day</t>
    </r>
  </si>
  <si>
    <t>x $300 per unit=</t>
  </si>
  <si>
    <r>
      <t xml:space="preserve">E1a - Stationary Pump Driven Circulating Block Heater </t>
    </r>
    <r>
      <rPr>
        <sz val="8"/>
        <color rgb="FFDD0806"/>
        <rFont val="Calibri"/>
        <family val="2"/>
      </rPr>
      <t>≤</t>
    </r>
    <r>
      <rPr>
        <sz val="7.2"/>
        <color rgb="FFDD0806"/>
        <rFont val="Arial"/>
        <family val="2"/>
      </rPr>
      <t xml:space="preserve"> </t>
    </r>
    <r>
      <rPr>
        <sz val="8"/>
        <color rgb="FFDD0806"/>
        <rFont val="Arial"/>
        <family val="2"/>
      </rPr>
      <t>200 kW</t>
    </r>
  </si>
  <si>
    <t>E1b - Stationary Pump Driven Circulating Block Heater 201-500 kW</t>
  </si>
  <si>
    <t>x $350 per unit=</t>
  </si>
  <si>
    <t>E1c - Stationary Pump Driven Circulating Block Heater 501-1,000 kW</t>
  </si>
  <si>
    <t>x $500 per unit=</t>
  </si>
  <si>
    <t>E2 - High Efficiency Battery Charger</t>
  </si>
  <si>
    <t xml:space="preserve">Single Phase Qty: </t>
  </si>
  <si>
    <t xml:space="preserve">Three Phase Qty: </t>
  </si>
  <si>
    <t>Power conversion 89% or better and maintenance power less than 10 W.</t>
  </si>
  <si>
    <t>E3a - Wall Mounted Block Heater Controls</t>
  </si>
  <si>
    <t>E3b - Engine Mounted Block Heater Controls</t>
  </si>
  <si>
    <t>Refrigeration (Commercial Systems only - Ammonia systems do not qualify for the prescriptive offering on R1)</t>
  </si>
  <si>
    <t>Refrig. Savings</t>
  </si>
  <si>
    <t>Refrig. Rank</t>
  </si>
  <si>
    <t xml:space="preserve"> R1 - Efficient Condensers*</t>
  </si>
  <si>
    <t>ton</t>
  </si>
  <si>
    <t>x $20 per ton=</t>
  </si>
  <si>
    <t>REFRIGERATION</t>
  </si>
  <si>
    <t xml:space="preserve"> R2a - Automatic High Speed Door: Between Refrigerator &amp; Unrefrigerated Dock</t>
  </si>
  <si>
    <t>x $25 per sq ft of door =</t>
  </si>
  <si>
    <t xml:space="preserve"> R2b - Automatic High Speed Door: Between Freezer &amp; Refrigerator</t>
  </si>
  <si>
    <t>x $50 per sq ft of door =</t>
  </si>
  <si>
    <t xml:space="preserve"> R2c - Automatic High Speed Door: Between Freezer &amp; Unrefrigerated Dock</t>
  </si>
  <si>
    <t>x $100 per sq ft of door =</t>
  </si>
  <si>
    <t xml:space="preserve"> R3 - Evaporative Pre-coolers on Air-Cooled Condensers (Refrigeration)*</t>
  </si>
  <si>
    <t>Compressed Air Equipment</t>
  </si>
  <si>
    <t>CA Savings</t>
  </si>
  <si>
    <t>CA Rank</t>
  </si>
  <si>
    <t xml:space="preserve"> CA1 - Air Compressor Variable Speed Drives</t>
  </si>
  <si>
    <t>x $200 per hp=</t>
  </si>
  <si>
    <t>COMPRESSED AIR</t>
  </si>
  <si>
    <t xml:space="preserve"> CA2 - No Loss Condensate Drain</t>
  </si>
  <si>
    <t>unit</t>
  </si>
  <si>
    <t xml:space="preserve"> CA3 - Low Pressure Drop Filter</t>
  </si>
  <si>
    <t>x $10 per hp=</t>
  </si>
  <si>
    <t xml:space="preserve"> CA4 - Refrigerated Compressed Air Dryer*</t>
  </si>
  <si>
    <t>cfm</t>
  </si>
  <si>
    <t>x $3 per cfm =</t>
  </si>
  <si>
    <t xml:space="preserve"> CA5 - Efficient Compressed Air Nozzle</t>
  </si>
  <si>
    <t>nozzle</t>
  </si>
  <si>
    <t>x $80 per nozzle =</t>
  </si>
  <si>
    <t>Pool Covers</t>
  </si>
  <si>
    <t xml:space="preserve">Pool area: </t>
  </si>
  <si>
    <t>x $2 per sq ft=</t>
  </si>
  <si>
    <t>Total Incentive for Common Area</t>
  </si>
  <si>
    <t>*** REMEMBER DURING TESTING*** After fixing the formulas in Heating Section Type, Single or Split, and Subategory, FIX THE DATA VALIDATION REFERENCE FOR THE DROP DOWN!!!!!</t>
  </si>
  <si>
    <t>HVAC Worksheet Data Input for New Construction and Major Renovations</t>
  </si>
  <si>
    <t>Applicant:</t>
  </si>
  <si>
    <t>MF1 - Ductless Mini-Split Heat Pump</t>
  </si>
  <si>
    <t>Minimum Eligible Efficiency</t>
  </si>
  <si>
    <r>
      <rPr>
        <sz val="8"/>
        <rFont val="Arial"/>
        <family val="2"/>
      </rPr>
      <t xml:space="preserve">Incentive
</t>
    </r>
    <r>
      <rPr>
        <sz val="8"/>
        <color indexed="10"/>
        <rFont val="Arial"/>
        <family val="2"/>
      </rPr>
      <t>(tons x $125)</t>
    </r>
  </si>
  <si>
    <t>MF1 Savings &amp; Reduction</t>
  </si>
  <si>
    <t>SEER2</t>
  </si>
  <si>
    <t>HSPF2</t>
  </si>
  <si>
    <t>ENERGY STAR®</t>
  </si>
  <si>
    <t>Qty</t>
  </si>
  <si>
    <t>Tons</t>
  </si>
  <si>
    <t>Description of Location</t>
  </si>
  <si>
    <t>Model / Designation</t>
  </si>
  <si>
    <t>Actual Eff.</t>
  </si>
  <si>
    <t>Ductless ($125/ ton)</t>
  </si>
  <si>
    <t>ER baseline savings</t>
  </si>
  <si>
    <t>HP baseline savings</t>
  </si>
  <si>
    <t>Wtd Elec savings</t>
  </si>
  <si>
    <t>Gas baseline savings</t>
  </si>
  <si>
    <t>kW/ton reduction</t>
  </si>
  <si>
    <t>Savings (kWh/yr)</t>
  </si>
  <si>
    <t>MF1 kW Reduction</t>
  </si>
  <si>
    <t>MF1 kWh Savings</t>
  </si>
  <si>
    <t>MF1 kW Red</t>
  </si>
  <si>
    <t>MF1 Incentive Total=</t>
  </si>
  <si>
    <t>MF2 - Air Source Heat Pumps</t>
  </si>
  <si>
    <r>
      <rPr>
        <sz val="8"/>
        <rFont val="Arial"/>
        <family val="2"/>
      </rPr>
      <t xml:space="preserve">Incentive
</t>
    </r>
    <r>
      <rPr>
        <sz val="8"/>
        <color indexed="10"/>
        <rFont val="Arial"/>
        <family val="2"/>
      </rPr>
      <t>(tons x $75 or $125)</t>
    </r>
  </si>
  <si>
    <t>MF2 Savings &amp; Reduction</t>
  </si>
  <si>
    <t>Split or Single</t>
  </si>
  <si>
    <t>SEER</t>
  </si>
  <si>
    <t>EER</t>
  </si>
  <si>
    <t>Tier 1</t>
  </si>
  <si>
    <t>Tier 2</t>
  </si>
  <si>
    <t>Air Source HP ($75/ton)</t>
  </si>
  <si>
    <t>Air Source HP ($125/ ton)</t>
  </si>
  <si>
    <t>savings (kWh/yr)</t>
  </si>
  <si>
    <t>A1    kW Reduction</t>
  </si>
  <si>
    <t>MF2 kWh Savings</t>
  </si>
  <si>
    <t>MF2 kW Red</t>
  </si>
  <si>
    <t>MF2 Incentive Total=</t>
  </si>
  <si>
    <t>MF3a - Package Terminal Air Conditioner</t>
  </si>
  <si>
    <r>
      <rPr>
        <sz val="8"/>
        <rFont val="Arial"/>
        <family val="2"/>
      </rPr>
      <t xml:space="preserve">Incentive
</t>
    </r>
    <r>
      <rPr>
        <sz val="8"/>
        <color indexed="10"/>
        <rFont val="Arial"/>
        <family val="2"/>
      </rPr>
      <t>(tons x $25 or $50)</t>
    </r>
  </si>
  <si>
    <t>MF3a Savings &amp; Reduction</t>
  </si>
  <si>
    <t>10% Better Than Code</t>
  </si>
  <si>
    <t>20% Better Than Code</t>
  </si>
  <si>
    <t>PTAC ($25/ton)</t>
  </si>
  <si>
    <t>PTAC ($50/ ton)</t>
  </si>
  <si>
    <t>M3a kWh Savings</t>
  </si>
  <si>
    <t>MF3a kW Red</t>
  </si>
  <si>
    <t>MF3a Incentive Total=</t>
  </si>
  <si>
    <t>MF3b - Package Terminal Heat Pump</t>
  </si>
  <si>
    <r>
      <rPr>
        <sz val="8"/>
        <rFont val="Arial"/>
        <family val="2"/>
      </rPr>
      <t xml:space="preserve">Incentive
</t>
    </r>
    <r>
      <rPr>
        <sz val="8"/>
        <color indexed="10"/>
        <rFont val="Arial"/>
        <family val="2"/>
      </rPr>
      <t>(tons x $75 or $100)</t>
    </r>
  </si>
  <si>
    <t>MF3b Savings &amp; Reduction</t>
  </si>
  <si>
    <t>PTHP ($75/ton)</t>
  </si>
  <si>
    <t>PTHP ($100/ ton)</t>
  </si>
  <si>
    <t>M3b kWh Savings</t>
  </si>
  <si>
    <t>MF3b Incentive Total=</t>
  </si>
  <si>
    <t>Common Area Energy Efficiency Incentives for New Construction and Major Renovations</t>
  </si>
  <si>
    <t>A1N- Premium Efficiency HVAC Units*</t>
  </si>
  <si>
    <r>
      <rPr>
        <sz val="8"/>
        <rFont val="Arial"/>
        <family val="2"/>
      </rPr>
      <t xml:space="preserve">Incentive
</t>
    </r>
    <r>
      <rPr>
        <sz val="8"/>
        <color indexed="10"/>
        <rFont val="Arial"/>
        <family val="2"/>
      </rPr>
      <t>(tons x $25, $50, or $70)</t>
    </r>
  </si>
  <si>
    <t>A1N Savings &amp; Reduction</t>
  </si>
  <si>
    <t>Air-Cooled Air Conditioners*/Heat Pumps</t>
  </si>
  <si>
    <t>Heating Section Type</t>
  </si>
  <si>
    <t>EER/SEER</t>
  </si>
  <si>
    <t>EER/ IEER</t>
  </si>
  <si>
    <t>Type (use drop-down menu)</t>
  </si>
  <si>
    <t>code</t>
  </si>
  <si>
    <t>cooling hours</t>
  </si>
  <si>
    <t>EER savings</t>
  </si>
  <si>
    <t>SEER savings</t>
  </si>
  <si>
    <t>kW/ton savings</t>
  </si>
  <si>
    <r>
      <rPr>
        <sz val="8"/>
        <rFont val="Arial"/>
        <family val="2"/>
      </rPr>
      <t xml:space="preserve">Incentive
</t>
    </r>
    <r>
      <rPr>
        <sz val="8"/>
        <color indexed="10"/>
        <rFont val="Arial"/>
        <family val="2"/>
      </rPr>
      <t>(tons x $40 or $100)</t>
    </r>
  </si>
  <si>
    <t>A1 Savings &amp; Reduction</t>
  </si>
  <si>
    <t>Water-Cooled Air Conditioners*/Heat Pumps*</t>
  </si>
  <si>
    <t>Water Cooled AC ($40/ton)*
Water Cooled HP ($100/ton)*</t>
  </si>
  <si>
    <t>A1 kWh Savings</t>
  </si>
  <si>
    <t>A1 kW Red</t>
  </si>
  <si>
    <t>A1N Incentive Total=</t>
  </si>
  <si>
    <r>
      <t xml:space="preserve">A2- Efficient VRF Units* </t>
    </r>
    <r>
      <rPr>
        <b/>
        <sz val="12"/>
        <color rgb="FFDD0806"/>
        <rFont val="Arial"/>
        <family val="2"/>
      </rPr>
      <t>- HIDE ROWS. KEEPING IN CASE WE NEED TO ADD BACK IN.</t>
    </r>
  </si>
  <si>
    <r>
      <rPr>
        <sz val="8"/>
        <rFont val="Arial"/>
        <family val="2"/>
      </rPr>
      <t xml:space="preserve">Incentive
</t>
    </r>
    <r>
      <rPr>
        <sz val="8"/>
        <color indexed="10"/>
        <rFont val="Arial"/>
        <family val="2"/>
      </rPr>
      <t>(tons x $35, $50, $55, $85, or $100)</t>
    </r>
  </si>
  <si>
    <t>A2 Savings &amp; Reduction</t>
  </si>
  <si>
    <t>Subcategory</t>
  </si>
  <si>
    <t>Air Cooled AC VRF ($35/ton)
Air Cooled HP VRF ($50/ton)*
Water Cooled HP VRF ($100/ton)*</t>
  </si>
  <si>
    <t>Air Cooled AC VRF ($55/ton)
Air Cooled HP VRF ($85/ton)*</t>
  </si>
  <si>
    <t>A2 kWh Savings</t>
  </si>
  <si>
    <t>A2 kW Red</t>
  </si>
  <si>
    <t>A2 Incentive Total=</t>
  </si>
  <si>
    <t>A3N- Efficient Chillers*</t>
  </si>
  <si>
    <r>
      <rPr>
        <sz val="8"/>
        <rFont val="Arial"/>
        <family val="2"/>
      </rPr>
      <t xml:space="preserve">Incentive
</t>
    </r>
    <r>
      <rPr>
        <sz val="8"/>
        <color indexed="10"/>
        <rFont val="Arial"/>
        <family val="2"/>
      </rPr>
      <t>(tons x $40 or $80)</t>
    </r>
  </si>
  <si>
    <t>A3N Savings &amp; Reduction</t>
  </si>
  <si>
    <t>Water Cooled ($40/ ton)</t>
  </si>
  <si>
    <t>Air Cooled                            ($80/ ton)</t>
  </si>
  <si>
    <t>System Name (use drop-down menu)</t>
  </si>
  <si>
    <t>A3    kW Reduction</t>
  </si>
  <si>
    <t>A3 kWh Savings</t>
  </si>
  <si>
    <t>A3 kW Red</t>
  </si>
  <si>
    <t>* Indicates some incentives are available in Idaho only. Visit idahopower.com/multifamily to learn more.</t>
  </si>
  <si>
    <t>A3N Incentive Total=</t>
  </si>
  <si>
    <t>EER/IEER</t>
  </si>
  <si>
    <t>A1 Incentive Total=</t>
  </si>
  <si>
    <t>IEER</t>
  </si>
  <si>
    <t>A3 Incentive Total=</t>
  </si>
  <si>
    <t>Retrofits Worksheet</t>
  </si>
  <si>
    <t>For retrofit projects replacing existing equipment</t>
  </si>
  <si>
    <t>Dwelling Unit Energy Efficiency Incentives for Retrofits</t>
  </si>
  <si>
    <t>Complete Retro HVAC Worksheet</t>
  </si>
  <si>
    <t>x $50 or $75 per ton=</t>
  </si>
  <si>
    <r>
      <t xml:space="preserve"> MF9  - Low E Storm Window </t>
    </r>
    <r>
      <rPr>
        <i/>
        <sz val="8"/>
        <rFont val="Arial"/>
        <family val="2"/>
      </rPr>
      <t>(electric heat only)</t>
    </r>
  </si>
  <si>
    <t>Common Area Incentives for Retrofits</t>
  </si>
  <si>
    <t xml:space="preserve"> A1R - Efficient AC &amp; HP Units*</t>
  </si>
  <si>
    <t>x $50 to $130 per ton=</t>
  </si>
  <si>
    <t xml:space="preserve"> A3R - Efficient Chillers*</t>
  </si>
  <si>
    <t>x $60 or $110 per ton=</t>
  </si>
  <si>
    <r>
      <t xml:space="preserve"> A4R - Economizer </t>
    </r>
    <r>
      <rPr>
        <i/>
        <sz val="8"/>
        <color theme="1"/>
        <rFont val="Arial"/>
        <family val="2"/>
      </rPr>
      <t>(Air Cooled)</t>
    </r>
  </si>
  <si>
    <t xml:space="preserve">New - Total Eligible: </t>
  </si>
  <si>
    <t xml:space="preserve">Repair - Total Eligible: </t>
  </si>
  <si>
    <t xml:space="preserve"> A6R - High Volume Low Speed Fans</t>
  </si>
  <si>
    <r>
      <t xml:space="preserve"> B1R - Reflective Roof Treatment </t>
    </r>
    <r>
      <rPr>
        <i/>
        <sz val="8"/>
        <rFont val="Arial"/>
        <family val="2"/>
      </rPr>
      <t>(sq ft over common areas only)</t>
    </r>
  </si>
  <si>
    <t xml:space="preserve"> W1R - ENERGY STAR® Efficient Laundry Machines</t>
  </si>
  <si>
    <t>HVAC Worksheet Data Input for Retrofits</t>
  </si>
  <si>
    <t>Original heating type in dwelling units prior to retrofit?</t>
  </si>
  <si>
    <t>Electric</t>
  </si>
  <si>
    <t>*Required (May differ from Final Application tab if existing fuel type is different from new fuel type.)</t>
  </si>
  <si>
    <t>Select original heating system type in dwelling units prior to retrofit:</t>
  </si>
  <si>
    <t xml:space="preserve">*Required </t>
  </si>
  <si>
    <r>
      <rPr>
        <sz val="8"/>
        <rFont val="Arial"/>
        <family val="2"/>
      </rPr>
      <t xml:space="preserve">Incentive
</t>
    </r>
    <r>
      <rPr>
        <sz val="8"/>
        <color indexed="10"/>
        <rFont val="Arial"/>
        <family val="2"/>
      </rPr>
      <t>(tons x $50 or $75)</t>
    </r>
  </si>
  <si>
    <t>PTAC ($50/ton)</t>
  </si>
  <si>
    <t>PTAC ($75/ ton)</t>
  </si>
  <si>
    <t>Common Area Energy Efficiency Incentives for Retrofits</t>
  </si>
  <si>
    <t>Original heating type in the common area prior to retrofit?</t>
  </si>
  <si>
    <t>A1R- Premium Efficiency HVAC Units*</t>
  </si>
  <si>
    <t>Select original heating system type in the common area prior to retrofit:</t>
  </si>
  <si>
    <r>
      <rPr>
        <sz val="8"/>
        <rFont val="Arial"/>
        <family val="2"/>
      </rPr>
      <t xml:space="preserve">Incentive
</t>
    </r>
    <r>
      <rPr>
        <sz val="8"/>
        <color indexed="10"/>
        <rFont val="Arial"/>
        <family val="2"/>
      </rPr>
      <t>(tons x $50, $75, $85, $110 or $130)</t>
    </r>
  </si>
  <si>
    <t>A1R Savings &amp; Reduction</t>
  </si>
  <si>
    <t>Air Cooled AC ($85/ ton)*
Air Cooled HP ($110/ton)*
PTAC/PTHP ($50/ ton)*</t>
  </si>
  <si>
    <t>Air Cooled AC ($110/ ton)*
Air Cooled HP ($130/ton)*
PTAC/PTHP ($75/ ton)*</t>
  </si>
  <si>
    <t>AC Savings</t>
  </si>
  <si>
    <t>ASHP Savings</t>
  </si>
  <si>
    <t>PTAC Savings</t>
  </si>
  <si>
    <t>PTHP Savings</t>
  </si>
  <si>
    <t>kWh/ton</t>
  </si>
  <si>
    <t>A3R- Efficient Chillers*</t>
  </si>
  <si>
    <r>
      <rPr>
        <sz val="8"/>
        <rFont val="Arial"/>
        <family val="2"/>
      </rPr>
      <t xml:space="preserve">Incentive
</t>
    </r>
    <r>
      <rPr>
        <sz val="8"/>
        <color indexed="10"/>
        <rFont val="Arial"/>
        <family val="2"/>
      </rPr>
      <t>(tons x $60 or $110)</t>
    </r>
  </si>
  <si>
    <t>A3R Savings &amp; Reduction</t>
  </si>
  <si>
    <t>Water Cooled ($60/ ton)</t>
  </si>
  <si>
    <t>Air Cooled 
($110/ ton)</t>
  </si>
  <si>
    <t xml:space="preserve">Air Cooled </t>
  </si>
  <si>
    <t>Water 1</t>
  </si>
  <si>
    <t>Water 2</t>
  </si>
  <si>
    <r>
      <t xml:space="preserve">A1 &amp; A2 Efficiency Requirements </t>
    </r>
    <r>
      <rPr>
        <b/>
        <sz val="10"/>
        <color rgb="FFFF0000"/>
        <rFont val="Arial"/>
        <family val="2"/>
      </rPr>
      <t>(NOT USED)</t>
    </r>
  </si>
  <si>
    <t>Range</t>
  </si>
  <si>
    <t>Requirements</t>
  </si>
  <si>
    <t>Code</t>
  </si>
  <si>
    <r>
      <t xml:space="preserve">Dynamic Lists </t>
    </r>
    <r>
      <rPr>
        <b/>
        <sz val="10"/>
        <color rgb="FFFF0000"/>
        <rFont val="Arial"/>
        <family val="2"/>
      </rPr>
      <t>(NOT USED)</t>
    </r>
  </si>
  <si>
    <t>Resistance</t>
  </si>
  <si>
    <t>Min</t>
  </si>
  <si>
    <t>Max</t>
  </si>
  <si>
    <t>AC Equipment Type</t>
  </si>
  <si>
    <t>Size</t>
  </si>
  <si>
    <t>Resistance Types</t>
  </si>
  <si>
    <t>HVAC Ranges</t>
  </si>
  <si>
    <t>Current Dynamic Lists</t>
  </si>
  <si>
    <t>Split</t>
  </si>
  <si>
    <t>Single</t>
  </si>
  <si>
    <t>Electric (or none)</t>
  </si>
  <si>
    <t>Other</t>
  </si>
  <si>
    <t>Electric or none</t>
  </si>
  <si>
    <t>Unitary Commercial Air Conditioners, Air-Cooled</t>
  </si>
  <si>
    <t>&lt;65,000</t>
  </si>
  <si>
    <t>Split System</t>
  </si>
  <si>
    <t>min</t>
  </si>
  <si>
    <t>max</t>
  </si>
  <si>
    <t>Unitary Commercial Air Conditioners, Air-Cooled&lt;65,000</t>
  </si>
  <si>
    <t>Single Package</t>
  </si>
  <si>
    <t>Please Select</t>
  </si>
  <si>
    <t>Unitary Commercial Air Conditioners, Water Source</t>
  </si>
  <si>
    <t>&gt;=65,000 and &lt;135,000</t>
  </si>
  <si>
    <t>Unitary Commercial Air Conditioners, Air-Cooled&gt;=65,000 and &lt;135,000</t>
  </si>
  <si>
    <t>Heat Pumps, Air-Cooled</t>
  </si>
  <si>
    <t>&gt;=135,000 and &lt;240,000</t>
  </si>
  <si>
    <t>Unitary Commercial Air Conditioners, Air-Cooled&gt;=135,000 and &lt;240,000</t>
  </si>
  <si>
    <t>Heat Pumps, Water-Cooled</t>
  </si>
  <si>
    <t>&gt;=240,000</t>
  </si>
  <si>
    <t>Unitary Commercial Air Conditioners, Air-Cooled&gt;=240,000 and &lt;760,000</t>
  </si>
  <si>
    <t>&gt;=135,000</t>
  </si>
  <si>
    <t>&gt;=240,000 and &lt;760,000</t>
  </si>
  <si>
    <t>Unitary Commercial Air Conditioners, Air-Cooled&gt;=760,000</t>
  </si>
  <si>
    <t>&lt;135,000</t>
  </si>
  <si>
    <t>&gt;=760,000</t>
  </si>
  <si>
    <t>Unitary Commercial Air Conditioners, Water-Cooled&lt;65,000</t>
  </si>
  <si>
    <t>New Construction</t>
  </si>
  <si>
    <t>Unitary Commercial Air Conditioners, Water-Cooled&gt;=65,000 and &lt;135,000</t>
  </si>
  <si>
    <t>A1-Air Cooled</t>
  </si>
  <si>
    <t>Unitary Commercial Air Conditioners, Water-Cooled&gt;=135,000 and &lt;240,000</t>
  </si>
  <si>
    <t>Unitary Commercial Air Conditioners, Water-Cooled&gt;=240,000 and &lt;760,000</t>
  </si>
  <si>
    <t>VRF Ranges</t>
  </si>
  <si>
    <t>Unitary Commercial Air Conditioners, Water-Cooled&gt;=760,000</t>
  </si>
  <si>
    <t>All</t>
  </si>
  <si>
    <t>Package Terminal Air Conditioners (PTAC)&lt;=7,000</t>
  </si>
  <si>
    <t>Package Terminal Air Conditioners (PTAC)&gt;7,000 and &lt;=8,500</t>
  </si>
  <si>
    <t>Package Terminal Air Conditioners (PTAC)&gt;8,500 and &lt;=9,500</t>
  </si>
  <si>
    <t>Package Terminal Air Conditioners (PTAC)&gt;9,500 and &lt;=10,500</t>
  </si>
  <si>
    <t>Package Terminal Air Conditioners (PTAC)&gt;10,500 and &lt;=11,500</t>
  </si>
  <si>
    <t>Package Terminal Air Conditioners (PTAC)&gt;11,500 and &lt;=12,500</t>
  </si>
  <si>
    <t>Package Terminal Air Conditioners (PTAC)&gt;12,500 and &lt;=13,500</t>
  </si>
  <si>
    <t>PTAC Ranges</t>
  </si>
  <si>
    <t>Package Terminal Air Conditioners (PTAC)&gt;13,500 and &lt;15,000</t>
  </si>
  <si>
    <t>Package Terminal Air Conditioners (PTAC)&gt;=15,000</t>
  </si>
  <si>
    <t>A3 Efficiency Requirements</t>
  </si>
  <si>
    <t>&lt;=7,000</t>
  </si>
  <si>
    <t>Package Terminal Heat Pump (PTHP)&lt;=7,000</t>
  </si>
  <si>
    <t>A3</t>
  </si>
  <si>
    <t>&gt;7,000 and &lt;=8,500</t>
  </si>
  <si>
    <t>Package Terminal Heat Pump (PTHP)&gt;7,000 and &lt;=8,500</t>
  </si>
  <si>
    <t>&gt;8,500 and &lt;=9,500</t>
  </si>
  <si>
    <t>Package Terminal Heat Pump (PTHP)&gt;8,500 and &lt;=9,500</t>
  </si>
  <si>
    <t>&gt;9,500 and &lt;=10,500</t>
  </si>
  <si>
    <t>Package Terminal Heat Pump (PTHP)&gt;9,500 and &lt;=10,500</t>
  </si>
  <si>
    <t>&gt;10,500 and &lt;=11,500</t>
  </si>
  <si>
    <t>Package Terminal Heat Pump (PTHP)&gt;10,500 and &lt;=11,500</t>
  </si>
  <si>
    <t>kW/ton</t>
  </si>
  <si>
    <t>&gt;11,500 and &lt;=12,500</t>
  </si>
  <si>
    <t>Package Terminal Heat Pump (PTHP)&gt;11,500 and &lt;=12,500</t>
  </si>
  <si>
    <t>&gt;12,500 and &lt;=13,500</t>
  </si>
  <si>
    <t>Package Terminal Heat Pump (PTHP)&gt;12,500 and &lt;=13,500</t>
  </si>
  <si>
    <t>&gt;13,500 and &lt;15,000</t>
  </si>
  <si>
    <t>Package Terminal Heat Pump (PTHP)&gt;13,500 and &lt;15,000</t>
  </si>
  <si>
    <t>&gt;=15,000</t>
  </si>
  <si>
    <t>Package Terminal Heat Pump (PTHP)&gt;=15,000</t>
  </si>
  <si>
    <t>Heat Pumps, Air-Cooled&lt;65,000</t>
  </si>
  <si>
    <t>Heat Pumps, Air-Cooled&gt;=65,000 and &lt;135,000</t>
  </si>
  <si>
    <t>Heat Pumps, Air-Cooled&gt;=135,000 and &lt;240,000</t>
  </si>
  <si>
    <t>Heat Pumps, Air-Cooled&gt;=240,000 and &lt;760,000</t>
  </si>
  <si>
    <t>Heat Pumps, Water-Cooled&lt;17,000</t>
  </si>
  <si>
    <t>Heat Pumps, Water-Cooled&gt;=17,000 and &lt;135,000</t>
  </si>
  <si>
    <t>Heat Pump VRF, Air Cooled&lt;65,000</t>
  </si>
  <si>
    <t>Multisplit System</t>
  </si>
  <si>
    <t>Multisplit System w/Heat Recovery</t>
  </si>
  <si>
    <t>Heat Pump VRF, Air Cooled&gt;=65,000 and &lt;135,000</t>
  </si>
  <si>
    <t>Heat Pump VRF, Air Cooled&gt;=135,000 and &lt;240,000</t>
  </si>
  <si>
    <t>Heat Pump VRF, Air Cooled&gt;=240,000</t>
  </si>
  <si>
    <t>Air Conditioning VRF, Air Cooled&lt;65,000</t>
  </si>
  <si>
    <t>Air Conditioning VRF, Air Cooled&gt;=65,000 and &lt;135,000</t>
  </si>
  <si>
    <t>Unitary Commercial Air Conditioners, Water Source&lt;65,000</t>
  </si>
  <si>
    <t>Air Conditioning VRF, Air Cooled&gt;=135,000 and &lt;240,000</t>
  </si>
  <si>
    <t>IEER/EER</t>
  </si>
  <si>
    <t>Air Conditioning VRF, Air Cooled&gt;=240,000</t>
  </si>
  <si>
    <t>A1 &amp; A2 Efficiency Requirements</t>
  </si>
  <si>
    <t>Heat Pump VRF, Water Cooled&lt;135,000</t>
  </si>
  <si>
    <t>HVAC Efficiencies</t>
  </si>
  <si>
    <t>USING AS THE BASE FOR ALL AC AIRCOOLED</t>
  </si>
  <si>
    <t>changed per 8/20 email</t>
  </si>
  <si>
    <t>A1-Water Cooled</t>
  </si>
  <si>
    <t>TABLE 2-86 PG104</t>
  </si>
  <si>
    <t>Unitary Commercial Air Conditioners, Water-Cooled</t>
  </si>
  <si>
    <t>aircooled AC baseline</t>
  </si>
  <si>
    <t xml:space="preserve">updated code </t>
  </si>
  <si>
    <t>10% better than code per TRM</t>
  </si>
  <si>
    <t>Package Terminal Air Conditioners (PTAC)</t>
  </si>
  <si>
    <t>Package Terminal Heat Pump (PTHP)</t>
  </si>
  <si>
    <t>A2</t>
  </si>
  <si>
    <t xml:space="preserve">Savings from table  2-95 TRM </t>
  </si>
  <si>
    <t>check calculator</t>
  </si>
  <si>
    <t>Savings from table 2-100</t>
  </si>
  <si>
    <t>&lt;17,000</t>
  </si>
  <si>
    <t>&gt;=17,000 and &lt;135,000</t>
  </si>
  <si>
    <t>Savings from table 2-99 TRM pg 114</t>
  </si>
  <si>
    <t>Heat Pump VRF, Air Cooled</t>
  </si>
  <si>
    <t>MultiSplit System</t>
  </si>
  <si>
    <t>MultiSplit System w/Heat Recovery</t>
  </si>
  <si>
    <t>Left numbers as is, check calculator</t>
  </si>
  <si>
    <t>added n/a in L and N</t>
  </si>
  <si>
    <t>Savings from table  2-87 TRM PG 105</t>
  </si>
  <si>
    <t>Air Conditioning VRF, Air Cooled</t>
  </si>
  <si>
    <t>Savings from table 2-101 TRM pg 115</t>
  </si>
  <si>
    <t>MF2-Air Source Heat Pump</t>
  </si>
  <si>
    <t>Heat Pump VRF, Water Cooled</t>
  </si>
  <si>
    <t>MF3a-Package Terminal Air Conditioner</t>
  </si>
  <si>
    <t>MF3b-Package Terminal Heat Pump</t>
  </si>
  <si>
    <t>MF2-Air Cooled</t>
  </si>
  <si>
    <t>For specific measure qualifications</t>
  </si>
  <si>
    <t>Terms &amp; Conditions</t>
  </si>
  <si>
    <t>https://www.idahopower.com/ways-to-save/savings-for-your-business/terms-conditions/</t>
  </si>
  <si>
    <t>ZIP Codes</t>
  </si>
  <si>
    <t>Cities</t>
  </si>
  <si>
    <t>All States</t>
  </si>
  <si>
    <t>Hrs</t>
  </si>
  <si>
    <t>Cooling Hrs</t>
  </si>
  <si>
    <t>Tax Status</t>
  </si>
  <si>
    <t>Applicant Status</t>
  </si>
  <si>
    <t>VSD Motor Types</t>
  </si>
  <si>
    <t>ZIP</t>
  </si>
  <si>
    <t>Stacking Effects Measure Order</t>
  </si>
  <si>
    <t>Discount Factor</t>
  </si>
  <si>
    <t>Boise</t>
  </si>
  <si>
    <t>ALABAMA</t>
  </si>
  <si>
    <t>Assembly</t>
  </si>
  <si>
    <t>Corporation</t>
  </si>
  <si>
    <t>Owner-occupant</t>
  </si>
  <si>
    <t>Chilled Water Pump</t>
  </si>
  <si>
    <t>Aberdeen</t>
  </si>
  <si>
    <t>Eastern</t>
  </si>
  <si>
    <t>ALASKA</t>
  </si>
  <si>
    <t>Education - Primary School</t>
  </si>
  <si>
    <t>Limited Liability Company (LLC)</t>
  </si>
  <si>
    <t>Non-occupant owner paying the electric bill</t>
  </si>
  <si>
    <t>Condenser Water Pump</t>
  </si>
  <si>
    <t>Acequia</t>
  </si>
  <si>
    <t>Southern</t>
  </si>
  <si>
    <t xml:space="preserve">ARIZONA </t>
  </si>
  <si>
    <t>Education - Secondary School</t>
  </si>
  <si>
    <t>Partnership</t>
  </si>
  <si>
    <t>Non-occupant owner not paying the electric bill</t>
  </si>
  <si>
    <t>Cooling Tower Fans</t>
  </si>
  <si>
    <t>Adrian</t>
  </si>
  <si>
    <t>Western</t>
  </si>
  <si>
    <t>Eagle</t>
  </si>
  <si>
    <t>ARKANSAS</t>
  </si>
  <si>
    <t>Education - Community College</t>
  </si>
  <si>
    <t>Sole Proprietorship</t>
  </si>
  <si>
    <t>Non-owner tenant paying the electric bill</t>
  </si>
  <si>
    <t>Hot Water Pumps</t>
  </si>
  <si>
    <t xml:space="preserve">American Falls </t>
  </si>
  <si>
    <t>Star</t>
  </si>
  <si>
    <t xml:space="preserve">CALIFORNIA </t>
  </si>
  <si>
    <t>Education - University</t>
  </si>
  <si>
    <t>Government</t>
  </si>
  <si>
    <t>Non-owner tenant not paying the electric bill</t>
  </si>
  <si>
    <t>Supply, Return, Outside or Make-Up Air Fans</t>
  </si>
  <si>
    <t>Arbon</t>
  </si>
  <si>
    <t xml:space="preserve">COLORADO </t>
  </si>
  <si>
    <t>Grocery</t>
  </si>
  <si>
    <t>Not-For-Profit Corporation</t>
  </si>
  <si>
    <t>Arock</t>
  </si>
  <si>
    <t>Canyon</t>
  </si>
  <si>
    <t>CONNECTICUT</t>
  </si>
  <si>
    <t>Health/Medical - Hospital</t>
  </si>
  <si>
    <t>Individual</t>
  </si>
  <si>
    <t>Atomic City</t>
  </si>
  <si>
    <t>Meridian</t>
  </si>
  <si>
    <t>DELAWARE</t>
  </si>
  <si>
    <t>Health/Medical - Nursing Home</t>
  </si>
  <si>
    <t>Project Type</t>
  </si>
  <si>
    <t>Banks</t>
  </si>
  <si>
    <t>FLORIDA</t>
  </si>
  <si>
    <t>Lodging - Hotel</t>
  </si>
  <si>
    <t>VRF Type</t>
  </si>
  <si>
    <t>Bellevue</t>
  </si>
  <si>
    <t>Kuna</t>
  </si>
  <si>
    <t>GEORGIA</t>
  </si>
  <si>
    <t>Lodging - Motel</t>
  </si>
  <si>
    <t>Remodel</t>
  </si>
  <si>
    <t>Blackfoot</t>
  </si>
  <si>
    <t>HAWAII</t>
  </si>
  <si>
    <t>Industrial Plant - 1/2 Shift</t>
  </si>
  <si>
    <t>Expansion</t>
  </si>
  <si>
    <t>AC Equipment Type Water</t>
  </si>
  <si>
    <t>Bliss</t>
  </si>
  <si>
    <t>IDAHO</t>
  </si>
  <si>
    <t>Industrial Plant - 3 Shift</t>
  </si>
  <si>
    <t>Expansion &amp; Remodel</t>
  </si>
  <si>
    <t>Capital</t>
  </si>
  <si>
    <t>ILLINOIS</t>
  </si>
  <si>
    <t>Office - Large</t>
  </si>
  <si>
    <t>EMCS System Types</t>
  </si>
  <si>
    <t>INDIANA</t>
  </si>
  <si>
    <t>Library</t>
  </si>
  <si>
    <t>Chiller Type</t>
  </si>
  <si>
    <t>VAV w/Chilled Water Coils</t>
  </si>
  <si>
    <t>Idaho City</t>
  </si>
  <si>
    <t>IOWA</t>
  </si>
  <si>
    <t>Air Cooled Chiller with Condenser</t>
  </si>
  <si>
    <t>Packaged VAV</t>
  </si>
  <si>
    <t>Placerville</t>
  </si>
  <si>
    <t>KANSAS</t>
  </si>
  <si>
    <t>Office 20,000 to 100,000 sf</t>
  </si>
  <si>
    <t>Regions</t>
  </si>
  <si>
    <t>Water Cooled Chiller elect. operated, reciprocating &amp; positive displacement</t>
  </si>
  <si>
    <t>Packaged RTU / Split System</t>
  </si>
  <si>
    <t>KENTUCKY</t>
  </si>
  <si>
    <t>Restaurant - Sit-Down</t>
  </si>
  <si>
    <t>Water Cooled Chiller elect. operated, centrifugal</t>
  </si>
  <si>
    <t>Packaged RTU / Heat Pump</t>
  </si>
  <si>
    <t>LOUISIANA</t>
  </si>
  <si>
    <t>Restaurant - Fast-Food</t>
  </si>
  <si>
    <t>Packaged VVT Units</t>
  </si>
  <si>
    <t>MAINE</t>
  </si>
  <si>
    <t>Retail - 3-Story Large</t>
  </si>
  <si>
    <t>Packaged VVT Heat Pumps</t>
  </si>
  <si>
    <t>Garden City</t>
  </si>
  <si>
    <t>MARYLAND</t>
  </si>
  <si>
    <t>Retail 5,000 to 50,000 sf</t>
  </si>
  <si>
    <t>Water Source Heat Pumps</t>
  </si>
  <si>
    <t>MASSACHUSETTS</t>
  </si>
  <si>
    <t>Retail Big Box &gt; 50,000 sf One-story</t>
  </si>
  <si>
    <t>Facility Name</t>
  </si>
  <si>
    <t>Ground Source Heat Pumps</t>
  </si>
  <si>
    <t>MICHIGAN</t>
  </si>
  <si>
    <t>Retail Mini Mart</t>
  </si>
  <si>
    <t/>
  </si>
  <si>
    <t>Interior NLC Strategies</t>
  </si>
  <si>
    <t>Mountain Home</t>
  </si>
  <si>
    <t>MINNESOTA</t>
  </si>
  <si>
    <t>Retail Boutique &lt;5,000 sf</t>
  </si>
  <si>
    <t>Sensor-based occupancy sensing (on/off and/or dimming)</t>
  </si>
  <si>
    <t>Glenns Ferry</t>
  </si>
  <si>
    <t>MISSISSIPPI</t>
  </si>
  <si>
    <t>Automotive Repair</t>
  </si>
  <si>
    <t>Sensor-based daylight harvesting with continuous dimming</t>
  </si>
  <si>
    <t>Grandview</t>
  </si>
  <si>
    <t>MISSOURI</t>
  </si>
  <si>
    <t>Warehouse</t>
  </si>
  <si>
    <t>Tuning (High end trim - not applicable with daylight harvesting)</t>
  </si>
  <si>
    <t>King Hill</t>
  </si>
  <si>
    <t>MONTANA</t>
  </si>
  <si>
    <t>Tuning (Advanced Scheduling/Zone)</t>
  </si>
  <si>
    <t>NEBRASKA</t>
  </si>
  <si>
    <t>Admin Data</t>
  </si>
  <si>
    <t>Customer Reps</t>
  </si>
  <si>
    <t>Customer Rep Locations</t>
  </si>
  <si>
    <t>Tuning (With Continuous Dimming)</t>
  </si>
  <si>
    <t>NEVADA</t>
  </si>
  <si>
    <t>Preliminary</t>
  </si>
  <si>
    <t>Aleasha Murphy</t>
  </si>
  <si>
    <t>Aleasha Murphy, Pocatello</t>
  </si>
  <si>
    <t>Exterior NLC Strategies</t>
  </si>
  <si>
    <t>Cambridge</t>
  </si>
  <si>
    <t>NEW HAMPSHIRE</t>
  </si>
  <si>
    <t>Final</t>
  </si>
  <si>
    <t>Amber Larna</t>
  </si>
  <si>
    <t>Amber Larna, Hailey</t>
  </si>
  <si>
    <t>Cascade</t>
  </si>
  <si>
    <t>NEW JERSEY</t>
  </si>
  <si>
    <t>App No 1</t>
  </si>
  <si>
    <t>Brian Fletcher</t>
  </si>
  <si>
    <t>Brian Fletcher, Payette</t>
  </si>
  <si>
    <t>Council</t>
  </si>
  <si>
    <t>NEW MEXICO</t>
  </si>
  <si>
    <t>App No 2</t>
  </si>
  <si>
    <t>Casie Sansoucie</t>
  </si>
  <si>
    <t>Casie Sansoucie, BOC</t>
  </si>
  <si>
    <t>Donnelly</t>
  </si>
  <si>
    <t>NEW YORK</t>
  </si>
  <si>
    <t>Date App Rcv'd</t>
  </si>
  <si>
    <t>Chris Bell</t>
  </si>
  <si>
    <t>Chris Bell, Twin Falls</t>
  </si>
  <si>
    <t>Fruitland</t>
  </si>
  <si>
    <t>NORTH CAROLINA</t>
  </si>
  <si>
    <t>Customer Rep</t>
  </si>
  <si>
    <t>Dan Smith</t>
  </si>
  <si>
    <t>Dan Smith, BOC</t>
  </si>
  <si>
    <t>Fruitvale</t>
  </si>
  <si>
    <t>NORTH DAKOTA</t>
  </si>
  <si>
    <t>Mail to customer</t>
  </si>
  <si>
    <t>Dylan Martin</t>
  </si>
  <si>
    <t>Dylan Martin, Payette</t>
  </si>
  <si>
    <t>Indian Valley</t>
  </si>
  <si>
    <t>OHIO</t>
  </si>
  <si>
    <t>Send to IPCO Employee for delivery</t>
  </si>
  <si>
    <t>Gregory Evans</t>
  </si>
  <si>
    <t>Gregory Evans, COC</t>
  </si>
  <si>
    <t>MF Specific List (to remove radio buttons)</t>
  </si>
  <si>
    <t>Lake Fork</t>
  </si>
  <si>
    <t>OKLAHOMA</t>
  </si>
  <si>
    <t>Payroll Handling Instructions</t>
  </si>
  <si>
    <t>Mail to:  Sheree Willhite, CHQ-8</t>
  </si>
  <si>
    <t>Jacqueline Rollins</t>
  </si>
  <si>
    <t>Jacqueline Rollins, Payette</t>
  </si>
  <si>
    <t>PayableTo</t>
  </si>
  <si>
    <t>McCall</t>
  </si>
  <si>
    <t>OREGON</t>
  </si>
  <si>
    <t>Check Stub Comments1</t>
  </si>
  <si>
    <t>Multifamily Energy Efficinecy Program</t>
  </si>
  <si>
    <t>Jan Murphy</t>
  </si>
  <si>
    <t>Jan Murphy, Twin Falls</t>
  </si>
  <si>
    <t>Mesa</t>
  </si>
  <si>
    <t>PENNSYLVANIA</t>
  </si>
  <si>
    <t>Check Stub Comments2</t>
  </si>
  <si>
    <t>Jerry Nelson</t>
  </si>
  <si>
    <t>Jerry Nelson, COC</t>
  </si>
  <si>
    <t>Midvale</t>
  </si>
  <si>
    <t>RHODE ISLAND</t>
  </si>
  <si>
    <t>Check Stub Comments3</t>
  </si>
  <si>
    <t>John Neddo</t>
  </si>
  <si>
    <t>John Neddo, BOC</t>
  </si>
  <si>
    <t>New Meadows</t>
  </si>
  <si>
    <t>SOUTH CAROLINA</t>
  </si>
  <si>
    <t>Check Stub Comments4</t>
  </si>
  <si>
    <t>Leo Sanchez</t>
  </si>
  <si>
    <t>Leo Sanchez, Twin Falls</t>
  </si>
  <si>
    <t>Yes/No</t>
  </si>
  <si>
    <t>New Plymouth</t>
  </si>
  <si>
    <t>SOUTH DAKOTA</t>
  </si>
  <si>
    <t>Mail to third party line1</t>
  </si>
  <si>
    <t>Matthew Stucki</t>
  </si>
  <si>
    <t>Matthew Stucki, Pocatello</t>
  </si>
  <si>
    <t>Payette</t>
  </si>
  <si>
    <t>TENNESSEE</t>
  </si>
  <si>
    <t>Mail to third party line2</t>
  </si>
  <si>
    <t>Melanie Pinkston</t>
  </si>
  <si>
    <t>Melanie Pinkston, BOC</t>
  </si>
  <si>
    <t>Bridgeport</t>
  </si>
  <si>
    <t>Riggins</t>
  </si>
  <si>
    <t>TEXAS</t>
  </si>
  <si>
    <t>Mail to third party line3</t>
  </si>
  <si>
    <t>Michael Stokes</t>
  </si>
  <si>
    <t>Michael Stokes, Pocatello</t>
  </si>
  <si>
    <t>Brogan</t>
  </si>
  <si>
    <t>Weiser</t>
  </si>
  <si>
    <t>UTAH</t>
  </si>
  <si>
    <t>Mail to third party line4</t>
  </si>
  <si>
    <t>Michelle Glaze</t>
  </si>
  <si>
    <t>Michelle Glaze, BOC</t>
  </si>
  <si>
    <t>Heating Fuel Type</t>
  </si>
  <si>
    <t>Bruneau</t>
  </si>
  <si>
    <t>Yellow Pine</t>
  </si>
  <si>
    <t>VERMONT</t>
  </si>
  <si>
    <t>Mail to third party line5</t>
  </si>
  <si>
    <t>Ron Krahn</t>
  </si>
  <si>
    <t>Ron Krahn, BOC</t>
  </si>
  <si>
    <t>Buhl</t>
  </si>
  <si>
    <t xml:space="preserve">VIRGINIA </t>
  </si>
  <si>
    <t>cc List</t>
  </si>
  <si>
    <t>Rodolfo Beltran</t>
  </si>
  <si>
    <t>Rodolfo Beltran, Payette</t>
  </si>
  <si>
    <t>Burley</t>
  </si>
  <si>
    <t>WASHINGTON</t>
  </si>
  <si>
    <t>Enter the Rep name in the Admin Form</t>
  </si>
  <si>
    <t>Russ Hahn</t>
  </si>
  <si>
    <t>Russ Hahn, COC</t>
  </si>
  <si>
    <t>Gas</t>
  </si>
  <si>
    <t>Caldwell</t>
  </si>
  <si>
    <t>WEST VIRGINIA</t>
  </si>
  <si>
    <t>Steve Floyd</t>
  </si>
  <si>
    <t>Steve Floyd, BOC</t>
  </si>
  <si>
    <t>WISCONSIN</t>
  </si>
  <si>
    <t>Tom Behm</t>
  </si>
  <si>
    <t>Tom Behm, Twin Falls</t>
  </si>
  <si>
    <t>Heating System</t>
  </si>
  <si>
    <t>WYOMING</t>
  </si>
  <si>
    <t>Zeke VanHooser</t>
  </si>
  <si>
    <t>Zeke VanHooser, BOC</t>
  </si>
  <si>
    <t>""</t>
  </si>
  <si>
    <t>To Be Determined</t>
  </si>
  <si>
    <t>Sheree Willhite, CHQ 8</t>
  </si>
  <si>
    <t>Electric Resistance</t>
  </si>
  <si>
    <t>Carey</t>
  </si>
  <si>
    <t>Bridge Port</t>
  </si>
  <si>
    <t>Carmen</t>
  </si>
  <si>
    <t>Drewsey</t>
  </si>
  <si>
    <t>Castleford</t>
  </si>
  <si>
    <t>Durkee</t>
  </si>
  <si>
    <t>Chubbuck</t>
  </si>
  <si>
    <t>Halfway</t>
  </si>
  <si>
    <t>Cobalt</t>
  </si>
  <si>
    <t>Harper</t>
  </si>
  <si>
    <t>Corral</t>
  </si>
  <si>
    <t>Hereford</t>
  </si>
  <si>
    <t>Huntington</t>
  </si>
  <si>
    <t>Dietrich</t>
  </si>
  <si>
    <t>Ironside</t>
  </si>
  <si>
    <t>Jamieson</t>
  </si>
  <si>
    <t>Jordan Valley</t>
  </si>
  <si>
    <t>Juntura</t>
  </si>
  <si>
    <t>Eden</t>
  </si>
  <si>
    <t>Nyssa</t>
  </si>
  <si>
    <t>Elkhorn</t>
  </si>
  <si>
    <t>Ontario</t>
  </si>
  <si>
    <t>Emmett</t>
  </si>
  <si>
    <t>Oxbow</t>
  </si>
  <si>
    <t>Fairfield</t>
  </si>
  <si>
    <t>Richland</t>
  </si>
  <si>
    <t>Filer</t>
  </si>
  <si>
    <t>Tuscarora, NV</t>
  </si>
  <si>
    <t>Fort Hall</t>
  </si>
  <si>
    <t>Unity</t>
  </si>
  <si>
    <t>Vale</t>
  </si>
  <si>
    <t>Westfall</t>
  </si>
  <si>
    <t>Garden Valley</t>
  </si>
  <si>
    <t>Gibbonsville</t>
  </si>
  <si>
    <t>Gooding</t>
  </si>
  <si>
    <t>Grand View</t>
  </si>
  <si>
    <t>Grasmere</t>
  </si>
  <si>
    <t>Greenleaf</t>
  </si>
  <si>
    <t>Hagerman</t>
  </si>
  <si>
    <t>Hazelton</t>
  </si>
  <si>
    <t>Hailey</t>
  </si>
  <si>
    <t>Jerome</t>
  </si>
  <si>
    <t>Paul</t>
  </si>
  <si>
    <t>Hammett</t>
  </si>
  <si>
    <t>Richfield</t>
  </si>
  <si>
    <t>Hansen</t>
  </si>
  <si>
    <t>Rupert</t>
  </si>
  <si>
    <t>Shoshone</t>
  </si>
  <si>
    <t>Wendell</t>
  </si>
  <si>
    <t>Heyburn</t>
  </si>
  <si>
    <t>Hill City</t>
  </si>
  <si>
    <t>Twin Falls</t>
  </si>
  <si>
    <t>Holbrook</t>
  </si>
  <si>
    <t>Homedale</t>
  </si>
  <si>
    <t xml:space="preserve">Horseshoe Bend </t>
  </si>
  <si>
    <t>Huston</t>
  </si>
  <si>
    <t>Ketchum</t>
  </si>
  <si>
    <t>Inkom</t>
  </si>
  <si>
    <t>Kimberley</t>
  </si>
  <si>
    <t>Murtaugh</t>
  </si>
  <si>
    <t>Oakley</t>
  </si>
  <si>
    <t>Picabo</t>
  </si>
  <si>
    <t>Sun Valley</t>
  </si>
  <si>
    <t>Kimberly</t>
  </si>
  <si>
    <t>Hollister</t>
  </si>
  <si>
    <t>Jarbidge</t>
  </si>
  <si>
    <t>Rogerson</t>
  </si>
  <si>
    <t>Leadore</t>
  </si>
  <si>
    <t>Lemhi</t>
  </si>
  <si>
    <t>Letha</t>
  </si>
  <si>
    <t>Lowman</t>
  </si>
  <si>
    <t>Marsing</t>
  </si>
  <si>
    <t>Meadows</t>
  </si>
  <si>
    <t>Pocatello</t>
  </si>
  <si>
    <t>Melba</t>
  </si>
  <si>
    <t>Salmon</t>
  </si>
  <si>
    <t>Middleton</t>
  </si>
  <si>
    <t>Minidoka</t>
  </si>
  <si>
    <t>Northfork</t>
  </si>
  <si>
    <t>Moreland</t>
  </si>
  <si>
    <t>Tendoy</t>
  </si>
  <si>
    <t xml:space="preserve">Mountain Home </t>
  </si>
  <si>
    <t xml:space="preserve">Mountain Home AFB </t>
  </si>
  <si>
    <t>Murphy</t>
  </si>
  <si>
    <t>Nampa</t>
  </si>
  <si>
    <t>Colbalt</t>
  </si>
  <si>
    <t>Gibbsonville</t>
  </si>
  <si>
    <t>North Fork</t>
  </si>
  <si>
    <t>Notus</t>
  </si>
  <si>
    <t>American Falls</t>
  </si>
  <si>
    <t>Ola</t>
  </si>
  <si>
    <t>Parma</t>
  </si>
  <si>
    <t>Ft. Hall</t>
  </si>
  <si>
    <t>Rockland</t>
  </si>
  <si>
    <t>Springfield</t>
  </si>
  <si>
    <t>Pinehurst</t>
  </si>
  <si>
    <t>Pingree</t>
  </si>
  <si>
    <t>Pollock</t>
  </si>
  <si>
    <t>Wilder</t>
  </si>
  <si>
    <t>Sterling</t>
  </si>
  <si>
    <t>Sweet</t>
  </si>
  <si>
    <t xml:space="preserve"> Preliminary Application, Final Application and Additional Worksheets will need to be completed.</t>
  </si>
  <si>
    <t>Preliminary Application Submittal Process (Idaho Power must receive a Preliminary Application before the project construction is complete).</t>
  </si>
  <si>
    <t>· Enter project information into the 'Preliminary Application' worksheet.</t>
  </si>
  <si>
    <t>· If you have additional building with less than 5 dwelling units per building, please check the box  and visit our additional offerings for residential.</t>
  </si>
  <si>
    <t>· Save the file in excel format (select "save as" and name the file by the project name)</t>
  </si>
  <si>
    <t>· The subject line of the e-mail should read:  Preliminary Application - (enter Project Name).</t>
  </si>
  <si>
    <t>For example: Preliminary Application for Canyon Apartments</t>
  </si>
  <si>
    <t>· Once your project is entered into our system you will receive an e-mail verifying the application has been received.  This e-mail will contain the project's unique Multifamily project number.</t>
  </si>
  <si>
    <t>Final Application Submittal Process (Idaho Power must receive the Final Application Information within 90 days of project completion)</t>
  </si>
  <si>
    <t>· Once the project has been completed, click on the 'Final Application' worksheet and fill in final project information.</t>
  </si>
  <si>
    <t>· Information will have automatically been carried forward from the Preliminary Application to the Final Application, but you can update and overwrite values as necessary.</t>
  </si>
  <si>
    <t>· Complete the Final Application and additional worksheets relative to your specific project (New Construction and Major Renovations or Retrofit).</t>
  </si>
  <si>
    <t>· Email the file as an Excel document (not as PDF) to Idaho Power at multifamily@idahopower.com, along with all required supporting documentation, i.e. proof of purchase, invoices, equipment specification sheets, lighting COMcheck, etc.</t>
  </si>
  <si>
    <t>For example: Final Application - Canyon Apartments</t>
  </si>
  <si>
    <t>· Once Idaho Power receives your final application and supporting documentation, the project will be reviewed. Idaho Power will reach out directly to you if there are any questions on your final application.</t>
  </si>
  <si>
    <t>How to determine if you have a Retrofit project or New Construction and Major Renovations project:</t>
  </si>
  <si>
    <t>Retrofit Worksheet - For existing projects with existing equipment being replaced.</t>
  </si>
  <si>
    <t>New Construction and Major Renovation Worksheet - For new construction project, additions, expansions or change of use projects.</t>
  </si>
  <si>
    <t>Idaho Power's Multifamily (5 units or more per building) Energy Efficiency Program offers prescriptive incentives for energy efficient installation into new commercial construction projects and major renovations and retrofit projects.</t>
  </si>
  <si>
    <r>
      <t xml:space="preserve"> P1N - Indoor Pool Covers </t>
    </r>
    <r>
      <rPr>
        <i/>
        <sz val="8"/>
        <rFont val="Arial"/>
        <family val="2"/>
      </rPr>
      <t>(electric heat only)</t>
    </r>
  </si>
  <si>
    <t xml:space="preserve">Indoor Pool area: </t>
  </si>
  <si>
    <t xml:space="preserve">Outdoor Pool area: </t>
  </si>
  <si>
    <t>x $100 or $50 per ton=</t>
  </si>
  <si>
    <t>HSPF</t>
  </si>
  <si>
    <t>COP</t>
  </si>
  <si>
    <t>Number of stories</t>
  </si>
  <si>
    <t xml:space="preserve"> MF3b - Package Terminal Heat Pump</t>
  </si>
  <si>
    <t>Please direct questions about this program to: multifamily@idahopower.com</t>
  </si>
  <si>
    <t>Number of Residential Units</t>
  </si>
  <si>
    <t>https://www.idahopower.com/multifamily</t>
  </si>
  <si>
    <t>Air Cooled AC, PTAC and PTHP ($25/ ton)*
Air Cooled HP ($50/ton)</t>
  </si>
  <si>
    <t xml:space="preserve">Air Cooled AC, PTAC and PTHP ($50/ ton)*
Air Cooled HP ($70/ton) </t>
  </si>
  <si>
    <t xml:space="preserve"> MF4 - ENERGY STAR Continuous Exhaust Fan</t>
  </si>
  <si>
    <t xml:space="preserve"> MF5 - ENERGY STAR Most Efficient Manual Exhaust Fan</t>
  </si>
  <si>
    <r>
      <rPr>
        <b/>
        <sz val="10"/>
        <rFont val="Arial"/>
        <family val="2"/>
      </rPr>
      <t xml:space="preserve">Retrofits </t>
    </r>
    <r>
      <rPr>
        <sz val="10"/>
        <rFont val="Arial"/>
        <family val="2"/>
      </rPr>
      <t xml:space="preserve">- retrofit project replacing existing equipment. </t>
    </r>
  </si>
  <si>
    <t>*** Testing the ClearMaster Macro. This section is attempting to restore the original formulas in columns R:AB. If this works as intended, will need to remember the logic in future Master App versions.</t>
  </si>
  <si>
    <r>
      <t xml:space="preserve"> P1R - Pool Covers </t>
    </r>
    <r>
      <rPr>
        <i/>
        <sz val="8"/>
        <rFont val="Arial"/>
        <family val="2"/>
      </rPr>
      <t>(electric heat only)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</si>
</sst>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quot;$&quot;* #,##0_);_(&quot;$&quot;* \(#,##0\);_(&quot;$&quot;* &quot;-&quot;??_);_(@_)"/>
    <numFmt numFmtId="165" formatCode="0.0"/>
    <numFmt numFmtId="166" formatCode="&quot;$&quot;#,##0"/>
    <numFmt numFmtId="167" formatCode="00000"/>
    <numFmt numFmtId="168" formatCode="[&lt;=9999999]###\-####;\(###\)\ ###\-####"/>
    <numFmt numFmtId="169" formatCode="0.000"/>
    <numFmt numFmtId="170" formatCode="#,##0.0"/>
    <numFmt numFmtId="171" formatCode="m/d/yy"/>
    <numFmt numFmtId="172" formatCode="[$-409]mmmm\ d\,\ yyyy;@"/>
  </numFmts>
  <fonts count="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8"/>
      <name val="Georgia"/>
      <family val="1"/>
    </font>
    <font>
      <b/>
      <sz val="14"/>
      <name val="Arial"/>
      <family val="2"/>
    </font>
    <font>
      <b/>
      <sz val="9"/>
      <name val="Arial"/>
      <family val="2"/>
    </font>
    <font>
      <b/>
      <sz val="10"/>
      <name val="Arial"/>
      <family val="2"/>
    </font>
    <font>
      <sz val="10"/>
      <color indexed="8"/>
      <name val="City_Lookup"/>
    </font>
    <font>
      <sz val="9"/>
      <name val="Arial"/>
      <family val="2"/>
    </font>
    <font>
      <sz val="10"/>
      <name val="Arial Unicode MS"/>
      <family val="2"/>
    </font>
    <font>
      <sz val="10"/>
      <name val="City_Lookup"/>
    </font>
    <font>
      <b/>
      <sz val="12"/>
      <name val="Arial"/>
      <family val="2"/>
    </font>
    <font>
      <b/>
      <sz val="16"/>
      <name val="Arial"/>
      <family val="2"/>
    </font>
    <font>
      <sz val="12"/>
      <name val="Arial"/>
      <family val="2"/>
    </font>
    <font>
      <b/>
      <i/>
      <sz val="16"/>
      <name val="Arial"/>
      <family val="2"/>
    </font>
    <font>
      <b/>
      <sz val="11"/>
      <name val="Arial"/>
      <family val="2"/>
    </font>
    <font>
      <sz val="8"/>
      <color indexed="12"/>
      <name val="Arial"/>
      <family val="2"/>
    </font>
    <font>
      <sz val="11"/>
      <name val="Times New Roman"/>
      <family val="1"/>
    </font>
    <font>
      <sz val="10"/>
      <color indexed="10"/>
      <name val="Arial"/>
      <family val="2"/>
    </font>
    <font>
      <sz val="10"/>
      <color indexed="12"/>
      <name val="Arial"/>
      <family val="2"/>
    </font>
    <font>
      <b/>
      <sz val="8"/>
      <name val="Arial"/>
      <family val="2"/>
    </font>
    <font>
      <vertAlign val="superscript"/>
      <sz val="10"/>
      <color indexed="10"/>
      <name val="Arial"/>
      <family val="2"/>
    </font>
    <font>
      <sz val="8"/>
      <color indexed="48"/>
      <name val="Arial"/>
      <family val="2"/>
    </font>
    <font>
      <sz val="8"/>
      <color indexed="10"/>
      <name val="Arial"/>
      <family val="2"/>
    </font>
    <font>
      <i/>
      <sz val="8"/>
      <name val="Arial"/>
      <family val="2"/>
    </font>
    <font>
      <i/>
      <sz val="11"/>
      <name val="Arial"/>
      <family val="2"/>
    </font>
    <font>
      <sz val="6"/>
      <name val="Arial"/>
      <family val="2"/>
    </font>
    <font>
      <sz val="14"/>
      <name val="Arial"/>
      <family val="2"/>
    </font>
    <font>
      <sz val="9.5"/>
      <name val="Times New Roman"/>
      <family val="1"/>
    </font>
    <font>
      <b/>
      <i/>
      <sz val="11"/>
      <name val="Arial"/>
      <family val="2"/>
    </font>
    <font>
      <b/>
      <i/>
      <sz val="8"/>
      <name val="Arial"/>
      <family val="2"/>
    </font>
    <font>
      <i/>
      <sz val="8"/>
      <color indexed="10"/>
      <name val="Arial"/>
      <family val="2"/>
    </font>
    <font>
      <b/>
      <sz val="10"/>
      <color indexed="10"/>
      <name val="Arial"/>
      <family val="2"/>
    </font>
    <font>
      <sz val="12"/>
      <color indexed="8"/>
      <name val="Arial"/>
      <family val="2"/>
    </font>
    <font>
      <b/>
      <sz val="11"/>
      <color indexed="8"/>
      <name val="Arial"/>
      <family val="2"/>
    </font>
    <font>
      <sz val="11"/>
      <color indexed="8"/>
      <name val="Arial"/>
      <family val="2"/>
    </font>
    <font>
      <b/>
      <i/>
      <sz val="12"/>
      <color indexed="8"/>
      <name val="Arial"/>
      <family val="2"/>
    </font>
    <font>
      <b/>
      <sz val="10"/>
      <color indexed="8"/>
      <name val="Arial"/>
      <family val="2"/>
    </font>
    <font>
      <sz val="11"/>
      <color theme="1"/>
      <name val="Calibri"/>
      <family val="2"/>
      <scheme val="minor"/>
    </font>
    <font>
      <sz val="8"/>
      <color rgb="FFFF0000"/>
      <name val="Arial"/>
      <family val="2"/>
    </font>
    <font>
      <sz val="10"/>
      <color rgb="FF0000FF"/>
      <name val="Arial"/>
      <family val="2"/>
    </font>
    <font>
      <b/>
      <sz val="9"/>
      <color rgb="FFFF0000"/>
      <name val="Arial"/>
      <family val="2"/>
    </font>
    <font>
      <b/>
      <sz val="8"/>
      <color rgb="FFFF0000"/>
      <name val="Arial"/>
      <family val="2"/>
    </font>
    <font>
      <sz val="10"/>
      <color rgb="FFFF0000"/>
      <name val="Arial"/>
      <family val="2"/>
    </font>
    <font>
      <b/>
      <sz val="10"/>
      <color rgb="FFFF0000"/>
      <name val="Arial"/>
      <family val="2"/>
    </font>
    <font>
      <b/>
      <sz val="14"/>
      <color rgb="FF339966"/>
      <name val="Arial"/>
      <family val="2"/>
    </font>
    <font>
      <b/>
      <sz val="9"/>
      <color theme="1"/>
      <name val="Arial"/>
      <family val="2"/>
    </font>
    <font>
      <sz val="10"/>
      <color theme="1"/>
      <name val="Arial"/>
      <family val="2"/>
    </font>
    <font>
      <sz val="8"/>
      <color theme="1"/>
      <name val="Arial"/>
      <family val="2"/>
    </font>
    <font>
      <sz val="8"/>
      <color rgb="FFCCFFFF"/>
      <name val="Arial"/>
      <family val="2"/>
    </font>
    <font>
      <b/>
      <sz val="12"/>
      <color rgb="FF0000FF"/>
      <name val="Arial"/>
      <family val="2"/>
    </font>
    <font>
      <sz val="8"/>
      <color theme="0" tint="-0.249977111117893"/>
      <name val="Arial"/>
      <family val="2"/>
    </font>
    <font>
      <sz val="10"/>
      <color theme="0" tint="-0.249977111117893"/>
      <name val="Arial"/>
      <family val="2"/>
    </font>
    <font>
      <u/>
      <sz val="11"/>
      <color theme="10"/>
      <name val="Calibri"/>
      <family val="2"/>
    </font>
    <font>
      <vertAlign val="superscript"/>
      <sz val="10"/>
      <name val="Arial"/>
      <family val="2"/>
    </font>
    <font>
      <u/>
      <sz val="10"/>
      <color indexed="12"/>
      <name val="Arial"/>
      <family val="2"/>
    </font>
    <font>
      <b/>
      <sz val="8"/>
      <color rgb="FFCCFFFF"/>
      <name val="Arial"/>
      <family val="2"/>
    </font>
    <font>
      <i/>
      <sz val="8"/>
      <color rgb="FFFF0000"/>
      <name val="Arial"/>
      <family val="2"/>
    </font>
    <font>
      <sz val="11"/>
      <color indexed="8"/>
      <name val="Times New Roman"/>
      <family val="1"/>
    </font>
    <font>
      <sz val="12"/>
      <name val="Times New Roman"/>
      <family val="1"/>
    </font>
    <font>
      <sz val="10"/>
      <name val="Times New Roman"/>
      <family val="1"/>
    </font>
    <font>
      <sz val="8"/>
      <color theme="0"/>
      <name val="Arial"/>
      <family val="2"/>
    </font>
    <font>
      <sz val="10"/>
      <name val="Arial"/>
      <family val="2"/>
    </font>
    <font>
      <sz val="9.5"/>
      <name val="Arial"/>
      <family val="2"/>
    </font>
    <font>
      <sz val="8"/>
      <name val="Arial"/>
      <family val="2"/>
    </font>
    <font>
      <i/>
      <sz val="8"/>
      <color theme="1"/>
      <name val="Arial"/>
      <family val="2"/>
    </font>
    <font>
      <b/>
      <sz val="10"/>
      <color theme="1"/>
      <name val="Arial"/>
      <family val="2"/>
    </font>
    <font>
      <b/>
      <sz val="12"/>
      <color rgb="FFDD0806"/>
      <name val="Arial"/>
      <family val="2"/>
    </font>
    <font>
      <b/>
      <sz val="9"/>
      <color indexed="81"/>
      <name val="Tahoma"/>
      <family val="2"/>
    </font>
    <font>
      <sz val="8"/>
      <color rgb="FFDD0806"/>
      <name val="Arial"/>
      <family val="2"/>
    </font>
    <font>
      <b/>
      <i/>
      <u/>
      <sz val="8"/>
      <color rgb="FFDD0806"/>
      <name val="Arial"/>
      <family val="2"/>
    </font>
    <font>
      <i/>
      <sz val="11"/>
      <color rgb="FFDD0806"/>
      <name val="Arial"/>
      <family val="2"/>
    </font>
    <font>
      <sz val="10"/>
      <color rgb="FFDD0806"/>
      <name val="Arial"/>
      <family val="2"/>
    </font>
    <font>
      <sz val="8"/>
      <color rgb="FFDD0806"/>
      <name val="Calibri"/>
      <family val="2"/>
    </font>
    <font>
      <sz val="7.2"/>
      <color rgb="FFDD0806"/>
      <name val="Arial"/>
      <family val="2"/>
    </font>
    <font>
      <i/>
      <sz val="11"/>
      <color rgb="FFFF0000"/>
      <name val="Arial"/>
      <family val="2"/>
    </font>
    <font>
      <sz val="10"/>
      <color rgb="FFCCFFFF"/>
      <name val="Arial"/>
      <family val="2"/>
    </font>
    <font>
      <i/>
      <sz val="8"/>
      <color rgb="FFCCFFFF"/>
      <name val="Arial"/>
      <family val="2"/>
    </font>
    <font>
      <sz val="10"/>
      <color indexed="8"/>
      <name val="Arial"/>
      <family val="2"/>
    </font>
    <font>
      <sz val="9"/>
      <color indexed="81"/>
      <name val="Tahoma"/>
      <charset val="1"/>
    </font>
    <font>
      <b/>
      <sz val="9"/>
      <color indexed="81"/>
      <name val="Tahoma"/>
      <charset val="1"/>
    </font>
  </fonts>
  <fills count="31">
    <fill>
      <patternFill patternType="none"/>
    </fill>
    <fill>
      <patternFill patternType="gray125"/>
    </fill>
    <fill>
      <patternFill patternType="lightDown"/>
    </fill>
    <fill>
      <patternFill patternType="solid">
        <fgColor theme="4" tint="0.79998168889431442"/>
        <bgColor indexed="64"/>
      </patternFill>
    </fill>
    <fill>
      <patternFill patternType="solid">
        <fgColor rgb="FFCCFFFF"/>
        <bgColor indexed="64"/>
      </patternFill>
    </fill>
    <fill>
      <patternFill patternType="solid">
        <fgColor rgb="FF339966"/>
        <bgColor indexed="64"/>
      </patternFill>
    </fill>
    <fill>
      <patternFill patternType="solid">
        <fgColor theme="0"/>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indexed="65"/>
        <bgColor indexed="64"/>
      </patternFill>
    </fill>
    <fill>
      <patternFill patternType="solid">
        <fgColor theme="0" tint="-0.14996795556505021"/>
        <bgColor indexed="64"/>
      </patternFill>
    </fill>
    <fill>
      <patternFill patternType="solid">
        <fgColor indexed="22"/>
        <bgColor indexed="64"/>
      </patternFill>
    </fill>
    <fill>
      <patternFill patternType="solid">
        <fgColor indexed="27"/>
        <bgColor indexed="64"/>
      </patternFill>
    </fill>
    <fill>
      <patternFill patternType="solid">
        <fgColor theme="8" tint="0.79998168889431442"/>
        <bgColor indexed="64"/>
      </patternFill>
    </fill>
    <fill>
      <patternFill patternType="gray0625"/>
    </fill>
    <fill>
      <patternFill patternType="gray0625">
        <bgColor theme="9" tint="0.79998168889431442"/>
      </patternFill>
    </fill>
    <fill>
      <patternFill patternType="gray0625">
        <bgColor theme="4" tint="0.79998168889431442"/>
      </patternFill>
    </fill>
    <fill>
      <patternFill patternType="gray0625">
        <bgColor theme="6" tint="0.79998168889431442"/>
      </patternFill>
    </fill>
    <fill>
      <patternFill patternType="gray0625">
        <bgColor theme="7" tint="0.79998168889431442"/>
      </patternFill>
    </fill>
    <fill>
      <patternFill patternType="gray125">
        <bgColor theme="5" tint="0.79998168889431442"/>
      </patternFill>
    </fill>
    <fill>
      <patternFill patternType="solid">
        <fgColor rgb="FFC1FFFF"/>
        <bgColor indexed="64"/>
      </patternFill>
    </fill>
    <fill>
      <patternFill patternType="lightGray">
        <bgColor rgb="FFC1FFFF"/>
      </patternFill>
    </fill>
    <fill>
      <patternFill patternType="solid">
        <fgColor theme="0" tint="-0.34998626667073579"/>
        <bgColor indexed="64"/>
      </patternFill>
    </fill>
    <fill>
      <patternFill patternType="solid">
        <fgColor theme="0" tint="-0.249977111117893"/>
        <bgColor indexed="64"/>
      </patternFill>
    </fill>
  </fills>
  <borders count="40">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medium">
        <color rgb="FF339966"/>
      </top>
      <bottom style="medium">
        <color rgb="FF339966"/>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47">
    <xf numFmtId="0" fontId="0" fillId="0" borderId="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42" fillId="0" borderId="0"/>
    <xf numFmtId="9" fontId="5" fillId="0" borderId="0" applyFont="0" applyFill="0" applyBorder="0" applyAlignment="0" applyProtection="0"/>
    <xf numFmtId="9" fontId="5" fillId="0" borderId="0" applyFont="0" applyFill="0" applyBorder="0" applyAlignment="0" applyProtection="0"/>
    <xf numFmtId="0" fontId="4" fillId="0" borderId="0"/>
    <xf numFmtId="43" fontId="5" fillId="0" borderId="0" applyFont="0" applyFill="0" applyBorder="0" applyAlignment="0" applyProtection="0"/>
    <xf numFmtId="44" fontId="5" fillId="0" borderId="0" applyFont="0" applyFill="0" applyBorder="0" applyAlignment="0" applyProtection="0"/>
    <xf numFmtId="0" fontId="57"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9" fontId="5" fillId="0" borderId="0" applyFont="0" applyFill="0" applyBorder="0" applyAlignment="0" applyProtection="0"/>
    <xf numFmtId="0" fontId="3" fillId="0" borderId="0"/>
    <xf numFmtId="0" fontId="59" fillId="0" borderId="0" applyNumberFormat="0" applyFill="0" applyBorder="0" applyAlignment="0" applyProtection="0">
      <alignment vertical="top"/>
      <protection locked="0"/>
    </xf>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66" fillId="0" borderId="0" applyFont="0" applyFill="0" applyBorder="0" applyAlignment="0" applyProtection="0"/>
  </cellStyleXfs>
  <cellXfs count="963">
    <xf numFmtId="0" fontId="0" fillId="0" borderId="0" xfId="0"/>
    <xf numFmtId="0" fontId="0" fillId="0" borderId="0" xfId="0" applyProtection="1">
      <protection hidden="1"/>
    </xf>
    <xf numFmtId="0" fontId="0" fillId="0" borderId="0" xfId="0" applyAlignment="1" applyProtection="1">
      <alignment wrapText="1"/>
      <protection hidden="1"/>
    </xf>
    <xf numFmtId="0" fontId="5" fillId="0" borderId="0" xfId="0" applyFont="1" applyProtection="1">
      <protection hidden="1"/>
    </xf>
    <xf numFmtId="0" fontId="19" fillId="0" borderId="0" xfId="0" applyFont="1" applyAlignment="1" applyProtection="1">
      <alignment vertical="top" wrapText="1"/>
      <protection hidden="1"/>
    </xf>
    <xf numFmtId="0" fontId="5" fillId="0" borderId="0" xfId="0" applyFont="1" applyAlignment="1" applyProtection="1">
      <alignment horizontal="left" indent="1"/>
      <protection hidden="1"/>
    </xf>
    <xf numFmtId="0" fontId="19" fillId="0" borderId="0" xfId="0" applyFont="1" applyProtection="1">
      <protection hidden="1"/>
    </xf>
    <xf numFmtId="0" fontId="6" fillId="0" borderId="0" xfId="0" applyFont="1" applyAlignment="1" applyProtection="1">
      <alignment horizontal="right" vertical="center"/>
      <protection hidden="1"/>
    </xf>
    <xf numFmtId="0" fontId="0" fillId="0" borderId="0" xfId="0" applyAlignment="1" applyProtection="1">
      <alignment vertical="center"/>
      <protection hidden="1"/>
    </xf>
    <xf numFmtId="0" fontId="6" fillId="0" borderId="0" xfId="0" applyFont="1" applyProtection="1">
      <protection hidden="1"/>
    </xf>
    <xf numFmtId="0" fontId="6" fillId="0" borderId="0" xfId="0" applyFont="1" applyAlignment="1" applyProtection="1">
      <alignment wrapText="1"/>
      <protection hidden="1"/>
    </xf>
    <xf numFmtId="0" fontId="0" fillId="0" borderId="5" xfId="0" applyBorder="1" applyProtection="1">
      <protection hidden="1"/>
    </xf>
    <xf numFmtId="0" fontId="0" fillId="0" borderId="7" xfId="0" applyBorder="1" applyProtection="1">
      <protection hidden="1"/>
    </xf>
    <xf numFmtId="0" fontId="6" fillId="0" borderId="0" xfId="0" applyFont="1" applyAlignment="1" applyProtection="1">
      <alignment horizontal="center"/>
      <protection hidden="1"/>
    </xf>
    <xf numFmtId="0" fontId="17" fillId="0" borderId="0" xfId="0" applyFont="1" applyProtection="1">
      <protection hidden="1"/>
    </xf>
    <xf numFmtId="0" fontId="30" fillId="0" borderId="0" xfId="0" applyFont="1" applyProtection="1">
      <protection hidden="1"/>
    </xf>
    <xf numFmtId="0" fontId="18" fillId="0" borderId="0" xfId="0" applyFont="1" applyProtection="1">
      <protection hidden="1"/>
    </xf>
    <xf numFmtId="0" fontId="5" fillId="0" borderId="0" xfId="0" applyFont="1" applyAlignment="1" applyProtection="1">
      <alignment horizontal="right"/>
      <protection hidden="1"/>
    </xf>
    <xf numFmtId="0" fontId="31" fillId="0" borderId="0" xfId="0" applyFont="1" applyProtection="1">
      <protection hidden="1"/>
    </xf>
    <xf numFmtId="0" fontId="5" fillId="0" borderId="1" xfId="0" applyFont="1" applyBorder="1" applyProtection="1">
      <protection hidden="1"/>
    </xf>
    <xf numFmtId="0" fontId="22" fillId="0" borderId="0" xfId="0" applyFont="1" applyAlignment="1" applyProtection="1">
      <alignment horizontal="center"/>
      <protection hidden="1"/>
    </xf>
    <xf numFmtId="0" fontId="0" fillId="0" borderId="11" xfId="0" applyBorder="1" applyProtection="1">
      <protection hidden="1"/>
    </xf>
    <xf numFmtId="0" fontId="0" fillId="0" borderId="0" xfId="0" applyAlignment="1" applyProtection="1">
      <alignment horizontal="center"/>
      <protection hidden="1"/>
    </xf>
    <xf numFmtId="0" fontId="0" fillId="2" borderId="9" xfId="0" applyFill="1" applyBorder="1" applyProtection="1">
      <protection hidden="1"/>
    </xf>
    <xf numFmtId="0" fontId="0" fillId="0" borderId="6" xfId="0" applyBorder="1" applyProtection="1">
      <protection hidden="1"/>
    </xf>
    <xf numFmtId="0" fontId="0" fillId="4" borderId="0" xfId="0" applyFill="1" applyProtection="1">
      <protection hidden="1"/>
    </xf>
    <xf numFmtId="0" fontId="0" fillId="4" borderId="1" xfId="0" applyFill="1" applyBorder="1" applyProtection="1">
      <protection hidden="1"/>
    </xf>
    <xf numFmtId="0" fontId="0" fillId="4" borderId="3" xfId="0" applyFill="1" applyBorder="1" applyProtection="1">
      <protection hidden="1"/>
    </xf>
    <xf numFmtId="3" fontId="6" fillId="4" borderId="0" xfId="0" applyNumberFormat="1" applyFont="1" applyFill="1" applyAlignment="1" applyProtection="1">
      <alignment horizontal="right"/>
      <protection hidden="1"/>
    </xf>
    <xf numFmtId="3" fontId="6" fillId="4" borderId="0" xfId="0" applyNumberFormat="1" applyFont="1" applyFill="1" applyAlignment="1" applyProtection="1">
      <alignment horizontal="left"/>
      <protection hidden="1"/>
    </xf>
    <xf numFmtId="166" fontId="0" fillId="4" borderId="0" xfId="0" applyNumberFormat="1" applyFill="1" applyAlignment="1" applyProtection="1">
      <alignment wrapText="1"/>
      <protection hidden="1"/>
    </xf>
    <xf numFmtId="0" fontId="0" fillId="4" borderId="0" xfId="0" applyFill="1" applyAlignment="1" applyProtection="1">
      <alignment vertical="center"/>
      <protection hidden="1"/>
    </xf>
    <xf numFmtId="0" fontId="0" fillId="4" borderId="0" xfId="0" applyFill="1" applyAlignment="1" applyProtection="1">
      <alignment wrapText="1"/>
      <protection hidden="1"/>
    </xf>
    <xf numFmtId="0" fontId="30" fillId="4" borderId="0" xfId="0" applyFont="1" applyFill="1" applyProtection="1">
      <protection hidden="1"/>
    </xf>
    <xf numFmtId="0" fontId="22" fillId="4" borderId="0" xfId="0" applyFont="1" applyFill="1" applyAlignment="1" applyProtection="1">
      <alignment horizontal="center"/>
      <protection hidden="1"/>
    </xf>
    <xf numFmtId="0" fontId="0" fillId="5" borderId="0" xfId="0" applyFill="1" applyProtection="1">
      <protection hidden="1"/>
    </xf>
    <xf numFmtId="3" fontId="6" fillId="0" borderId="0" xfId="0" applyNumberFormat="1" applyFont="1" applyAlignment="1" applyProtection="1">
      <alignment horizontal="left"/>
      <protection hidden="1"/>
    </xf>
    <xf numFmtId="0" fontId="33" fillId="0" borderId="0" xfId="0" applyFont="1" applyAlignment="1" applyProtection="1">
      <alignment vertical="center"/>
      <protection hidden="1"/>
    </xf>
    <xf numFmtId="0" fontId="45" fillId="4" borderId="0" xfId="0" applyFont="1" applyFill="1" applyAlignment="1" applyProtection="1">
      <alignment horizontal="right"/>
      <protection hidden="1"/>
    </xf>
    <xf numFmtId="0" fontId="6" fillId="4" borderId="0" xfId="0" applyFont="1" applyFill="1" applyAlignment="1" applyProtection="1">
      <alignment horizontal="right" vertical="center"/>
      <protection hidden="1"/>
    </xf>
    <xf numFmtId="14" fontId="23" fillId="4" borderId="0" xfId="0" applyNumberFormat="1" applyFont="1" applyFill="1" applyAlignment="1" applyProtection="1">
      <alignment horizontal="left" indent="4"/>
      <protection hidden="1"/>
    </xf>
    <xf numFmtId="0" fontId="29" fillId="4" borderId="0" xfId="0" applyFont="1" applyFill="1" applyAlignment="1" applyProtection="1">
      <alignment vertical="center"/>
      <protection hidden="1"/>
    </xf>
    <xf numFmtId="0" fontId="5" fillId="4" borderId="0" xfId="0" applyFont="1" applyFill="1" applyAlignment="1" applyProtection="1">
      <alignment vertical="center"/>
      <protection hidden="1"/>
    </xf>
    <xf numFmtId="0" fontId="6" fillId="4" borderId="0" xfId="0" applyFont="1" applyFill="1" applyAlignment="1" applyProtection="1">
      <alignment horizontal="center"/>
      <protection hidden="1"/>
    </xf>
    <xf numFmtId="0" fontId="46" fillId="4" borderId="0" xfId="0" applyFont="1" applyFill="1" applyAlignment="1" applyProtection="1">
      <alignment horizontal="left" vertical="center" wrapText="1"/>
      <protection hidden="1"/>
    </xf>
    <xf numFmtId="0" fontId="0" fillId="0" borderId="0" xfId="0" applyAlignment="1" applyProtection="1">
      <alignment vertical="top"/>
      <protection hidden="1"/>
    </xf>
    <xf numFmtId="0" fontId="0" fillId="4" borderId="15" xfId="0" applyFill="1" applyBorder="1" applyProtection="1">
      <protection hidden="1"/>
    </xf>
    <xf numFmtId="0" fontId="0" fillId="4" borderId="11" xfId="0" applyFill="1" applyBorder="1" applyProtection="1">
      <protection hidden="1"/>
    </xf>
    <xf numFmtId="0" fontId="0" fillId="4" borderId="16" xfId="0" applyFill="1" applyBorder="1" applyAlignment="1" applyProtection="1">
      <alignment horizontal="center"/>
      <protection hidden="1"/>
    </xf>
    <xf numFmtId="0" fontId="19" fillId="4" borderId="0" xfId="0" applyFont="1" applyFill="1" applyAlignment="1" applyProtection="1">
      <alignment horizontal="center" vertical="center"/>
      <protection hidden="1"/>
    </xf>
    <xf numFmtId="0" fontId="6" fillId="4" borderId="0" xfId="0" applyFont="1" applyFill="1" applyAlignment="1" applyProtection="1">
      <alignment horizontal="left" vertical="center"/>
      <protection hidden="1"/>
    </xf>
    <xf numFmtId="0" fontId="24" fillId="4" borderId="0" xfId="0" applyFont="1" applyFill="1" applyAlignment="1" applyProtection="1">
      <alignment horizontal="center" vertical="center"/>
      <protection hidden="1"/>
    </xf>
    <xf numFmtId="0" fontId="24" fillId="4" borderId="0" xfId="0" applyFont="1" applyFill="1" applyAlignment="1" applyProtection="1">
      <alignment horizontal="center" vertical="center" wrapText="1"/>
      <protection hidden="1"/>
    </xf>
    <xf numFmtId="0" fontId="0" fillId="4" borderId="13" xfId="0" applyFill="1" applyBorder="1" applyAlignment="1" applyProtection="1">
      <alignment horizontal="center"/>
      <protection hidden="1"/>
    </xf>
    <xf numFmtId="0" fontId="0" fillId="4" borderId="16" xfId="0" applyFill="1" applyBorder="1" applyProtection="1">
      <protection hidden="1"/>
    </xf>
    <xf numFmtId="165" fontId="6" fillId="4" borderId="6" xfId="0" applyNumberFormat="1" applyFont="1" applyFill="1" applyBorder="1" applyAlignment="1" applyProtection="1">
      <alignment horizontal="center"/>
      <protection hidden="1"/>
    </xf>
    <xf numFmtId="0" fontId="0" fillId="4" borderId="17" xfId="0" applyFill="1" applyBorder="1" applyProtection="1">
      <protection hidden="1"/>
    </xf>
    <xf numFmtId="0" fontId="0" fillId="4" borderId="10" xfId="0" applyFill="1" applyBorder="1" applyProtection="1">
      <protection hidden="1"/>
    </xf>
    <xf numFmtId="0" fontId="26" fillId="4" borderId="10" xfId="0" applyFont="1" applyFill="1" applyBorder="1" applyProtection="1">
      <protection hidden="1"/>
    </xf>
    <xf numFmtId="0" fontId="0" fillId="4" borderId="14" xfId="0" applyFill="1" applyBorder="1" applyProtection="1">
      <protection hidden="1"/>
    </xf>
    <xf numFmtId="0" fontId="26" fillId="4" borderId="0" xfId="0" applyFont="1" applyFill="1" applyProtection="1">
      <protection hidden="1"/>
    </xf>
    <xf numFmtId="0" fontId="6" fillId="4" borderId="0" xfId="0" quotePrefix="1" applyFont="1" applyFill="1" applyAlignment="1" applyProtection="1">
      <alignment horizontal="right"/>
      <protection hidden="1"/>
    </xf>
    <xf numFmtId="0" fontId="15" fillId="4" borderId="0" xfId="0" applyFont="1" applyFill="1" applyProtection="1">
      <protection hidden="1"/>
    </xf>
    <xf numFmtId="0" fontId="0" fillId="4" borderId="12" xfId="0" applyFill="1" applyBorder="1" applyProtection="1">
      <protection hidden="1"/>
    </xf>
    <xf numFmtId="0" fontId="20" fillId="0" borderId="9" xfId="0" applyFont="1" applyBorder="1" applyAlignment="1" applyProtection="1">
      <alignment horizontal="center"/>
      <protection locked="0"/>
    </xf>
    <xf numFmtId="0" fontId="22" fillId="5" borderId="0" xfId="0" applyFont="1" applyFill="1" applyAlignment="1" applyProtection="1">
      <alignment horizontal="left"/>
      <protection hidden="1"/>
    </xf>
    <xf numFmtId="0" fontId="48" fillId="0" borderId="0" xfId="0" applyFont="1" applyAlignment="1" applyProtection="1">
      <alignment horizontal="right"/>
      <protection hidden="1"/>
    </xf>
    <xf numFmtId="0" fontId="8" fillId="0" borderId="0" xfId="0" applyFont="1" applyProtection="1">
      <protection hidden="1"/>
    </xf>
    <xf numFmtId="0" fontId="22" fillId="0" borderId="0" xfId="0" applyFont="1" applyAlignment="1" applyProtection="1">
      <alignment horizontal="left"/>
      <protection hidden="1"/>
    </xf>
    <xf numFmtId="0" fontId="0" fillId="0" borderId="16" xfId="0" applyBorder="1" applyAlignment="1" applyProtection="1">
      <alignment horizontal="center"/>
      <protection hidden="1"/>
    </xf>
    <xf numFmtId="0" fontId="19" fillId="0" borderId="0" xfId="0" applyFont="1" applyAlignment="1" applyProtection="1">
      <alignment horizontal="center" vertical="center"/>
      <protection hidden="1"/>
    </xf>
    <xf numFmtId="0" fontId="24" fillId="0" borderId="0" xfId="0" applyFont="1" applyAlignment="1" applyProtection="1">
      <alignment horizontal="center" vertical="center"/>
      <protection hidden="1"/>
    </xf>
    <xf numFmtId="0" fontId="24" fillId="0" borderId="0" xfId="0" applyFont="1" applyAlignment="1" applyProtection="1">
      <alignment horizontal="center" vertical="center" wrapText="1"/>
      <protection hidden="1"/>
    </xf>
    <xf numFmtId="0" fontId="0" fillId="0" borderId="13" xfId="0" applyBorder="1" applyAlignment="1" applyProtection="1">
      <alignment horizontal="center"/>
      <protection hidden="1"/>
    </xf>
    <xf numFmtId="0" fontId="0" fillId="0" borderId="16" xfId="0" applyBorder="1" applyProtection="1">
      <protection hidden="1"/>
    </xf>
    <xf numFmtId="165" fontId="6" fillId="0" borderId="6" xfId="0" applyNumberFormat="1" applyFont="1" applyBorder="1" applyAlignment="1" applyProtection="1">
      <alignment horizontal="center"/>
      <protection hidden="1"/>
    </xf>
    <xf numFmtId="0" fontId="0" fillId="0" borderId="17" xfId="0" applyBorder="1" applyProtection="1">
      <protection hidden="1"/>
    </xf>
    <xf numFmtId="0" fontId="0" fillId="0" borderId="10" xfId="0" applyBorder="1" applyProtection="1">
      <protection hidden="1"/>
    </xf>
    <xf numFmtId="0" fontId="0" fillId="0" borderId="14" xfId="0" applyBorder="1" applyProtection="1">
      <protection hidden="1"/>
    </xf>
    <xf numFmtId="0" fontId="6" fillId="0" borderId="0" xfId="0" quotePrefix="1" applyFont="1" applyAlignment="1" applyProtection="1">
      <alignment horizontal="right"/>
      <protection hidden="1"/>
    </xf>
    <xf numFmtId="0" fontId="15" fillId="0" borderId="0" xfId="0" applyFont="1" applyProtection="1">
      <protection hidden="1"/>
    </xf>
    <xf numFmtId="0" fontId="5" fillId="6" borderId="0" xfId="0" applyFont="1" applyFill="1" applyAlignment="1" applyProtection="1">
      <alignment horizontal="right"/>
      <protection hidden="1"/>
    </xf>
    <xf numFmtId="0" fontId="49" fillId="0" borderId="0" xfId="0" applyFont="1" applyProtection="1">
      <protection hidden="1"/>
    </xf>
    <xf numFmtId="0" fontId="36" fillId="0" borderId="0" xfId="0" applyFont="1" applyAlignment="1" applyProtection="1">
      <alignment horizontal="right"/>
      <protection hidden="1"/>
    </xf>
    <xf numFmtId="0" fontId="5" fillId="0" borderId="0" xfId="4" applyProtection="1">
      <protection hidden="1"/>
    </xf>
    <xf numFmtId="0" fontId="37" fillId="4" borderId="0" xfId="4" applyFont="1" applyFill="1" applyProtection="1">
      <protection hidden="1"/>
    </xf>
    <xf numFmtId="0" fontId="38" fillId="4" borderId="0" xfId="4" applyFont="1" applyFill="1" applyProtection="1">
      <protection hidden="1"/>
    </xf>
    <xf numFmtId="0" fontId="39" fillId="4" borderId="0" xfId="4" applyFont="1" applyFill="1" applyAlignment="1" applyProtection="1">
      <alignment horizontal="left" indent="1"/>
      <protection hidden="1"/>
    </xf>
    <xf numFmtId="0" fontId="40" fillId="4" borderId="0" xfId="4" applyFont="1" applyFill="1" applyProtection="1">
      <protection hidden="1"/>
    </xf>
    <xf numFmtId="0" fontId="41" fillId="4" borderId="0" xfId="4" applyFont="1" applyFill="1" applyProtection="1">
      <protection hidden="1"/>
    </xf>
    <xf numFmtId="0" fontId="39" fillId="4" borderId="0" xfId="4" quotePrefix="1" applyFont="1" applyFill="1" applyAlignment="1" applyProtection="1">
      <alignment horizontal="left" indent="2"/>
      <protection hidden="1"/>
    </xf>
    <xf numFmtId="0" fontId="39" fillId="4" borderId="0" xfId="4" applyFont="1" applyFill="1" applyAlignment="1" applyProtection="1">
      <alignment horizontal="left" indent="2"/>
      <protection hidden="1"/>
    </xf>
    <xf numFmtId="0" fontId="5" fillId="7" borderId="0" xfId="4" applyFill="1" applyProtection="1">
      <protection hidden="1"/>
    </xf>
    <xf numFmtId="0" fontId="39" fillId="0" borderId="0" xfId="4" applyFont="1" applyAlignment="1" applyProtection="1">
      <alignment horizontal="left" indent="2"/>
      <protection hidden="1"/>
    </xf>
    <xf numFmtId="0" fontId="0" fillId="7" borderId="0" xfId="0" applyFill="1" applyProtection="1">
      <protection hidden="1"/>
    </xf>
    <xf numFmtId="0" fontId="0" fillId="4" borderId="6" xfId="0" applyFill="1" applyBorder="1" applyProtection="1">
      <protection hidden="1"/>
    </xf>
    <xf numFmtId="0" fontId="0" fillId="7" borderId="0" xfId="0" applyFill="1" applyAlignment="1" applyProtection="1">
      <alignment wrapText="1"/>
      <protection hidden="1"/>
    </xf>
    <xf numFmtId="0" fontId="0" fillId="7" borderId="0" xfId="0" applyFill="1" applyAlignment="1" applyProtection="1">
      <alignment vertical="top"/>
      <protection hidden="1"/>
    </xf>
    <xf numFmtId="0" fontId="5" fillId="7" borderId="0" xfId="0" applyFont="1" applyFill="1" applyAlignment="1" applyProtection="1">
      <alignment horizontal="left" indent="1"/>
      <protection hidden="1"/>
    </xf>
    <xf numFmtId="0" fontId="0" fillId="7" borderId="0" xfId="0" applyFill="1" applyAlignment="1" applyProtection="1">
      <alignment vertical="center"/>
      <protection hidden="1"/>
    </xf>
    <xf numFmtId="0" fontId="6" fillId="7" borderId="0" xfId="0" applyFont="1" applyFill="1" applyAlignment="1" applyProtection="1">
      <alignment wrapText="1"/>
      <protection hidden="1"/>
    </xf>
    <xf numFmtId="0" fontId="17" fillId="7" borderId="0" xfId="0" applyFont="1" applyFill="1" applyProtection="1">
      <protection hidden="1"/>
    </xf>
    <xf numFmtId="0" fontId="0" fillId="7" borderId="0" xfId="0" applyFill="1" applyAlignment="1" applyProtection="1">
      <alignment horizontal="center"/>
      <protection hidden="1"/>
    </xf>
    <xf numFmtId="0" fontId="0" fillId="0" borderId="9" xfId="0" applyBorder="1" applyProtection="1">
      <protection hidden="1"/>
    </xf>
    <xf numFmtId="0" fontId="30" fillId="0" borderId="0" xfId="0" applyFont="1" applyAlignment="1" applyProtection="1">
      <alignment horizontal="right"/>
      <protection hidden="1"/>
    </xf>
    <xf numFmtId="0" fontId="5" fillId="0" borderId="11" xfId="0" applyFont="1" applyBorder="1" applyAlignment="1" applyProtection="1">
      <alignment horizontal="center"/>
      <protection hidden="1"/>
    </xf>
    <xf numFmtId="0" fontId="5" fillId="0" borderId="18" xfId="0" applyFont="1" applyBorder="1" applyAlignment="1" applyProtection="1">
      <alignment horizontal="center"/>
      <protection hidden="1"/>
    </xf>
    <xf numFmtId="0" fontId="5" fillId="0" borderId="19" xfId="0" applyFont="1" applyBorder="1" applyAlignment="1" applyProtection="1">
      <alignment horizontal="center"/>
      <protection hidden="1"/>
    </xf>
    <xf numFmtId="1" fontId="5" fillId="0" borderId="0" xfId="0" applyNumberFormat="1" applyFont="1" applyProtection="1">
      <protection hidden="1"/>
    </xf>
    <xf numFmtId="0" fontId="0" fillId="0" borderId="20" xfId="0" applyBorder="1" applyProtection="1">
      <protection hidden="1"/>
    </xf>
    <xf numFmtId="0" fontId="5" fillId="8" borderId="0" xfId="0" applyFont="1" applyFill="1" applyProtection="1">
      <protection hidden="1"/>
    </xf>
    <xf numFmtId="0" fontId="10" fillId="0" borderId="23" xfId="0" applyFont="1" applyBorder="1" applyProtection="1">
      <protection hidden="1"/>
    </xf>
    <xf numFmtId="0" fontId="10" fillId="0" borderId="24" xfId="0" applyFont="1" applyBorder="1" applyProtection="1">
      <protection hidden="1"/>
    </xf>
    <xf numFmtId="0" fontId="5" fillId="0" borderId="16" xfId="0" applyFont="1" applyBorder="1" applyProtection="1">
      <protection hidden="1"/>
    </xf>
    <xf numFmtId="2" fontId="0" fillId="0" borderId="0" xfId="0" applyNumberFormat="1" applyProtection="1">
      <protection hidden="1"/>
    </xf>
    <xf numFmtId="0" fontId="5" fillId="0" borderId="13" xfId="0" applyFont="1" applyBorder="1" applyProtection="1">
      <protection hidden="1"/>
    </xf>
    <xf numFmtId="2" fontId="0" fillId="0" borderId="6" xfId="0" applyNumberFormat="1" applyBorder="1" applyProtection="1">
      <protection hidden="1"/>
    </xf>
    <xf numFmtId="0" fontId="5" fillId="0" borderId="25" xfId="0" applyFont="1" applyBorder="1" applyProtection="1">
      <protection hidden="1"/>
    </xf>
    <xf numFmtId="169" fontId="0" fillId="0" borderId="0" xfId="0" applyNumberFormat="1" applyProtection="1">
      <protection hidden="1"/>
    </xf>
    <xf numFmtId="169" fontId="0" fillId="0" borderId="6" xfId="0" applyNumberFormat="1" applyBorder="1" applyProtection="1">
      <protection hidden="1"/>
    </xf>
    <xf numFmtId="0" fontId="0" fillId="0" borderId="26" xfId="0" applyBorder="1" applyProtection="1">
      <protection hidden="1"/>
    </xf>
    <xf numFmtId="2" fontId="0" fillId="0" borderId="10" xfId="0" applyNumberFormat="1" applyBorder="1" applyProtection="1">
      <protection hidden="1"/>
    </xf>
    <xf numFmtId="0" fontId="5" fillId="0" borderId="14" xfId="0" applyFont="1" applyBorder="1" applyProtection="1">
      <protection hidden="1"/>
    </xf>
    <xf numFmtId="0" fontId="7" fillId="9" borderId="0" xfId="0" applyFont="1" applyFill="1" applyAlignment="1" applyProtection="1">
      <alignment horizontal="center" wrapText="1"/>
      <protection hidden="1"/>
    </xf>
    <xf numFmtId="0" fontId="7" fillId="9" borderId="0" xfId="0" applyFont="1" applyFill="1" applyAlignment="1" applyProtection="1">
      <alignment horizontal="left" wrapText="1"/>
      <protection hidden="1"/>
    </xf>
    <xf numFmtId="0" fontId="10" fillId="10" borderId="6" xfId="0" applyFont="1" applyFill="1" applyBorder="1" applyAlignment="1" applyProtection="1">
      <alignment horizontal="left"/>
      <protection hidden="1"/>
    </xf>
    <xf numFmtId="0" fontId="0" fillId="10" borderId="0" xfId="0" applyFill="1" applyProtection="1">
      <protection hidden="1"/>
    </xf>
    <xf numFmtId="0" fontId="0" fillId="9" borderId="0" xfId="0" applyFill="1" applyAlignment="1" applyProtection="1">
      <alignment wrapText="1"/>
      <protection hidden="1"/>
    </xf>
    <xf numFmtId="0" fontId="11" fillId="9" borderId="0" xfId="0" applyFont="1" applyFill="1" applyAlignment="1" applyProtection="1">
      <alignment horizontal="left" vertical="top" wrapText="1"/>
      <protection hidden="1"/>
    </xf>
    <xf numFmtId="0" fontId="13" fillId="8" borderId="0" xfId="0" applyFont="1" applyFill="1" applyAlignment="1" applyProtection="1">
      <alignment horizontal="center" vertical="top" wrapText="1"/>
      <protection hidden="1"/>
    </xf>
    <xf numFmtId="0" fontId="13" fillId="8" borderId="0" xfId="0" applyFont="1" applyFill="1" applyAlignment="1" applyProtection="1">
      <alignment vertical="top" wrapText="1"/>
      <protection hidden="1"/>
    </xf>
    <xf numFmtId="0" fontId="10" fillId="11" borderId="6" xfId="0" applyFont="1" applyFill="1" applyBorder="1" applyProtection="1">
      <protection hidden="1"/>
    </xf>
    <xf numFmtId="0" fontId="0" fillId="12" borderId="0" xfId="0" applyFill="1" applyProtection="1">
      <protection hidden="1"/>
    </xf>
    <xf numFmtId="0" fontId="10" fillId="8" borderId="6" xfId="0" applyFont="1" applyFill="1" applyBorder="1" applyProtection="1">
      <protection hidden="1"/>
    </xf>
    <xf numFmtId="0" fontId="10" fillId="3" borderId="6" xfId="0" applyFont="1" applyFill="1" applyBorder="1" applyProtection="1">
      <protection hidden="1"/>
    </xf>
    <xf numFmtId="0" fontId="12" fillId="0" borderId="0" xfId="0" applyFont="1" applyAlignment="1" applyProtection="1">
      <alignment wrapText="1"/>
      <protection hidden="1"/>
    </xf>
    <xf numFmtId="0" fontId="10" fillId="12" borderId="6" xfId="0" applyFont="1" applyFill="1" applyBorder="1" applyAlignment="1" applyProtection="1">
      <alignment horizontal="left"/>
      <protection hidden="1"/>
    </xf>
    <xf numFmtId="0" fontId="14" fillId="9" borderId="0" xfId="0" applyFont="1" applyFill="1" applyProtection="1">
      <protection hidden="1"/>
    </xf>
    <xf numFmtId="0" fontId="5" fillId="9" borderId="0" xfId="0" applyFont="1" applyFill="1" applyAlignment="1" applyProtection="1">
      <alignment wrapText="1"/>
      <protection hidden="1"/>
    </xf>
    <xf numFmtId="0" fontId="11" fillId="9" borderId="0" xfId="0" applyFont="1" applyFill="1" applyAlignment="1" applyProtection="1">
      <alignment horizontal="center" vertical="top" wrapText="1"/>
      <protection hidden="1"/>
    </xf>
    <xf numFmtId="0" fontId="0" fillId="9" borderId="0" xfId="0" applyFill="1" applyProtection="1">
      <protection hidden="1"/>
    </xf>
    <xf numFmtId="0" fontId="22" fillId="0" borderId="0" xfId="0" applyFont="1" applyAlignment="1" applyProtection="1">
      <alignment horizontal="right" vertical="top"/>
      <protection hidden="1"/>
    </xf>
    <xf numFmtId="0" fontId="50" fillId="0" borderId="0" xfId="0" applyFont="1" applyAlignment="1" applyProtection="1">
      <alignment horizontal="right"/>
      <protection hidden="1"/>
    </xf>
    <xf numFmtId="0" fontId="36" fillId="0" borderId="0" xfId="0" applyFont="1" applyAlignment="1" applyProtection="1">
      <alignment horizontal="right" vertical="center"/>
      <protection hidden="1"/>
    </xf>
    <xf numFmtId="0" fontId="19" fillId="4" borderId="0" xfId="0" applyFont="1" applyFill="1" applyAlignment="1" applyProtection="1">
      <alignment wrapText="1"/>
      <protection hidden="1"/>
    </xf>
    <xf numFmtId="0" fontId="32" fillId="4" borderId="0" xfId="0" applyFont="1" applyFill="1" applyAlignment="1" applyProtection="1">
      <alignment vertical="top" wrapText="1"/>
      <protection hidden="1"/>
    </xf>
    <xf numFmtId="0" fontId="32" fillId="4" borderId="0" xfId="0" applyFont="1" applyFill="1" applyAlignment="1" applyProtection="1">
      <alignment wrapText="1"/>
      <protection hidden="1"/>
    </xf>
    <xf numFmtId="0" fontId="19" fillId="0" borderId="0" xfId="0" applyFont="1" applyAlignment="1" applyProtection="1">
      <alignment wrapText="1"/>
      <protection hidden="1"/>
    </xf>
    <xf numFmtId="0" fontId="32" fillId="0" borderId="0" xfId="0" applyFont="1" applyAlignment="1" applyProtection="1">
      <alignment vertical="top" wrapText="1"/>
      <protection hidden="1"/>
    </xf>
    <xf numFmtId="0" fontId="30" fillId="4" borderId="0" xfId="0" applyFont="1" applyFill="1" applyAlignment="1" applyProtection="1">
      <alignment horizontal="right"/>
      <protection hidden="1"/>
    </xf>
    <xf numFmtId="0" fontId="30" fillId="4" borderId="0" xfId="0" applyFont="1" applyFill="1" applyAlignment="1" applyProtection="1">
      <alignment wrapText="1"/>
      <protection hidden="1"/>
    </xf>
    <xf numFmtId="3" fontId="44" fillId="4" borderId="0" xfId="0" applyNumberFormat="1" applyFont="1" applyFill="1" applyAlignment="1">
      <alignment horizontal="center"/>
    </xf>
    <xf numFmtId="0" fontId="6" fillId="4" borderId="0" xfId="0" applyFont="1" applyFill="1" applyAlignment="1">
      <alignment horizontal="left"/>
    </xf>
    <xf numFmtId="0" fontId="33" fillId="4" borderId="0" xfId="0" applyFont="1" applyFill="1" applyAlignment="1" applyProtection="1">
      <alignment vertical="center"/>
      <protection hidden="1"/>
    </xf>
    <xf numFmtId="0" fontId="43" fillId="4" borderId="0" xfId="0" applyFont="1" applyFill="1" applyProtection="1">
      <protection hidden="1"/>
    </xf>
    <xf numFmtId="0" fontId="0" fillId="4" borderId="0" xfId="0" applyFill="1" applyAlignment="1" applyProtection="1">
      <alignment horizontal="left"/>
      <protection hidden="1"/>
    </xf>
    <xf numFmtId="0" fontId="53" fillId="4" borderId="0" xfId="0" applyFont="1" applyFill="1" applyAlignment="1" applyProtection="1">
      <alignment horizontal="left"/>
      <protection hidden="1"/>
    </xf>
    <xf numFmtId="0" fontId="6" fillId="4" borderId="0" xfId="0" applyFont="1" applyFill="1" applyProtection="1">
      <protection hidden="1"/>
    </xf>
    <xf numFmtId="0" fontId="6" fillId="4" borderId="0" xfId="0" applyFont="1" applyFill="1" applyAlignment="1" applyProtection="1">
      <alignment horizontal="right"/>
      <protection hidden="1"/>
    </xf>
    <xf numFmtId="0" fontId="6" fillId="4" borderId="0" xfId="0" applyFont="1" applyFill="1" applyAlignment="1" applyProtection="1">
      <alignment horizontal="left"/>
      <protection hidden="1"/>
    </xf>
    <xf numFmtId="0" fontId="0" fillId="4" borderId="18" xfId="0" applyFill="1" applyBorder="1" applyProtection="1">
      <protection hidden="1"/>
    </xf>
    <xf numFmtId="0" fontId="47" fillId="4" borderId="18" xfId="0" applyFont="1" applyFill="1" applyBorder="1" applyProtection="1">
      <protection hidden="1"/>
    </xf>
    <xf numFmtId="0" fontId="43" fillId="4" borderId="18" xfId="0" applyFont="1" applyFill="1" applyBorder="1" applyProtection="1">
      <protection hidden="1"/>
    </xf>
    <xf numFmtId="0" fontId="19" fillId="4" borderId="0" xfId="0" applyFont="1" applyFill="1" applyAlignment="1" applyProtection="1">
      <alignment vertical="top"/>
      <protection hidden="1"/>
    </xf>
    <xf numFmtId="0" fontId="43" fillId="4" borderId="6" xfId="0" applyFont="1" applyFill="1" applyBorder="1" applyProtection="1">
      <protection hidden="1"/>
    </xf>
    <xf numFmtId="0" fontId="6" fillId="4" borderId="18" xfId="0" applyFont="1" applyFill="1" applyBorder="1" applyProtection="1">
      <protection hidden="1"/>
    </xf>
    <xf numFmtId="0" fontId="44" fillId="4" borderId="0" xfId="0" applyFont="1" applyFill="1" applyAlignment="1">
      <alignment horizontal="left"/>
    </xf>
    <xf numFmtId="0" fontId="6" fillId="4" borderId="6" xfId="0" applyFont="1" applyFill="1" applyBorder="1" applyProtection="1">
      <protection hidden="1"/>
    </xf>
    <xf numFmtId="0" fontId="34" fillId="4" borderId="0" xfId="0" applyFont="1" applyFill="1" applyProtection="1">
      <protection hidden="1"/>
    </xf>
    <xf numFmtId="9" fontId="6" fillId="4" borderId="0" xfId="0" applyNumberFormat="1" applyFont="1" applyFill="1" applyProtection="1">
      <protection hidden="1"/>
    </xf>
    <xf numFmtId="0" fontId="34" fillId="0" borderId="0" xfId="0" applyFont="1" applyProtection="1">
      <protection hidden="1"/>
    </xf>
    <xf numFmtId="9" fontId="6" fillId="0" borderId="0" xfId="0" applyNumberFormat="1" applyFont="1" applyProtection="1">
      <protection hidden="1"/>
    </xf>
    <xf numFmtId="0" fontId="47" fillId="4" borderId="6" xfId="0" applyFont="1" applyFill="1" applyBorder="1" applyProtection="1">
      <protection hidden="1"/>
    </xf>
    <xf numFmtId="0" fontId="6" fillId="4" borderId="0" xfId="0" applyFont="1" applyFill="1" applyAlignment="1" applyProtection="1">
      <alignment vertical="top" wrapText="1"/>
      <protection hidden="1"/>
    </xf>
    <xf numFmtId="0" fontId="6" fillId="4" borderId="0" xfId="0" applyFont="1" applyFill="1" applyAlignment="1" applyProtection="1">
      <alignment vertical="top"/>
      <protection hidden="1"/>
    </xf>
    <xf numFmtId="0" fontId="43" fillId="4" borderId="1" xfId="0" applyFont="1" applyFill="1" applyBorder="1" applyProtection="1">
      <protection hidden="1"/>
    </xf>
    <xf numFmtId="0" fontId="6" fillId="4" borderId="1" xfId="0" applyFont="1" applyFill="1" applyBorder="1" applyProtection="1">
      <protection hidden="1"/>
    </xf>
    <xf numFmtId="0" fontId="0" fillId="4" borderId="0" xfId="0" applyFill="1" applyAlignment="1" applyProtection="1">
      <alignment horizontal="left" indent="1"/>
      <protection hidden="1"/>
    </xf>
    <xf numFmtId="0" fontId="6" fillId="4" borderId="0" xfId="0" applyFont="1" applyFill="1" applyAlignment="1" applyProtection="1">
      <alignment horizontal="right" vertical="top"/>
      <protection hidden="1"/>
    </xf>
    <xf numFmtId="0" fontId="0" fillId="4" borderId="2" xfId="0" applyFill="1" applyBorder="1" applyProtection="1">
      <protection hidden="1"/>
    </xf>
    <xf numFmtId="0" fontId="0" fillId="4" borderId="5" xfId="0" applyFill="1" applyBorder="1" applyProtection="1">
      <protection hidden="1"/>
    </xf>
    <xf numFmtId="0" fontId="0" fillId="4" borderId="4" xfId="0" applyFill="1" applyBorder="1" applyProtection="1">
      <protection hidden="1"/>
    </xf>
    <xf numFmtId="0" fontId="6" fillId="4" borderId="1" xfId="0" applyFont="1" applyFill="1" applyBorder="1" applyAlignment="1" applyProtection="1">
      <alignment horizontal="center"/>
      <protection hidden="1"/>
    </xf>
    <xf numFmtId="0" fontId="43" fillId="4" borderId="0" xfId="0" applyFont="1" applyFill="1" applyAlignment="1" applyProtection="1">
      <alignment horizontal="right"/>
      <protection hidden="1"/>
    </xf>
    <xf numFmtId="9" fontId="5" fillId="4" borderId="0" xfId="6" applyFont="1" applyFill="1" applyBorder="1" applyAlignment="1" applyProtection="1">
      <alignment horizontal="center"/>
      <protection hidden="1"/>
    </xf>
    <xf numFmtId="3" fontId="43" fillId="4" borderId="0" xfId="0" applyNumberFormat="1" applyFont="1" applyFill="1" applyAlignment="1" applyProtection="1">
      <alignment horizontal="right"/>
      <protection hidden="1"/>
    </xf>
    <xf numFmtId="0" fontId="0" fillId="4" borderId="7" xfId="0" applyFill="1" applyBorder="1" applyProtection="1">
      <protection hidden="1"/>
    </xf>
    <xf numFmtId="0" fontId="6" fillId="2" borderId="9" xfId="0" applyFont="1" applyFill="1" applyBorder="1" applyProtection="1">
      <protection locked="0" hidden="1"/>
    </xf>
    <xf numFmtId="0" fontId="5" fillId="4" borderId="6" xfId="0" applyFont="1" applyFill="1" applyBorder="1" applyAlignment="1" applyProtection="1">
      <alignment horizontal="center"/>
      <protection hidden="1"/>
    </xf>
    <xf numFmtId="0" fontId="5" fillId="4" borderId="0" xfId="0" applyFont="1" applyFill="1" applyAlignment="1" applyProtection="1">
      <alignment horizontal="center" vertical="top"/>
      <protection hidden="1"/>
    </xf>
    <xf numFmtId="0" fontId="0" fillId="4" borderId="6" xfId="0" applyFill="1" applyBorder="1" applyAlignment="1" applyProtection="1">
      <alignment vertical="center"/>
      <protection hidden="1"/>
    </xf>
    <xf numFmtId="0" fontId="34" fillId="4" borderId="6" xfId="0" applyFont="1" applyFill="1" applyBorder="1" applyProtection="1">
      <protection hidden="1"/>
    </xf>
    <xf numFmtId="0" fontId="0" fillId="4" borderId="1" xfId="0" applyFill="1" applyBorder="1" applyAlignment="1" applyProtection="1">
      <alignment vertical="center"/>
      <protection hidden="1"/>
    </xf>
    <xf numFmtId="0" fontId="34" fillId="4" borderId="1" xfId="0" applyFont="1" applyFill="1" applyBorder="1" applyProtection="1">
      <protection hidden="1"/>
    </xf>
    <xf numFmtId="0" fontId="51" fillId="0" borderId="0" xfId="0" applyFont="1" applyProtection="1">
      <protection hidden="1"/>
    </xf>
    <xf numFmtId="14" fontId="44" fillId="6" borderId="0" xfId="0" applyNumberFormat="1" applyFont="1" applyFill="1" applyAlignment="1" applyProtection="1">
      <alignment horizontal="right" wrapText="1"/>
      <protection hidden="1"/>
    </xf>
    <xf numFmtId="0" fontId="19" fillId="4" borderId="0" xfId="0" applyFont="1" applyFill="1" applyProtection="1">
      <protection hidden="1"/>
    </xf>
    <xf numFmtId="0" fontId="6" fillId="4" borderId="0" xfId="0" applyFont="1" applyFill="1" applyAlignment="1" applyProtection="1">
      <alignment horizontal="center" wrapText="1"/>
      <protection hidden="1"/>
    </xf>
    <xf numFmtId="0" fontId="49" fillId="0" borderId="0" xfId="0" applyFont="1" applyAlignment="1" applyProtection="1">
      <alignment vertical="top"/>
      <protection hidden="1"/>
    </xf>
    <xf numFmtId="0" fontId="22" fillId="5" borderId="0" xfId="0" applyFont="1" applyFill="1" applyAlignment="1" applyProtection="1">
      <alignment horizontal="center"/>
      <protection hidden="1"/>
    </xf>
    <xf numFmtId="0" fontId="6" fillId="4" borderId="0" xfId="0" applyFont="1" applyFill="1" applyAlignment="1" applyProtection="1">
      <alignment wrapText="1"/>
      <protection hidden="1"/>
    </xf>
    <xf numFmtId="0" fontId="6" fillId="4" borderId="6" xfId="0" applyFont="1" applyFill="1" applyBorder="1" applyAlignment="1" applyProtection="1">
      <alignment wrapText="1"/>
      <protection hidden="1"/>
    </xf>
    <xf numFmtId="0" fontId="0" fillId="4" borderId="0" xfId="0" applyFill="1" applyAlignment="1" applyProtection="1">
      <alignment horizontal="left" wrapText="1" indent="1"/>
      <protection hidden="1"/>
    </xf>
    <xf numFmtId="0" fontId="47" fillId="4" borderId="0" xfId="0" applyFont="1" applyFill="1" applyProtection="1">
      <protection hidden="1"/>
    </xf>
    <xf numFmtId="0" fontId="6" fillId="4" borderId="0" xfId="0" applyFont="1" applyFill="1" applyAlignment="1" applyProtection="1">
      <alignment horizontal="center" vertical="center" wrapText="1"/>
      <protection hidden="1"/>
    </xf>
    <xf numFmtId="14" fontId="10" fillId="9" borderId="6" xfId="0" applyNumberFormat="1" applyFont="1" applyFill="1" applyBorder="1" applyProtection="1">
      <protection hidden="1"/>
    </xf>
    <xf numFmtId="14" fontId="10" fillId="3" borderId="6" xfId="0" applyNumberFormat="1" applyFont="1" applyFill="1" applyBorder="1" applyProtection="1">
      <protection hidden="1"/>
    </xf>
    <xf numFmtId="14" fontId="10" fillId="12" borderId="6" xfId="0" applyNumberFormat="1" applyFont="1" applyFill="1" applyBorder="1" applyProtection="1">
      <protection hidden="1"/>
    </xf>
    <xf numFmtId="0" fontId="6" fillId="4" borderId="0" xfId="0" applyFont="1" applyFill="1" applyAlignment="1" applyProtection="1">
      <alignment horizontal="center" vertical="center"/>
      <protection hidden="1"/>
    </xf>
    <xf numFmtId="164" fontId="6" fillId="4" borderId="0" xfId="0" applyNumberFormat="1" applyFont="1" applyFill="1" applyProtection="1">
      <protection hidden="1"/>
    </xf>
    <xf numFmtId="0" fontId="10" fillId="0" borderId="11" xfId="0" applyFont="1" applyBorder="1" applyAlignment="1" applyProtection="1">
      <alignment horizontal="center" vertical="center"/>
      <protection hidden="1"/>
    </xf>
    <xf numFmtId="0" fontId="10" fillId="0" borderId="0" xfId="0" applyFont="1" applyProtection="1">
      <protection hidden="1"/>
    </xf>
    <xf numFmtId="0" fontId="10" fillId="0" borderId="6" xfId="0" applyFont="1" applyBorder="1" applyProtection="1">
      <protection hidden="1"/>
    </xf>
    <xf numFmtId="0" fontId="0" fillId="0" borderId="0" xfId="0" applyAlignment="1" applyProtection="1">
      <alignment horizontal="left"/>
      <protection hidden="1"/>
    </xf>
    <xf numFmtId="0" fontId="0" fillId="0" borderId="15" xfId="0" applyBorder="1" applyProtection="1">
      <protection hidden="1"/>
    </xf>
    <xf numFmtId="0" fontId="0" fillId="2" borderId="30" xfId="0" applyFill="1" applyBorder="1" applyProtection="1">
      <protection hidden="1"/>
    </xf>
    <xf numFmtId="0" fontId="0" fillId="2" borderId="31" xfId="0" applyFill="1" applyBorder="1" applyProtection="1">
      <protection hidden="1"/>
    </xf>
    <xf numFmtId="0" fontId="0" fillId="0" borderId="10" xfId="0" applyBorder="1" applyAlignment="1" applyProtection="1">
      <alignment horizontal="center"/>
      <protection hidden="1"/>
    </xf>
    <xf numFmtId="0" fontId="12" fillId="0" borderId="9" xfId="0" applyFont="1" applyBorder="1" applyProtection="1">
      <protection hidden="1"/>
    </xf>
    <xf numFmtId="0" fontId="55" fillId="4" borderId="0" xfId="0" applyFont="1" applyFill="1" applyProtection="1">
      <protection hidden="1"/>
    </xf>
    <xf numFmtId="0" fontId="56" fillId="4" borderId="0" xfId="0" applyFont="1" applyFill="1" applyProtection="1">
      <protection hidden="1"/>
    </xf>
    <xf numFmtId="0" fontId="56" fillId="4" borderId="6" xfId="0" applyFont="1" applyFill="1" applyBorder="1" applyProtection="1">
      <protection hidden="1"/>
    </xf>
    <xf numFmtId="0" fontId="55" fillId="4" borderId="0" xfId="0" applyFont="1" applyFill="1" applyAlignment="1" applyProtection="1">
      <alignment wrapText="1"/>
      <protection hidden="1"/>
    </xf>
    <xf numFmtId="0" fontId="55" fillId="4" borderId="18" xfId="0" applyFont="1" applyFill="1" applyBorder="1" applyProtection="1">
      <protection hidden="1"/>
    </xf>
    <xf numFmtId="0" fontId="55" fillId="4" borderId="1" xfId="0" applyFont="1" applyFill="1" applyBorder="1" applyProtection="1">
      <protection hidden="1"/>
    </xf>
    <xf numFmtId="0" fontId="0" fillId="4" borderId="12" xfId="0" applyFill="1" applyBorder="1" applyAlignment="1" applyProtection="1">
      <alignment horizontal="center"/>
      <protection hidden="1"/>
    </xf>
    <xf numFmtId="0" fontId="48" fillId="0" borderId="0" xfId="0" applyFont="1" applyProtection="1">
      <protection hidden="1"/>
    </xf>
    <xf numFmtId="0" fontId="0" fillId="0" borderId="13" xfId="0" applyBorder="1" applyProtection="1">
      <protection hidden="1"/>
    </xf>
    <xf numFmtId="0" fontId="0" fillId="4" borderId="13" xfId="0" applyFill="1" applyBorder="1" applyProtection="1">
      <protection hidden="1"/>
    </xf>
    <xf numFmtId="0" fontId="0" fillId="4" borderId="13" xfId="0" applyFill="1" applyBorder="1" applyAlignment="1" applyProtection="1">
      <alignment horizontal="center" wrapText="1"/>
      <protection hidden="1"/>
    </xf>
    <xf numFmtId="0" fontId="6" fillId="4" borderId="13" xfId="0" applyFont="1" applyFill="1" applyBorder="1" applyAlignment="1" applyProtection="1">
      <alignment wrapText="1"/>
      <protection hidden="1"/>
    </xf>
    <xf numFmtId="0" fontId="20" fillId="4" borderId="29" xfId="0" applyFont="1" applyFill="1" applyBorder="1" applyAlignment="1">
      <alignment horizontal="center"/>
    </xf>
    <xf numFmtId="0" fontId="10" fillId="0" borderId="0" xfId="0" applyFont="1" applyAlignment="1" applyProtection="1">
      <alignment horizontal="right"/>
      <protection hidden="1"/>
    </xf>
    <xf numFmtId="0" fontId="19" fillId="0" borderId="6" xfId="0" applyFont="1" applyBorder="1" applyProtection="1">
      <protection hidden="1"/>
    </xf>
    <xf numFmtId="0" fontId="6" fillId="0" borderId="2" xfId="0" applyFont="1" applyBorder="1" applyAlignment="1" applyProtection="1">
      <alignment horizontal="left"/>
      <protection hidden="1"/>
    </xf>
    <xf numFmtId="0" fontId="6" fillId="0" borderId="1" xfId="0" applyFont="1" applyBorder="1" applyAlignment="1" applyProtection="1">
      <alignment horizontal="left"/>
      <protection hidden="1"/>
    </xf>
    <xf numFmtId="0" fontId="6" fillId="0" borderId="3" xfId="0" applyFont="1" applyBorder="1" applyAlignment="1" applyProtection="1">
      <alignment horizontal="left"/>
      <protection hidden="1"/>
    </xf>
    <xf numFmtId="0" fontId="52" fillId="0" borderId="2" xfId="0" applyFont="1" applyBorder="1" applyProtection="1">
      <protection hidden="1"/>
    </xf>
    <xf numFmtId="0" fontId="52" fillId="0" borderId="1" xfId="0" applyFont="1" applyBorder="1" applyProtection="1">
      <protection hidden="1"/>
    </xf>
    <xf numFmtId="0" fontId="52" fillId="0" borderId="3" xfId="0" applyFont="1" applyBorder="1" applyProtection="1">
      <protection hidden="1"/>
    </xf>
    <xf numFmtId="0" fontId="6" fillId="0" borderId="2" xfId="0" applyFont="1" applyBorder="1" applyProtection="1">
      <protection hidden="1"/>
    </xf>
    <xf numFmtId="0" fontId="6" fillId="0" borderId="1" xfId="0" applyFont="1" applyBorder="1" applyProtection="1">
      <protection hidden="1"/>
    </xf>
    <xf numFmtId="0" fontId="6" fillId="0" borderId="3" xfId="0" applyFont="1" applyBorder="1" applyProtection="1">
      <protection hidden="1"/>
    </xf>
    <xf numFmtId="14" fontId="23" fillId="0" borderId="0" xfId="0" applyNumberFormat="1" applyFont="1" applyAlignment="1" applyProtection="1">
      <alignment horizontal="left"/>
      <protection hidden="1"/>
    </xf>
    <xf numFmtId="0" fontId="6" fillId="0" borderId="0" xfId="0" applyFont="1" applyAlignment="1" applyProtection="1">
      <alignment horizontal="right" vertical="top"/>
      <protection hidden="1"/>
    </xf>
    <xf numFmtId="0" fontId="43" fillId="0" borderId="1" xfId="0" applyFont="1" applyBorder="1" applyProtection="1">
      <protection hidden="1"/>
    </xf>
    <xf numFmtId="0" fontId="6" fillId="0" borderId="0" xfId="0" applyFont="1" applyAlignment="1" applyProtection="1">
      <alignment horizontal="left"/>
      <protection hidden="1"/>
    </xf>
    <xf numFmtId="0" fontId="6" fillId="0" borderId="0" xfId="0" applyFont="1" applyAlignment="1" applyProtection="1">
      <alignment vertical="top"/>
      <protection hidden="1"/>
    </xf>
    <xf numFmtId="0" fontId="6" fillId="0" borderId="6" xfId="0" applyFont="1" applyBorder="1" applyProtection="1">
      <protection hidden="1"/>
    </xf>
    <xf numFmtId="0" fontId="0" fillId="0" borderId="1" xfId="0" applyBorder="1" applyProtection="1">
      <protection hidden="1"/>
    </xf>
    <xf numFmtId="0" fontId="6" fillId="0" borderId="1" xfId="0" applyFont="1" applyBorder="1" applyAlignment="1" applyProtection="1">
      <alignment horizontal="center"/>
      <protection hidden="1"/>
    </xf>
    <xf numFmtId="0" fontId="34" fillId="0" borderId="1" xfId="0" applyFont="1" applyBorder="1" applyProtection="1">
      <protection hidden="1"/>
    </xf>
    <xf numFmtId="0" fontId="0" fillId="0" borderId="3" xfId="0" applyBorder="1" applyProtection="1">
      <protection hidden="1"/>
    </xf>
    <xf numFmtId="0" fontId="6" fillId="0" borderId="5" xfId="0" applyFont="1" applyBorder="1" applyProtection="1">
      <protection hidden="1"/>
    </xf>
    <xf numFmtId="0" fontId="34" fillId="0" borderId="6" xfId="0" applyFont="1" applyBorder="1" applyProtection="1">
      <protection hidden="1"/>
    </xf>
    <xf numFmtId="168" fontId="51" fillId="0" borderId="0" xfId="0" applyNumberFormat="1" applyFont="1" applyAlignment="1" applyProtection="1">
      <alignment horizontal="left"/>
      <protection hidden="1"/>
    </xf>
    <xf numFmtId="0" fontId="19" fillId="0" borderId="1" xfId="0" applyFont="1" applyBorder="1" applyProtection="1">
      <protection hidden="1"/>
    </xf>
    <xf numFmtId="0" fontId="47" fillId="0" borderId="1" xfId="0" applyFont="1" applyBorder="1" applyProtection="1">
      <protection hidden="1"/>
    </xf>
    <xf numFmtId="0" fontId="6" fillId="0" borderId="6" xfId="0" applyFont="1" applyBorder="1" applyAlignment="1" applyProtection="1">
      <alignment horizontal="right" vertical="top"/>
      <protection hidden="1"/>
    </xf>
    <xf numFmtId="0" fontId="0" fillId="0" borderId="0" xfId="0" applyAlignment="1" applyProtection="1">
      <alignment horizontal="left" indent="1"/>
      <protection hidden="1"/>
    </xf>
    <xf numFmtId="0" fontId="0" fillId="7" borderId="0" xfId="0" applyFill="1" applyAlignment="1" applyProtection="1">
      <alignment horizontal="left" indent="1"/>
      <protection hidden="1"/>
    </xf>
    <xf numFmtId="0" fontId="6" fillId="0" borderId="2" xfId="0" applyFont="1" applyBorder="1" applyAlignment="1" applyProtection="1">
      <alignment horizontal="left" vertical="top"/>
      <protection hidden="1"/>
    </xf>
    <xf numFmtId="0" fontId="6" fillId="0" borderId="1" xfId="0" applyFont="1" applyBorder="1" applyAlignment="1" applyProtection="1">
      <alignment horizontal="left" vertical="top"/>
      <protection hidden="1"/>
    </xf>
    <xf numFmtId="0" fontId="34" fillId="0" borderId="3" xfId="0" applyFont="1" applyBorder="1" applyProtection="1">
      <protection hidden="1"/>
    </xf>
    <xf numFmtId="0" fontId="6" fillId="0" borderId="1" xfId="0" applyFont="1" applyBorder="1" applyAlignment="1" applyProtection="1">
      <alignment vertical="top"/>
      <protection hidden="1"/>
    </xf>
    <xf numFmtId="0" fontId="16" fillId="0" borderId="7" xfId="0" applyFont="1" applyBorder="1" applyAlignment="1" applyProtection="1">
      <alignment horizontal="center" vertical="center"/>
      <protection hidden="1"/>
    </xf>
    <xf numFmtId="0" fontId="10" fillId="0" borderId="0" xfId="0" applyFont="1" applyAlignment="1" applyProtection="1">
      <alignment horizontal="left"/>
      <protection hidden="1"/>
    </xf>
    <xf numFmtId="0" fontId="0" fillId="0" borderId="12" xfId="0" applyBorder="1" applyAlignment="1" applyProtection="1">
      <alignment horizontal="center"/>
      <protection hidden="1"/>
    </xf>
    <xf numFmtId="164" fontId="6" fillId="0" borderId="0" xfId="0" applyNumberFormat="1" applyFont="1" applyProtection="1">
      <protection hidden="1"/>
    </xf>
    <xf numFmtId="0" fontId="0" fillId="0" borderId="12" xfId="0" applyBorder="1" applyProtection="1">
      <protection hidden="1"/>
    </xf>
    <xf numFmtId="0" fontId="0" fillId="0" borderId="13" xfId="0" applyBorder="1" applyAlignment="1" applyProtection="1">
      <alignment horizontal="center" wrapText="1"/>
      <protection hidden="1"/>
    </xf>
    <xf numFmtId="0" fontId="6" fillId="0" borderId="13" xfId="0" applyFont="1" applyBorder="1" applyAlignment="1" applyProtection="1">
      <alignment wrapText="1"/>
      <protection hidden="1"/>
    </xf>
    <xf numFmtId="0" fontId="25" fillId="0" borderId="0" xfId="0" applyFont="1" applyProtection="1">
      <protection hidden="1"/>
    </xf>
    <xf numFmtId="165" fontId="6" fillId="0" borderId="18" xfId="0" applyNumberFormat="1" applyFont="1" applyBorder="1" applyAlignment="1" applyProtection="1">
      <alignment horizontal="center"/>
      <protection hidden="1"/>
    </xf>
    <xf numFmtId="0" fontId="6" fillId="0" borderId="0" xfId="0" applyFont="1" applyAlignment="1">
      <alignment horizontal="center"/>
    </xf>
    <xf numFmtId="0" fontId="5" fillId="0" borderId="10" xfId="0" applyFont="1" applyBorder="1" applyProtection="1">
      <protection hidden="1"/>
    </xf>
    <xf numFmtId="0" fontId="6" fillId="0" borderId="10" xfId="0" applyFont="1" applyBorder="1" applyProtection="1">
      <protection hidden="1"/>
    </xf>
    <xf numFmtId="0" fontId="5" fillId="0" borderId="10" xfId="0" applyFont="1" applyBorder="1" applyAlignment="1" applyProtection="1">
      <alignment wrapText="1"/>
      <protection hidden="1"/>
    </xf>
    <xf numFmtId="0" fontId="58" fillId="0" borderId="0" xfId="0" applyFont="1" applyProtection="1">
      <protection hidden="1"/>
    </xf>
    <xf numFmtId="0" fontId="6" fillId="0" borderId="0" xfId="0" applyFont="1" applyAlignment="1" applyProtection="1">
      <alignment vertical="center"/>
      <protection hidden="1"/>
    </xf>
    <xf numFmtId="0" fontId="22" fillId="0" borderId="10" xfId="0" applyFont="1" applyBorder="1" applyAlignment="1" applyProtection="1">
      <alignment horizontal="center"/>
      <protection hidden="1"/>
    </xf>
    <xf numFmtId="0" fontId="6" fillId="0" borderId="0" xfId="0" applyFont="1" applyAlignment="1" applyProtection="1">
      <alignment horizontal="center" wrapText="1"/>
      <protection hidden="1"/>
    </xf>
    <xf numFmtId="0" fontId="10" fillId="0" borderId="6" xfId="0" applyFont="1" applyBorder="1" applyAlignment="1" applyProtection="1">
      <alignment horizontal="center" vertical="top"/>
      <protection hidden="1"/>
    </xf>
    <xf numFmtId="0" fontId="5" fillId="0" borderId="3" xfId="0" applyFont="1" applyBorder="1" applyProtection="1">
      <protection hidden="1"/>
    </xf>
    <xf numFmtId="0" fontId="6" fillId="0" borderId="0" xfId="0" applyFont="1" applyAlignment="1" applyProtection="1">
      <alignment horizontal="center" vertical="center"/>
      <protection hidden="1"/>
    </xf>
    <xf numFmtId="0" fontId="6" fillId="0" borderId="0" xfId="0" applyFont="1" applyAlignment="1" applyProtection="1">
      <alignment horizontal="left" vertical="center"/>
      <protection hidden="1"/>
    </xf>
    <xf numFmtId="3" fontId="6" fillId="0" borderId="0" xfId="0" applyNumberFormat="1" applyFont="1" applyAlignment="1" applyProtection="1">
      <alignment horizontal="right"/>
      <protection hidden="1"/>
    </xf>
    <xf numFmtId="0" fontId="6" fillId="0" borderId="6" xfId="0" applyFont="1" applyBorder="1" applyAlignment="1">
      <alignment horizontal="center"/>
    </xf>
    <xf numFmtId="0" fontId="6" fillId="0" borderId="18" xfId="0" applyFont="1" applyBorder="1" applyAlignment="1">
      <alignment horizontal="center"/>
    </xf>
    <xf numFmtId="0" fontId="6" fillId="0" borderId="0" xfId="0" applyFont="1" applyAlignment="1" applyProtection="1">
      <alignment horizontal="center" vertical="center" wrapText="1"/>
      <protection hidden="1"/>
    </xf>
    <xf numFmtId="0" fontId="0" fillId="0" borderId="6" xfId="0" applyBorder="1" applyAlignment="1" applyProtection="1">
      <alignment horizontal="left"/>
      <protection hidden="1"/>
    </xf>
    <xf numFmtId="0" fontId="0" fillId="0" borderId="8" xfId="0" applyBorder="1" applyAlignment="1" applyProtection="1">
      <alignment horizontal="left"/>
      <protection hidden="1"/>
    </xf>
    <xf numFmtId="14" fontId="54" fillId="0" borderId="6" xfId="0" applyNumberFormat="1" applyFont="1" applyBorder="1" applyAlignment="1">
      <alignment horizontal="left" vertical="center"/>
    </xf>
    <xf numFmtId="14" fontId="54" fillId="0" borderId="8" xfId="0" applyNumberFormat="1" applyFont="1" applyBorder="1" applyAlignment="1">
      <alignment horizontal="left" vertical="center"/>
    </xf>
    <xf numFmtId="14" fontId="44" fillId="0" borderId="0" xfId="0" applyNumberFormat="1" applyFont="1" applyAlignment="1" applyProtection="1">
      <alignment horizontal="right" wrapText="1"/>
      <protection hidden="1"/>
    </xf>
    <xf numFmtId="0" fontId="0" fillId="16" borderId="0" xfId="0" applyFill="1" applyProtection="1">
      <protection hidden="1"/>
    </xf>
    <xf numFmtId="0" fontId="0" fillId="17" borderId="9" xfId="0" applyFill="1" applyBorder="1" applyProtection="1">
      <protection locked="0" hidden="1"/>
    </xf>
    <xf numFmtId="0" fontId="5" fillId="14" borderId="2" xfId="4" applyFill="1" applyBorder="1" applyAlignment="1" applyProtection="1">
      <alignment horizontal="center"/>
      <protection hidden="1"/>
    </xf>
    <xf numFmtId="0" fontId="5" fillId="14" borderId="9" xfId="4" applyFill="1" applyBorder="1" applyProtection="1">
      <protection hidden="1"/>
    </xf>
    <xf numFmtId="170" fontId="6" fillId="14" borderId="9" xfId="4" applyNumberFormat="1" applyFont="1" applyFill="1" applyBorder="1" applyProtection="1">
      <protection hidden="1"/>
    </xf>
    <xf numFmtId="170" fontId="5" fillId="14" borderId="9" xfId="4" applyNumberFormat="1" applyFill="1" applyBorder="1" applyProtection="1">
      <protection hidden="1"/>
    </xf>
    <xf numFmtId="169" fontId="5" fillId="14" borderId="9" xfId="4" applyNumberFormat="1" applyFill="1" applyBorder="1" applyAlignment="1" applyProtection="1">
      <alignment horizontal="center"/>
      <protection hidden="1"/>
    </xf>
    <xf numFmtId="4" fontId="6" fillId="14" borderId="9" xfId="4" applyNumberFormat="1" applyFont="1" applyFill="1" applyBorder="1" applyProtection="1">
      <protection hidden="1"/>
    </xf>
    <xf numFmtId="0" fontId="3" fillId="0" borderId="0" xfId="24"/>
    <xf numFmtId="0" fontId="6" fillId="0" borderId="0" xfId="4" applyFont="1" applyAlignment="1" applyProtection="1">
      <alignment horizontal="center"/>
      <protection hidden="1"/>
    </xf>
    <xf numFmtId="0" fontId="6" fillId="0" borderId="0" xfId="4" quotePrefix="1" applyFont="1" applyAlignment="1" applyProtection="1">
      <alignment horizontal="right"/>
      <protection hidden="1"/>
    </xf>
    <xf numFmtId="0" fontId="5" fillId="14" borderId="1" xfId="4" applyFill="1" applyBorder="1" applyAlignment="1" applyProtection="1">
      <alignment horizontal="center" wrapText="1"/>
      <protection hidden="1"/>
    </xf>
    <xf numFmtId="0" fontId="5" fillId="14" borderId="3" xfId="4" applyFill="1" applyBorder="1" applyAlignment="1" applyProtection="1">
      <alignment horizontal="center" wrapText="1"/>
      <protection hidden="1"/>
    </xf>
    <xf numFmtId="0" fontId="5" fillId="14" borderId="9" xfId="0" applyFont="1" applyFill="1" applyBorder="1" applyProtection="1">
      <protection hidden="1"/>
    </xf>
    <xf numFmtId="0" fontId="10" fillId="0" borderId="6" xfId="0" applyFont="1" applyBorder="1" applyAlignment="1" applyProtection="1">
      <alignment horizontal="center"/>
      <protection hidden="1"/>
    </xf>
    <xf numFmtId="2" fontId="6" fillId="4" borderId="6" xfId="0" applyNumberFormat="1" applyFont="1" applyFill="1" applyBorder="1" applyAlignment="1" applyProtection="1">
      <alignment horizontal="center"/>
      <protection hidden="1"/>
    </xf>
    <xf numFmtId="0" fontId="10" fillId="12" borderId="6" xfId="0" applyFont="1" applyFill="1" applyBorder="1" applyProtection="1">
      <protection hidden="1"/>
    </xf>
    <xf numFmtId="0" fontId="5" fillId="14" borderId="6" xfId="4" applyFill="1" applyBorder="1" applyProtection="1">
      <protection hidden="1"/>
    </xf>
    <xf numFmtId="171" fontId="9" fillId="9" borderId="6" xfId="4" applyNumberFormat="1" applyFont="1" applyFill="1" applyBorder="1" applyProtection="1">
      <protection hidden="1"/>
    </xf>
    <xf numFmtId="0" fontId="10" fillId="3" borderId="6" xfId="24" applyFont="1" applyFill="1" applyBorder="1" applyAlignment="1">
      <alignment horizontal="left"/>
    </xf>
    <xf numFmtId="0" fontId="5" fillId="3" borderId="6" xfId="24" applyFont="1" applyFill="1" applyBorder="1" applyAlignment="1">
      <alignment horizontal="left"/>
    </xf>
    <xf numFmtId="0" fontId="51" fillId="3" borderId="0" xfId="25" applyFont="1" applyFill="1" applyAlignment="1">
      <alignment horizontal="left"/>
    </xf>
    <xf numFmtId="0" fontId="3" fillId="3" borderId="0" xfId="24" applyFill="1" applyAlignment="1">
      <alignment horizontal="left"/>
    </xf>
    <xf numFmtId="0" fontId="5" fillId="3" borderId="0" xfId="24" applyFont="1" applyFill="1" applyAlignment="1">
      <alignment horizontal="left"/>
    </xf>
    <xf numFmtId="0" fontId="5" fillId="3" borderId="0" xfId="26" applyFont="1" applyFill="1"/>
    <xf numFmtId="0" fontId="5" fillId="3" borderId="0" xfId="27" applyFont="1" applyFill="1"/>
    <xf numFmtId="0" fontId="5" fillId="3" borderId="0" xfId="28" applyFont="1" applyFill="1"/>
    <xf numFmtId="0" fontId="5" fillId="3" borderId="0" xfId="25" applyFont="1" applyFill="1"/>
    <xf numFmtId="0" fontId="0" fillId="10" borderId="0" xfId="0" applyFill="1" applyAlignment="1" applyProtection="1">
      <alignment horizontal="center"/>
      <protection hidden="1"/>
    </xf>
    <xf numFmtId="0" fontId="10" fillId="10" borderId="6" xfId="0" applyFont="1" applyFill="1" applyBorder="1" applyAlignment="1" applyProtection="1">
      <alignment horizontal="center"/>
      <protection hidden="1"/>
    </xf>
    <xf numFmtId="0" fontId="10" fillId="10" borderId="6" xfId="4" applyFont="1" applyFill="1" applyBorder="1" applyAlignment="1" applyProtection="1">
      <alignment horizontal="left"/>
      <protection hidden="1"/>
    </xf>
    <xf numFmtId="14" fontId="6" fillId="0" borderId="0" xfId="0" applyNumberFormat="1" applyFont="1" applyAlignment="1" applyProtection="1">
      <alignment horizontal="left" vertical="top"/>
      <protection hidden="1"/>
    </xf>
    <xf numFmtId="0" fontId="24" fillId="0" borderId="0" xfId="0" applyFont="1" applyAlignment="1" applyProtection="1">
      <alignment horizontal="right" vertical="top"/>
      <protection hidden="1"/>
    </xf>
    <xf numFmtId="14" fontId="10" fillId="0" borderId="6" xfId="0" applyNumberFormat="1" applyFont="1" applyBorder="1" applyAlignment="1" applyProtection="1">
      <alignment horizontal="center"/>
      <protection hidden="1"/>
    </xf>
    <xf numFmtId="0" fontId="6" fillId="2" borderId="9" xfId="0" applyFont="1" applyFill="1" applyBorder="1" applyAlignment="1" applyProtection="1">
      <alignment wrapText="1"/>
      <protection locked="0" hidden="1"/>
    </xf>
    <xf numFmtId="0" fontId="34" fillId="4" borderId="0" xfId="0" quotePrefix="1" applyFont="1" applyFill="1" applyAlignment="1" applyProtection="1">
      <alignment vertical="top"/>
      <protection hidden="1"/>
    </xf>
    <xf numFmtId="0" fontId="34" fillId="0" borderId="0" xfId="0" applyFont="1" applyAlignment="1" applyProtection="1">
      <alignment vertical="top"/>
      <protection hidden="1"/>
    </xf>
    <xf numFmtId="0" fontId="52" fillId="4" borderId="0" xfId="0" applyFont="1" applyFill="1" applyProtection="1">
      <protection hidden="1"/>
    </xf>
    <xf numFmtId="0" fontId="20" fillId="4" borderId="0" xfId="0" applyFont="1" applyFill="1" applyProtection="1">
      <protection hidden="1"/>
    </xf>
    <xf numFmtId="0" fontId="5" fillId="0" borderId="0" xfId="0" applyFont="1" applyAlignment="1" applyProtection="1">
      <alignment horizontal="left"/>
      <protection hidden="1"/>
    </xf>
    <xf numFmtId="0" fontId="5" fillId="0" borderId="0" xfId="4"/>
    <xf numFmtId="0" fontId="5" fillId="18" borderId="0" xfId="4" applyFill="1"/>
    <xf numFmtId="0" fontId="5" fillId="0" borderId="0" xfId="4" applyAlignment="1">
      <alignment wrapText="1"/>
    </xf>
    <xf numFmtId="0" fontId="10" fillId="0" borderId="6" xfId="4" applyFont="1" applyBorder="1" applyAlignment="1">
      <alignment horizontal="center"/>
    </xf>
    <xf numFmtId="0" fontId="10" fillId="0" borderId="0" xfId="4" applyFont="1"/>
    <xf numFmtId="0" fontId="5" fillId="0" borderId="0" xfId="4" applyAlignment="1">
      <alignment vertical="center"/>
    </xf>
    <xf numFmtId="0" fontId="5" fillId="15" borderId="2" xfId="4" applyFill="1" applyBorder="1"/>
    <xf numFmtId="0" fontId="5" fillId="15" borderId="1" xfId="4" applyFill="1" applyBorder="1"/>
    <xf numFmtId="0" fontId="5" fillId="0" borderId="36" xfId="4" applyBorder="1"/>
    <xf numFmtId="0" fontId="5" fillId="15" borderId="7" xfId="4" applyFill="1" applyBorder="1"/>
    <xf numFmtId="0" fontId="5" fillId="15" borderId="6" xfId="4" applyFill="1" applyBorder="1"/>
    <xf numFmtId="0" fontId="5" fillId="0" borderId="32" xfId="4" applyBorder="1"/>
    <xf numFmtId="0" fontId="5" fillId="0" borderId="9" xfId="4" applyBorder="1"/>
    <xf numFmtId="0" fontId="5" fillId="15" borderId="9" xfId="4" applyFill="1" applyBorder="1"/>
    <xf numFmtId="0" fontId="5" fillId="0" borderId="9" xfId="4" applyBorder="1" applyAlignment="1">
      <alignment horizontal="center"/>
    </xf>
    <xf numFmtId="0" fontId="5" fillId="0" borderId="2" xfId="4" applyBorder="1"/>
    <xf numFmtId="0" fontId="5" fillId="0" borderId="5" xfId="4" applyBorder="1"/>
    <xf numFmtId="0" fontId="5" fillId="0" borderId="29" xfId="4" applyBorder="1"/>
    <xf numFmtId="0" fontId="5" fillId="0" borderId="7" xfId="4" applyBorder="1"/>
    <xf numFmtId="0" fontId="5" fillId="0" borderId="9" xfId="4" applyBorder="1" applyAlignment="1">
      <alignment vertical="center" wrapText="1"/>
    </xf>
    <xf numFmtId="0" fontId="60" fillId="4" borderId="0" xfId="0" applyFont="1" applyFill="1" applyAlignment="1" applyProtection="1">
      <alignment horizontal="center"/>
      <protection hidden="1"/>
    </xf>
    <xf numFmtId="0" fontId="6" fillId="4" borderId="1" xfId="0" applyFont="1" applyFill="1" applyBorder="1" applyAlignment="1" applyProtection="1">
      <alignment horizontal="centerContinuous"/>
      <protection hidden="1"/>
    </xf>
    <xf numFmtId="0" fontId="34" fillId="0" borderId="0" xfId="0" quotePrefix="1" applyFont="1" applyAlignment="1" applyProtection="1">
      <alignment vertical="top"/>
      <protection hidden="1"/>
    </xf>
    <xf numFmtId="0" fontId="19" fillId="0" borderId="0" xfId="0" applyFont="1" applyAlignment="1" applyProtection="1">
      <alignment horizontal="left" wrapText="1"/>
      <protection hidden="1"/>
    </xf>
    <xf numFmtId="0" fontId="19" fillId="7" borderId="0" xfId="0" applyFont="1" applyFill="1" applyAlignment="1" applyProtection="1">
      <alignment wrapText="1"/>
      <protection hidden="1"/>
    </xf>
    <xf numFmtId="0" fontId="24" fillId="0" borderId="0" xfId="0" applyFont="1" applyAlignment="1" applyProtection="1">
      <alignment wrapText="1"/>
      <protection hidden="1"/>
    </xf>
    <xf numFmtId="0" fontId="63" fillId="0" borderId="0" xfId="0" applyFont="1" applyAlignment="1" applyProtection="1">
      <alignment vertical="top" wrapText="1"/>
      <protection hidden="1"/>
    </xf>
    <xf numFmtId="0" fontId="5" fillId="14" borderId="0" xfId="4" applyFill="1" applyAlignment="1" applyProtection="1">
      <alignment horizontal="right"/>
      <protection locked="0" hidden="1"/>
    </xf>
    <xf numFmtId="0" fontId="5" fillId="14" borderId="0" xfId="4" applyFill="1" applyProtection="1">
      <protection locked="0" hidden="1"/>
    </xf>
    <xf numFmtId="49" fontId="5" fillId="14" borderId="0" xfId="4" applyNumberFormat="1" applyFill="1" applyProtection="1">
      <protection locked="0" hidden="1"/>
    </xf>
    <xf numFmtId="171" fontId="9" fillId="3" borderId="6" xfId="4" applyNumberFormat="1" applyFont="1" applyFill="1" applyBorder="1" applyProtection="1">
      <protection locked="0" hidden="1"/>
    </xf>
    <xf numFmtId="171" fontId="12" fillId="3" borderId="0" xfId="4" applyNumberFormat="1" applyFont="1" applyFill="1" applyProtection="1">
      <protection locked="0" hidden="1"/>
    </xf>
    <xf numFmtId="0" fontId="5" fillId="3" borderId="0" xfId="4" applyFill="1" applyProtection="1">
      <protection locked="0" hidden="1"/>
    </xf>
    <xf numFmtId="0" fontId="5" fillId="10" borderId="0" xfId="4" applyFill="1" applyProtection="1">
      <protection locked="0" hidden="1"/>
    </xf>
    <xf numFmtId="0" fontId="10" fillId="14" borderId="6" xfId="4" applyFont="1" applyFill="1" applyBorder="1" applyProtection="1">
      <protection locked="0" hidden="1"/>
    </xf>
    <xf numFmtId="0" fontId="20" fillId="4" borderId="0" xfId="0" applyFont="1" applyFill="1" applyAlignment="1" applyProtection="1">
      <alignment horizontal="right"/>
      <protection hidden="1"/>
    </xf>
    <xf numFmtId="166" fontId="6" fillId="4" borderId="0" xfId="0" applyNumberFormat="1" applyFont="1" applyFill="1" applyAlignment="1" applyProtection="1">
      <alignment horizontal="center"/>
      <protection hidden="1"/>
    </xf>
    <xf numFmtId="0" fontId="5" fillId="9" borderId="0" xfId="4" applyFill="1" applyProtection="1">
      <protection hidden="1"/>
    </xf>
    <xf numFmtId="0" fontId="59" fillId="4" borderId="0" xfId="21" applyFill="1" applyAlignment="1" applyProtection="1">
      <alignment wrapText="1"/>
      <protection hidden="1"/>
    </xf>
    <xf numFmtId="0" fontId="64" fillId="0" borderId="0" xfId="0" applyFont="1" applyAlignment="1" applyProtection="1">
      <alignment wrapText="1"/>
      <protection hidden="1"/>
    </xf>
    <xf numFmtId="0" fontId="10" fillId="0" borderId="38" xfId="0" applyFont="1" applyBorder="1" applyProtection="1">
      <protection hidden="1"/>
    </xf>
    <xf numFmtId="0" fontId="0" fillId="0" borderId="11" xfId="0" applyBorder="1" applyAlignment="1" applyProtection="1">
      <alignment horizontal="center"/>
      <protection hidden="1"/>
    </xf>
    <xf numFmtId="0" fontId="5" fillId="0" borderId="11" xfId="0" applyFont="1" applyBorder="1" applyProtection="1">
      <protection hidden="1"/>
    </xf>
    <xf numFmtId="0" fontId="5" fillId="0" borderId="0" xfId="0" quotePrefix="1" applyFont="1" applyProtection="1">
      <protection hidden="1"/>
    </xf>
    <xf numFmtId="0" fontId="5" fillId="0" borderId="0" xfId="0" applyFont="1" applyAlignment="1" applyProtection="1">
      <alignment horizontal="center" wrapText="1"/>
      <protection hidden="1"/>
    </xf>
    <xf numFmtId="0" fontId="5" fillId="3" borderId="0" xfId="0" applyFont="1" applyFill="1" applyProtection="1">
      <protection hidden="1"/>
    </xf>
    <xf numFmtId="0" fontId="6" fillId="4" borderId="11" xfId="0" applyFont="1" applyFill="1" applyBorder="1" applyAlignment="1" applyProtection="1">
      <alignment horizontal="center" vertical="center"/>
      <protection hidden="1"/>
    </xf>
    <xf numFmtId="0" fontId="6" fillId="4" borderId="0" xfId="0" applyFont="1" applyFill="1" applyAlignment="1" applyProtection="1">
      <alignment horizontal="center" vertical="center" wrapText="1"/>
      <protection locked="0"/>
    </xf>
    <xf numFmtId="3" fontId="23" fillId="0" borderId="0" xfId="0" applyNumberFormat="1" applyFont="1" applyAlignment="1">
      <alignment horizontal="center"/>
    </xf>
    <xf numFmtId="0" fontId="6" fillId="4" borderId="6" xfId="0" applyFont="1" applyFill="1" applyBorder="1" applyAlignment="1" applyProtection="1">
      <alignment horizontal="center"/>
      <protection hidden="1"/>
    </xf>
    <xf numFmtId="0" fontId="6" fillId="4" borderId="1" xfId="0" applyFont="1" applyFill="1" applyBorder="1" applyAlignment="1" applyProtection="1">
      <alignment horizontal="right"/>
      <protection hidden="1"/>
    </xf>
    <xf numFmtId="0" fontId="6" fillId="4" borderId="6" xfId="0" applyFont="1" applyFill="1" applyBorder="1" applyAlignment="1" applyProtection="1">
      <alignment horizontal="right"/>
      <protection hidden="1"/>
    </xf>
    <xf numFmtId="0" fontId="6" fillId="4" borderId="6" xfId="0" applyFont="1" applyFill="1" applyBorder="1" applyAlignment="1" applyProtection="1">
      <alignment horizontal="left"/>
      <protection hidden="1"/>
    </xf>
    <xf numFmtId="3" fontId="43" fillId="4" borderId="1" xfId="0" applyNumberFormat="1" applyFont="1" applyFill="1" applyBorder="1" applyAlignment="1" applyProtection="1">
      <alignment horizontal="right"/>
      <protection hidden="1"/>
    </xf>
    <xf numFmtId="0" fontId="5" fillId="4" borderId="6" xfId="0" applyFont="1" applyFill="1" applyBorder="1" applyAlignment="1" applyProtection="1">
      <alignment horizontal="center" vertical="top"/>
      <protection hidden="1"/>
    </xf>
    <xf numFmtId="0" fontId="51" fillId="0" borderId="29" xfId="29" applyFont="1" applyBorder="1"/>
    <xf numFmtId="0" fontId="5" fillId="4" borderId="0" xfId="0" applyFont="1" applyFill="1" applyAlignment="1" applyProtection="1">
      <alignment horizontal="center" wrapText="1"/>
      <protection hidden="1"/>
    </xf>
    <xf numFmtId="0" fontId="59" fillId="4" borderId="0" xfId="21" applyFill="1" applyAlignment="1" applyProtection="1">
      <alignment wrapText="1"/>
      <protection locked="0" hidden="1"/>
    </xf>
    <xf numFmtId="0" fontId="5" fillId="0" borderId="0" xfId="0" applyFont="1" applyAlignment="1" applyProtection="1">
      <alignment wrapText="1"/>
      <protection hidden="1"/>
    </xf>
    <xf numFmtId="0" fontId="5" fillId="0" borderId="0" xfId="0" applyFont="1"/>
    <xf numFmtId="0" fontId="6" fillId="14" borderId="0" xfId="0" applyFont="1" applyFill="1" applyProtection="1">
      <protection locked="0" hidden="1"/>
    </xf>
    <xf numFmtId="0" fontId="6" fillId="2" borderId="0" xfId="0" applyFont="1" applyFill="1" applyProtection="1">
      <protection locked="0" hidden="1"/>
    </xf>
    <xf numFmtId="0" fontId="6" fillId="16" borderId="0" xfId="0" applyFont="1" applyFill="1" applyProtection="1">
      <protection hidden="1"/>
    </xf>
    <xf numFmtId="0" fontId="6" fillId="0" borderId="0" xfId="0" applyFont="1" applyAlignment="1" applyProtection="1">
      <alignment horizontal="left" indent="1"/>
      <protection hidden="1"/>
    </xf>
    <xf numFmtId="0" fontId="6" fillId="7" borderId="0" xfId="0" applyFont="1" applyFill="1" applyProtection="1">
      <protection hidden="1"/>
    </xf>
    <xf numFmtId="0" fontId="6" fillId="0" borderId="0" xfId="0" applyFont="1" applyProtection="1">
      <protection locked="0" hidden="1"/>
    </xf>
    <xf numFmtId="14" fontId="10" fillId="9" borderId="6" xfId="0" applyNumberFormat="1" applyFont="1" applyFill="1" applyBorder="1" applyAlignment="1" applyProtection="1">
      <alignment wrapText="1"/>
      <protection hidden="1"/>
    </xf>
    <xf numFmtId="0" fontId="43" fillId="4" borderId="0" xfId="0" applyFont="1" applyFill="1" applyAlignment="1" applyProtection="1">
      <alignment horizontal="left" wrapText="1"/>
      <protection hidden="1"/>
    </xf>
    <xf numFmtId="0" fontId="5" fillId="4" borderId="0" xfId="0" applyFont="1" applyFill="1" applyAlignment="1" applyProtection="1">
      <alignment vertical="top" wrapText="1"/>
      <protection hidden="1"/>
    </xf>
    <xf numFmtId="0" fontId="10" fillId="4" borderId="6" xfId="0" applyFont="1" applyFill="1" applyBorder="1" applyProtection="1">
      <protection hidden="1"/>
    </xf>
    <xf numFmtId="0" fontId="10" fillId="20" borderId="6" xfId="0" applyFont="1" applyFill="1" applyBorder="1" applyProtection="1">
      <protection hidden="1"/>
    </xf>
    <xf numFmtId="0" fontId="5" fillId="20" borderId="0" xfId="0" applyFont="1" applyFill="1" applyAlignment="1" applyProtection="1">
      <alignment vertical="top" wrapText="1"/>
      <protection hidden="1"/>
    </xf>
    <xf numFmtId="0" fontId="6" fillId="0" borderId="0" xfId="0" quotePrefix="1" applyFont="1" applyProtection="1">
      <protection hidden="1"/>
    </xf>
    <xf numFmtId="0" fontId="28" fillId="4" borderId="0" xfId="0" applyFont="1" applyFill="1" applyAlignment="1" applyProtection="1">
      <alignment horizontal="left"/>
      <protection hidden="1"/>
    </xf>
    <xf numFmtId="0" fontId="28" fillId="0" borderId="0" xfId="0" applyFont="1" applyAlignment="1" applyProtection="1">
      <alignment horizontal="left"/>
      <protection hidden="1"/>
    </xf>
    <xf numFmtId="0" fontId="24" fillId="4" borderId="0" xfId="0" applyFont="1" applyFill="1" applyAlignment="1" applyProtection="1">
      <alignment horizontal="center"/>
      <protection hidden="1"/>
    </xf>
    <xf numFmtId="0" fontId="19" fillId="4" borderId="0" xfId="0" applyFont="1" applyFill="1" applyAlignment="1" applyProtection="1">
      <alignment horizontal="center"/>
      <protection hidden="1"/>
    </xf>
    <xf numFmtId="0" fontId="19" fillId="0" borderId="0" xfId="0" applyFont="1" applyAlignment="1" applyProtection="1">
      <alignment horizontal="center"/>
      <protection hidden="1"/>
    </xf>
    <xf numFmtId="0" fontId="24" fillId="0" borderId="0" xfId="0" applyFont="1" applyAlignment="1" applyProtection="1">
      <alignment horizontal="center"/>
      <protection hidden="1"/>
    </xf>
    <xf numFmtId="3" fontId="6" fillId="4" borderId="0" xfId="2" applyNumberFormat="1" applyFont="1" applyFill="1" applyBorder="1" applyAlignment="1" applyProtection="1">
      <alignment horizontal="center"/>
      <protection hidden="1"/>
    </xf>
    <xf numFmtId="0" fontId="6" fillId="0" borderId="0" xfId="0" applyFont="1"/>
    <xf numFmtId="0" fontId="6" fillId="0" borderId="0" xfId="0" applyFont="1" applyAlignment="1">
      <alignment horizontal="left"/>
    </xf>
    <xf numFmtId="165" fontId="6" fillId="0" borderId="0" xfId="0" applyNumberFormat="1" applyFont="1" applyAlignment="1" applyProtection="1">
      <alignment horizontal="center"/>
      <protection hidden="1"/>
    </xf>
    <xf numFmtId="3" fontId="6" fillId="0" borderId="0" xfId="2" applyNumberFormat="1" applyFont="1" applyFill="1" applyBorder="1" applyAlignment="1" applyProtection="1">
      <alignment horizontal="center"/>
      <protection hidden="1"/>
    </xf>
    <xf numFmtId="0" fontId="5" fillId="12" borderId="0" xfId="0" applyFont="1" applyFill="1" applyProtection="1">
      <protection hidden="1"/>
    </xf>
    <xf numFmtId="0" fontId="53" fillId="4" borderId="0" xfId="0" applyFont="1" applyFill="1" applyAlignment="1" applyProtection="1">
      <alignment horizontal="center"/>
      <protection hidden="1"/>
    </xf>
    <xf numFmtId="0" fontId="0" fillId="2" borderId="39" xfId="0" applyFill="1" applyBorder="1" applyProtection="1">
      <protection hidden="1"/>
    </xf>
    <xf numFmtId="0" fontId="12" fillId="0" borderId="0" xfId="0" applyFont="1" applyProtection="1">
      <protection hidden="1"/>
    </xf>
    <xf numFmtId="0" fontId="5" fillId="21" borderId="0" xfId="0" applyFont="1" applyFill="1" applyProtection="1">
      <protection hidden="1"/>
    </xf>
    <xf numFmtId="0" fontId="12" fillId="21" borderId="0" xfId="0" applyFont="1" applyFill="1" applyAlignment="1" applyProtection="1">
      <alignment wrapText="1"/>
      <protection hidden="1"/>
    </xf>
    <xf numFmtId="0" fontId="0" fillId="21" borderId="0" xfId="0" applyFill="1" applyProtection="1">
      <protection hidden="1"/>
    </xf>
    <xf numFmtId="14" fontId="10" fillId="22" borderId="6" xfId="0" applyNumberFormat="1" applyFont="1" applyFill="1" applyBorder="1" applyProtection="1">
      <protection hidden="1"/>
    </xf>
    <xf numFmtId="14" fontId="10" fillId="23" borderId="6" xfId="0" applyNumberFormat="1" applyFont="1" applyFill="1" applyBorder="1" applyProtection="1">
      <protection hidden="1"/>
    </xf>
    <xf numFmtId="14" fontId="10" fillId="24" borderId="6" xfId="0" applyNumberFormat="1" applyFont="1" applyFill="1" applyBorder="1" applyProtection="1">
      <protection hidden="1"/>
    </xf>
    <xf numFmtId="0" fontId="10" fillId="25" borderId="6" xfId="0" applyFont="1" applyFill="1" applyBorder="1" applyAlignment="1" applyProtection="1">
      <alignment horizontal="left"/>
      <protection hidden="1"/>
    </xf>
    <xf numFmtId="0" fontId="10" fillId="1" borderId="11" xfId="0" applyFont="1" applyFill="1" applyBorder="1" applyAlignment="1" applyProtection="1">
      <alignment horizontal="left" vertical="center"/>
      <protection hidden="1"/>
    </xf>
    <xf numFmtId="0" fontId="5" fillId="1" borderId="11" xfId="0" applyFont="1" applyFill="1" applyBorder="1" applyAlignment="1" applyProtection="1">
      <alignment horizontal="center"/>
      <protection hidden="1"/>
    </xf>
    <xf numFmtId="0" fontId="5" fillId="1" borderId="0" xfId="0" applyFont="1" applyFill="1" applyProtection="1">
      <protection hidden="1"/>
    </xf>
    <xf numFmtId="0" fontId="0" fillId="1" borderId="0" xfId="0" applyFill="1" applyProtection="1">
      <protection hidden="1"/>
    </xf>
    <xf numFmtId="0" fontId="10" fillId="1" borderId="0" xfId="0" applyFont="1" applyFill="1" applyAlignment="1" applyProtection="1">
      <alignment horizontal="left" vertical="center"/>
      <protection hidden="1"/>
    </xf>
    <xf numFmtId="0" fontId="5" fillId="1" borderId="18" xfId="0" applyFont="1" applyFill="1" applyBorder="1" applyAlignment="1" applyProtection="1">
      <alignment horizontal="center"/>
      <protection hidden="1"/>
    </xf>
    <xf numFmtId="0" fontId="5" fillId="1" borderId="19" xfId="0" applyFont="1" applyFill="1" applyBorder="1" applyAlignment="1" applyProtection="1">
      <alignment horizontal="center"/>
      <protection hidden="1"/>
    </xf>
    <xf numFmtId="0" fontId="5" fillId="1" borderId="7" xfId="0" applyFont="1" applyFill="1" applyBorder="1" applyProtection="1">
      <protection hidden="1"/>
    </xf>
    <xf numFmtId="0" fontId="5" fillId="1" borderId="6" xfId="0" applyFont="1" applyFill="1" applyBorder="1" applyProtection="1">
      <protection hidden="1"/>
    </xf>
    <xf numFmtId="0" fontId="0" fillId="1" borderId="16" xfId="0" applyFill="1" applyBorder="1" applyProtection="1">
      <protection hidden="1"/>
    </xf>
    <xf numFmtId="1" fontId="5" fillId="1" borderId="0" xfId="0" applyNumberFormat="1" applyFont="1" applyFill="1" applyProtection="1">
      <protection hidden="1"/>
    </xf>
    <xf numFmtId="0" fontId="5" fillId="1" borderId="5" xfId="0" applyFont="1" applyFill="1" applyBorder="1" applyProtection="1">
      <protection hidden="1"/>
    </xf>
    <xf numFmtId="0" fontId="0" fillId="26" borderId="0" xfId="0" applyFill="1" applyProtection="1">
      <protection hidden="1"/>
    </xf>
    <xf numFmtId="165" fontId="5" fillId="26" borderId="0" xfId="0" applyNumberFormat="1" applyFont="1" applyFill="1" applyProtection="1">
      <protection hidden="1"/>
    </xf>
    <xf numFmtId="0" fontId="0" fillId="1" borderId="5" xfId="0" applyFill="1" applyBorder="1" applyProtection="1">
      <protection hidden="1"/>
    </xf>
    <xf numFmtId="165" fontId="5" fillId="1" borderId="0" xfId="0" applyNumberFormat="1" applyFont="1" applyFill="1" applyProtection="1">
      <protection hidden="1"/>
    </xf>
    <xf numFmtId="0" fontId="0" fillId="1" borderId="20" xfId="0" applyFill="1" applyBorder="1" applyProtection="1">
      <protection hidden="1"/>
    </xf>
    <xf numFmtId="0" fontId="0" fillId="1" borderId="6" xfId="0" applyFill="1" applyBorder="1" applyProtection="1">
      <protection hidden="1"/>
    </xf>
    <xf numFmtId="0" fontId="0" fillId="1" borderId="7" xfId="0" applyFill="1" applyBorder="1" applyProtection="1">
      <protection hidden="1"/>
    </xf>
    <xf numFmtId="0" fontId="0" fillId="1" borderId="18" xfId="0" applyFill="1" applyBorder="1" applyProtection="1">
      <protection hidden="1"/>
    </xf>
    <xf numFmtId="0" fontId="5" fillId="1" borderId="18" xfId="0" applyFont="1" applyFill="1" applyBorder="1" applyProtection="1">
      <protection hidden="1"/>
    </xf>
    <xf numFmtId="0" fontId="5" fillId="1" borderId="19" xfId="0" applyFont="1" applyFill="1" applyBorder="1" applyProtection="1">
      <protection hidden="1"/>
    </xf>
    <xf numFmtId="0" fontId="5" fillId="26" borderId="0" xfId="0" applyFont="1" applyFill="1" applyProtection="1">
      <protection hidden="1"/>
    </xf>
    <xf numFmtId="0" fontId="0" fillId="1" borderId="17" xfId="0" applyFill="1" applyBorder="1" applyProtection="1">
      <protection hidden="1"/>
    </xf>
    <xf numFmtId="0" fontId="0" fillId="1" borderId="10" xfId="0" applyFill="1" applyBorder="1" applyProtection="1">
      <protection hidden="1"/>
    </xf>
    <xf numFmtId="0" fontId="5" fillId="1" borderId="21" xfId="0" applyFont="1" applyFill="1" applyBorder="1" applyAlignment="1" applyProtection="1">
      <alignment horizontal="center"/>
      <protection hidden="1"/>
    </xf>
    <xf numFmtId="0" fontId="5" fillId="1" borderId="22" xfId="0" applyFont="1" applyFill="1" applyBorder="1" applyAlignment="1" applyProtection="1">
      <alignment horizontal="center"/>
      <protection hidden="1"/>
    </xf>
    <xf numFmtId="0" fontId="0" fillId="1" borderId="21" xfId="0" applyFill="1" applyBorder="1" applyProtection="1">
      <protection hidden="1"/>
    </xf>
    <xf numFmtId="0" fontId="5" fillId="1" borderId="21" xfId="0" applyFont="1" applyFill="1" applyBorder="1" applyProtection="1">
      <protection hidden="1"/>
    </xf>
    <xf numFmtId="0" fontId="5" fillId="1" borderId="22" xfId="0" applyFont="1" applyFill="1" applyBorder="1" applyProtection="1">
      <protection hidden="1"/>
    </xf>
    <xf numFmtId="0" fontId="15" fillId="0" borderId="6" xfId="0" applyFont="1" applyBorder="1" applyProtection="1">
      <protection hidden="1"/>
    </xf>
    <xf numFmtId="0" fontId="5" fillId="13" borderId="0" xfId="0" applyFont="1" applyFill="1" applyAlignment="1" applyProtection="1">
      <alignment horizontal="left"/>
      <protection hidden="1"/>
    </xf>
    <xf numFmtId="0" fontId="5" fillId="0" borderId="0" xfId="0" applyFont="1" applyAlignment="1" applyProtection="1">
      <alignment horizontal="center"/>
      <protection hidden="1"/>
    </xf>
    <xf numFmtId="165" fontId="53" fillId="4" borderId="0" xfId="0" applyNumberFormat="1" applyFont="1" applyFill="1" applyAlignment="1" applyProtection="1">
      <alignment horizontal="center"/>
      <protection hidden="1"/>
    </xf>
    <xf numFmtId="165" fontId="65" fillId="0" borderId="0" xfId="0" applyNumberFormat="1" applyFont="1" applyAlignment="1" applyProtection="1">
      <alignment horizontal="center"/>
      <protection hidden="1"/>
    </xf>
    <xf numFmtId="0" fontId="5" fillId="27" borderId="16" xfId="0" applyFont="1" applyFill="1" applyBorder="1" applyAlignment="1" applyProtection="1">
      <alignment horizontal="center"/>
      <protection hidden="1"/>
    </xf>
    <xf numFmtId="0" fontId="5" fillId="27" borderId="0" xfId="0" applyFont="1" applyFill="1" applyAlignment="1" applyProtection="1">
      <alignment horizontal="center"/>
      <protection hidden="1"/>
    </xf>
    <xf numFmtId="0" fontId="0" fillId="27" borderId="0" xfId="0" applyFill="1" applyAlignment="1" applyProtection="1">
      <alignment horizontal="center"/>
      <protection hidden="1"/>
    </xf>
    <xf numFmtId="0" fontId="0" fillId="27" borderId="13" xfId="0" applyFill="1" applyBorder="1" applyAlignment="1" applyProtection="1">
      <alignment horizontal="center"/>
      <protection hidden="1"/>
    </xf>
    <xf numFmtId="0" fontId="5" fillId="27" borderId="16" xfId="0" applyFont="1" applyFill="1" applyBorder="1" applyProtection="1">
      <protection hidden="1"/>
    </xf>
    <xf numFmtId="0" fontId="5" fillId="27" borderId="1" xfId="0" applyFont="1" applyFill="1" applyBorder="1" applyProtection="1">
      <protection hidden="1"/>
    </xf>
    <xf numFmtId="0" fontId="5" fillId="27" borderId="13" xfId="0" applyFont="1" applyFill="1" applyBorder="1" applyProtection="1">
      <protection hidden="1"/>
    </xf>
    <xf numFmtId="0" fontId="5" fillId="27" borderId="0" xfId="0" applyFont="1" applyFill="1" applyProtection="1">
      <protection hidden="1"/>
    </xf>
    <xf numFmtId="0" fontId="0" fillId="28" borderId="0" xfId="0" applyFill="1" applyAlignment="1" applyProtection="1">
      <alignment horizontal="center"/>
      <protection hidden="1"/>
    </xf>
    <xf numFmtId="0" fontId="0" fillId="13" borderId="0" xfId="0" applyFill="1" applyAlignment="1" applyProtection="1">
      <alignment horizontal="center"/>
      <protection hidden="1"/>
    </xf>
    <xf numFmtId="0" fontId="0" fillId="27" borderId="0" xfId="0" applyFill="1" applyProtection="1">
      <protection hidden="1"/>
    </xf>
    <xf numFmtId="0" fontId="0" fillId="13" borderId="13" xfId="0" applyFill="1" applyBorder="1" applyAlignment="1" applyProtection="1">
      <alignment horizontal="center"/>
      <protection hidden="1"/>
    </xf>
    <xf numFmtId="0" fontId="5" fillId="13" borderId="13" xfId="0" applyFont="1" applyFill="1" applyBorder="1" applyProtection="1">
      <protection hidden="1"/>
    </xf>
    <xf numFmtId="0" fontId="0" fillId="13" borderId="0" xfId="0" applyFill="1" applyProtection="1">
      <protection hidden="1"/>
    </xf>
    <xf numFmtId="0" fontId="0" fillId="27" borderId="15" xfId="0" applyFill="1" applyBorder="1" applyAlignment="1" applyProtection="1">
      <alignment horizontal="center"/>
      <protection hidden="1"/>
    </xf>
    <xf numFmtId="0" fontId="0" fillId="27" borderId="11" xfId="0" applyFill="1" applyBorder="1" applyAlignment="1" applyProtection="1">
      <alignment horizontal="center"/>
      <protection hidden="1"/>
    </xf>
    <xf numFmtId="0" fontId="5" fillId="27" borderId="11" xfId="0" applyFont="1" applyFill="1" applyBorder="1" applyAlignment="1" applyProtection="1">
      <alignment horizontal="center"/>
      <protection hidden="1"/>
    </xf>
    <xf numFmtId="0" fontId="47" fillId="27" borderId="12" xfId="0" applyFont="1" applyFill="1" applyBorder="1" applyAlignment="1" applyProtection="1">
      <alignment horizontal="center"/>
      <protection hidden="1"/>
    </xf>
    <xf numFmtId="0" fontId="5" fillId="27" borderId="11" xfId="0" applyFont="1" applyFill="1" applyBorder="1" applyProtection="1">
      <protection hidden="1"/>
    </xf>
    <xf numFmtId="0" fontId="47" fillId="27" borderId="12" xfId="0" applyFont="1" applyFill="1" applyBorder="1" applyProtection="1">
      <protection hidden="1"/>
    </xf>
    <xf numFmtId="0" fontId="0" fillId="27" borderId="16" xfId="0" applyFill="1" applyBorder="1" applyAlignment="1" applyProtection="1">
      <alignment horizontal="center"/>
      <protection hidden="1"/>
    </xf>
    <xf numFmtId="0" fontId="47" fillId="27" borderId="13" xfId="0" applyFont="1" applyFill="1" applyBorder="1" applyAlignment="1" applyProtection="1">
      <alignment horizontal="center"/>
      <protection hidden="1"/>
    </xf>
    <xf numFmtId="0" fontId="47" fillId="27" borderId="13" xfId="0" applyFont="1" applyFill="1" applyBorder="1" applyProtection="1">
      <protection hidden="1"/>
    </xf>
    <xf numFmtId="0" fontId="0" fillId="27" borderId="17" xfId="0" applyFill="1" applyBorder="1" applyAlignment="1" applyProtection="1">
      <alignment horizontal="center"/>
      <protection hidden="1"/>
    </xf>
    <xf numFmtId="0" fontId="0" fillId="27" borderId="10" xfId="0" applyFill="1" applyBorder="1" applyAlignment="1" applyProtection="1">
      <alignment horizontal="center"/>
      <protection hidden="1"/>
    </xf>
    <xf numFmtId="0" fontId="0" fillId="28" borderId="10" xfId="0" applyFill="1" applyBorder="1" applyAlignment="1" applyProtection="1">
      <alignment horizontal="center"/>
      <protection hidden="1"/>
    </xf>
    <xf numFmtId="0" fontId="47" fillId="27" borderId="14" xfId="0" applyFont="1" applyFill="1" applyBorder="1" applyAlignment="1" applyProtection="1">
      <alignment horizontal="center"/>
      <protection hidden="1"/>
    </xf>
    <xf numFmtId="0" fontId="5" fillId="27" borderId="15"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5" fillId="27" borderId="15" xfId="0" applyFont="1" applyFill="1" applyBorder="1" applyProtection="1">
      <protection hidden="1"/>
    </xf>
    <xf numFmtId="0" fontId="5" fillId="13" borderId="12" xfId="0" applyFont="1" applyFill="1" applyBorder="1" applyProtection="1">
      <protection hidden="1"/>
    </xf>
    <xf numFmtId="0" fontId="5" fillId="13" borderId="13" xfId="0" applyFont="1" applyFill="1" applyBorder="1" applyAlignment="1" applyProtection="1">
      <alignment horizontal="center"/>
      <protection hidden="1"/>
    </xf>
    <xf numFmtId="0" fontId="0" fillId="27" borderId="16" xfId="0" applyFill="1" applyBorder="1" applyProtection="1">
      <protection hidden="1"/>
    </xf>
    <xf numFmtId="0" fontId="0" fillId="13" borderId="13" xfId="0" applyFill="1" applyBorder="1" applyProtection="1">
      <protection hidden="1"/>
    </xf>
    <xf numFmtId="0" fontId="0" fillId="28" borderId="13" xfId="0" applyFill="1" applyBorder="1" applyAlignment="1" applyProtection="1">
      <alignment horizontal="center"/>
      <protection hidden="1"/>
    </xf>
    <xf numFmtId="0" fontId="0" fillId="28" borderId="16" xfId="0" applyFill="1" applyBorder="1" applyAlignment="1" applyProtection="1">
      <alignment horizontal="center"/>
      <protection hidden="1"/>
    </xf>
    <xf numFmtId="0" fontId="0" fillId="27" borderId="13" xfId="0" applyFill="1" applyBorder="1" applyProtection="1">
      <protection hidden="1"/>
    </xf>
    <xf numFmtId="0" fontId="5" fillId="27" borderId="17" xfId="0" applyFont="1" applyFill="1" applyBorder="1" applyAlignment="1" applyProtection="1">
      <alignment horizontal="center"/>
      <protection hidden="1"/>
    </xf>
    <xf numFmtId="0" fontId="0" fillId="28" borderId="14" xfId="0" applyFill="1" applyBorder="1" applyAlignment="1" applyProtection="1">
      <alignment horizontal="center"/>
      <protection hidden="1"/>
    </xf>
    <xf numFmtId="0" fontId="47" fillId="0" borderId="0" xfId="0" applyFont="1" applyProtection="1">
      <protection hidden="1"/>
    </xf>
    <xf numFmtId="0" fontId="5" fillId="27" borderId="12" xfId="0" applyFont="1" applyFill="1" applyBorder="1" applyProtection="1">
      <protection hidden="1"/>
    </xf>
    <xf numFmtId="0" fontId="5" fillId="27" borderId="17" xfId="0" applyFont="1" applyFill="1" applyBorder="1" applyProtection="1">
      <protection hidden="1"/>
    </xf>
    <xf numFmtId="0" fontId="5" fillId="27" borderId="14" xfId="0" applyFont="1" applyFill="1" applyBorder="1" applyProtection="1">
      <protection hidden="1"/>
    </xf>
    <xf numFmtId="0" fontId="5" fillId="13" borderId="14" xfId="0" applyFont="1" applyFill="1" applyBorder="1" applyAlignment="1" applyProtection="1">
      <alignment horizontal="center"/>
      <protection hidden="1"/>
    </xf>
    <xf numFmtId="0" fontId="0" fillId="28" borderId="17" xfId="0" applyFill="1" applyBorder="1" applyAlignment="1" applyProtection="1">
      <alignment horizontal="center"/>
      <protection hidden="1"/>
    </xf>
    <xf numFmtId="0" fontId="5" fillId="0" borderId="0" xfId="0" quotePrefix="1" applyFont="1"/>
    <xf numFmtId="0" fontId="24" fillId="0" borderId="0" xfId="4" applyFont="1" applyAlignment="1" applyProtection="1">
      <alignment horizontal="left" vertical="center"/>
      <protection hidden="1"/>
    </xf>
    <xf numFmtId="0" fontId="27" fillId="0" borderId="0" xfId="0" applyFont="1" applyAlignment="1" applyProtection="1">
      <alignment horizontal="center" wrapText="1"/>
      <protection hidden="1"/>
    </xf>
    <xf numFmtId="0" fontId="17" fillId="0" borderId="0" xfId="0" applyFont="1" applyAlignment="1" applyProtection="1">
      <alignment vertical="top" wrapText="1"/>
      <protection hidden="1"/>
    </xf>
    <xf numFmtId="0" fontId="67" fillId="0" borderId="0" xfId="0" applyFont="1" applyAlignment="1" applyProtection="1">
      <alignment vertical="top" wrapText="1"/>
      <protection hidden="1"/>
    </xf>
    <xf numFmtId="0" fontId="5" fillId="0" borderId="0" xfId="0" applyFont="1" applyAlignment="1">
      <alignment wrapText="1"/>
    </xf>
    <xf numFmtId="0" fontId="10" fillId="0" borderId="0" xfId="0" applyFont="1" applyAlignment="1">
      <alignment wrapText="1"/>
    </xf>
    <xf numFmtId="0" fontId="0" fillId="0" borderId="0" xfId="0" applyAlignment="1">
      <alignment wrapText="1"/>
    </xf>
    <xf numFmtId="0" fontId="5" fillId="4" borderId="0" xfId="0" applyFont="1" applyFill="1" applyProtection="1">
      <protection hidden="1"/>
    </xf>
    <xf numFmtId="0" fontId="15" fillId="4" borderId="16" xfId="0" applyFont="1" applyFill="1" applyBorder="1" applyProtection="1">
      <protection hidden="1"/>
    </xf>
    <xf numFmtId="0" fontId="15" fillId="0" borderId="16" xfId="0" applyFont="1" applyBorder="1" applyProtection="1">
      <protection hidden="1"/>
    </xf>
    <xf numFmtId="0" fontId="53" fillId="4" borderId="0" xfId="0" applyFont="1" applyFill="1" applyAlignment="1" applyProtection="1">
      <alignment horizontal="right"/>
      <protection hidden="1"/>
    </xf>
    <xf numFmtId="0" fontId="6" fillId="4" borderId="1" xfId="0" applyFont="1" applyFill="1" applyBorder="1" applyAlignment="1" applyProtection="1">
      <alignment horizontal="center" wrapText="1"/>
      <protection hidden="1"/>
    </xf>
    <xf numFmtId="0" fontId="52" fillId="4" borderId="1" xfId="0" applyFont="1" applyFill="1" applyBorder="1" applyProtection="1">
      <protection hidden="1"/>
    </xf>
    <xf numFmtId="0" fontId="52" fillId="4" borderId="6" xfId="0" applyFont="1" applyFill="1" applyBorder="1" applyProtection="1">
      <protection hidden="1"/>
    </xf>
    <xf numFmtId="0" fontId="70" fillId="0" borderId="0" xfId="0" applyFont="1" applyAlignment="1" applyProtection="1">
      <alignment horizontal="right" vertical="center"/>
      <protection hidden="1"/>
    </xf>
    <xf numFmtId="0" fontId="44" fillId="4" borderId="0" xfId="0" applyFont="1" applyFill="1" applyProtection="1">
      <protection hidden="1"/>
    </xf>
    <xf numFmtId="0" fontId="51" fillId="0" borderId="0" xfId="0" applyFont="1" applyAlignment="1" applyProtection="1">
      <alignment horizontal="left" indent="1"/>
      <protection hidden="1"/>
    </xf>
    <xf numFmtId="14" fontId="51" fillId="0" borderId="0" xfId="0" applyNumberFormat="1" applyFont="1" applyAlignment="1" applyProtection="1">
      <alignment horizontal="left" indent="1"/>
      <protection hidden="1"/>
    </xf>
    <xf numFmtId="3" fontId="51" fillId="0" borderId="0" xfId="0" applyNumberFormat="1" applyFont="1" applyAlignment="1" applyProtection="1">
      <alignment horizontal="left" indent="1"/>
      <protection hidden="1"/>
    </xf>
    <xf numFmtId="0" fontId="27" fillId="4" borderId="0" xfId="0" applyFont="1" applyFill="1" applyAlignment="1" applyProtection="1">
      <alignment horizontal="center" wrapText="1"/>
      <protection hidden="1"/>
    </xf>
    <xf numFmtId="0" fontId="5" fillId="7" borderId="0" xfId="0" applyFont="1" applyFill="1" applyProtection="1">
      <protection hidden="1"/>
    </xf>
    <xf numFmtId="165" fontId="6" fillId="4" borderId="0" xfId="0" applyNumberFormat="1" applyFont="1" applyFill="1" applyAlignment="1" applyProtection="1">
      <alignment horizontal="center"/>
      <protection hidden="1"/>
    </xf>
    <xf numFmtId="0" fontId="5" fillId="0" borderId="0" xfId="4" applyAlignment="1" applyProtection="1">
      <alignment horizontal="center"/>
      <protection hidden="1"/>
    </xf>
    <xf numFmtId="0" fontId="6" fillId="4" borderId="10" xfId="0" applyFont="1" applyFill="1" applyBorder="1" applyAlignment="1" applyProtection="1">
      <alignment horizontal="center" vertical="center"/>
      <protection hidden="1"/>
    </xf>
    <xf numFmtId="0" fontId="27" fillId="4" borderId="10" xfId="0" applyFont="1" applyFill="1" applyBorder="1" applyAlignment="1" applyProtection="1">
      <alignment horizontal="center" wrapText="1"/>
      <protection hidden="1"/>
    </xf>
    <xf numFmtId="0" fontId="0" fillId="4" borderId="14" xfId="0" applyFill="1" applyBorder="1" applyAlignment="1" applyProtection="1">
      <alignment horizontal="center"/>
      <protection hidden="1"/>
    </xf>
    <xf numFmtId="0" fontId="0" fillId="4" borderId="11" xfId="0" applyFill="1" applyBorder="1" applyAlignment="1" applyProtection="1">
      <alignment horizontal="center"/>
      <protection hidden="1"/>
    </xf>
    <xf numFmtId="0" fontId="0" fillId="4" borderId="0" xfId="0" applyFill="1" applyAlignment="1" applyProtection="1">
      <alignment horizontal="center"/>
      <protection hidden="1"/>
    </xf>
    <xf numFmtId="0" fontId="0" fillId="4" borderId="18" xfId="0" applyFill="1" applyBorder="1" applyAlignment="1" applyProtection="1">
      <alignment horizontal="left" indent="1"/>
      <protection hidden="1"/>
    </xf>
    <xf numFmtId="14" fontId="44" fillId="4" borderId="0" xfId="0" applyNumberFormat="1" applyFont="1" applyFill="1" applyAlignment="1">
      <alignment horizontal="left"/>
    </xf>
    <xf numFmtId="0" fontId="19" fillId="4" borderId="1" xfId="0" applyFont="1" applyFill="1" applyBorder="1" applyProtection="1">
      <protection hidden="1"/>
    </xf>
    <xf numFmtId="0" fontId="5" fillId="14" borderId="19" xfId="4" applyFill="1" applyBorder="1" applyAlignment="1" applyProtection="1">
      <alignment horizontal="center" wrapText="1"/>
      <protection hidden="1"/>
    </xf>
    <xf numFmtId="0" fontId="15" fillId="4" borderId="15" xfId="0" applyFont="1" applyFill="1" applyBorder="1" applyProtection="1">
      <protection hidden="1"/>
    </xf>
    <xf numFmtId="0" fontId="6" fillId="4" borderId="10" xfId="0" applyFont="1" applyFill="1" applyBorder="1" applyProtection="1">
      <protection hidden="1"/>
    </xf>
    <xf numFmtId="3" fontId="6" fillId="4" borderId="10" xfId="2" applyNumberFormat="1" applyFont="1" applyFill="1" applyBorder="1" applyAlignment="1" applyProtection="1">
      <alignment horizontal="center"/>
      <protection hidden="1"/>
    </xf>
    <xf numFmtId="0" fontId="6" fillId="4" borderId="0" xfId="0" applyFont="1" applyFill="1" applyAlignment="1" applyProtection="1">
      <alignment horizontal="left" wrapText="1"/>
      <protection hidden="1"/>
    </xf>
    <xf numFmtId="0" fontId="5" fillId="0" borderId="9" xfId="0" applyFont="1" applyBorder="1" applyProtection="1">
      <protection hidden="1"/>
    </xf>
    <xf numFmtId="0" fontId="6" fillId="4" borderId="0" xfId="0" applyFont="1" applyFill="1" applyAlignment="1" applyProtection="1">
      <alignment horizontal="left" indent="1"/>
      <protection hidden="1"/>
    </xf>
    <xf numFmtId="0" fontId="6" fillId="4" borderId="0" xfId="0" applyFont="1" applyFill="1" applyAlignment="1" applyProtection="1">
      <alignment horizontal="center" vertical="top"/>
      <protection hidden="1"/>
    </xf>
    <xf numFmtId="0" fontId="23" fillId="4" borderId="2" xfId="0" applyFont="1" applyFill="1" applyBorder="1" applyProtection="1">
      <protection hidden="1"/>
    </xf>
    <xf numFmtId="0" fontId="6" fillId="4" borderId="1" xfId="0" applyFont="1" applyFill="1" applyBorder="1" applyAlignment="1" applyProtection="1">
      <alignment horizontal="left" vertical="center"/>
      <protection hidden="1"/>
    </xf>
    <xf numFmtId="0" fontId="6" fillId="4" borderId="1" xfId="0" applyFont="1" applyFill="1" applyBorder="1" applyAlignment="1" applyProtection="1">
      <alignment horizontal="center" vertical="center"/>
      <protection hidden="1"/>
    </xf>
    <xf numFmtId="0" fontId="6" fillId="4" borderId="1" xfId="0" applyFont="1" applyFill="1" applyBorder="1" applyAlignment="1" applyProtection="1">
      <alignment vertical="center"/>
      <protection hidden="1"/>
    </xf>
    <xf numFmtId="0" fontId="6" fillId="4" borderId="5" xfId="0" applyFont="1" applyFill="1" applyBorder="1" applyProtection="1">
      <protection hidden="1"/>
    </xf>
    <xf numFmtId="0" fontId="23" fillId="4" borderId="5" xfId="0" applyFont="1" applyFill="1" applyBorder="1" applyProtection="1">
      <protection hidden="1"/>
    </xf>
    <xf numFmtId="0" fontId="6" fillId="14" borderId="9" xfId="0" applyFont="1" applyFill="1" applyBorder="1" applyProtection="1">
      <protection locked="0" hidden="1"/>
    </xf>
    <xf numFmtId="0" fontId="20" fillId="4" borderId="6" xfId="0" applyFont="1" applyFill="1" applyBorder="1" applyProtection="1">
      <protection hidden="1"/>
    </xf>
    <xf numFmtId="0" fontId="6" fillId="4" borderId="8" xfId="0" applyFont="1" applyFill="1" applyBorder="1" applyAlignment="1" applyProtection="1">
      <alignment horizontal="center"/>
      <protection hidden="1"/>
    </xf>
    <xf numFmtId="0" fontId="5" fillId="10" borderId="0" xfId="0" applyFont="1" applyFill="1" applyProtection="1">
      <protection hidden="1"/>
    </xf>
    <xf numFmtId="0" fontId="73" fillId="4" borderId="0" xfId="0" applyFont="1" applyFill="1" applyAlignment="1" applyProtection="1">
      <alignment horizontal="left"/>
      <protection hidden="1"/>
    </xf>
    <xf numFmtId="0" fontId="73" fillId="4" borderId="0" xfId="0" applyFont="1" applyFill="1" applyProtection="1">
      <protection hidden="1"/>
    </xf>
    <xf numFmtId="0" fontId="75" fillId="4" borderId="0" xfId="0" applyFont="1" applyFill="1" applyAlignment="1" applyProtection="1">
      <alignment vertical="center"/>
      <protection hidden="1"/>
    </xf>
    <xf numFmtId="0" fontId="73" fillId="4" borderId="0" xfId="0" applyFont="1" applyFill="1" applyAlignment="1" applyProtection="1">
      <alignment horizontal="right"/>
      <protection hidden="1"/>
    </xf>
    <xf numFmtId="0" fontId="76" fillId="4" borderId="5" xfId="0" applyFont="1" applyFill="1" applyBorder="1" applyProtection="1">
      <protection hidden="1"/>
    </xf>
    <xf numFmtId="0" fontId="76" fillId="4" borderId="7" xfId="0" applyFont="1" applyFill="1" applyBorder="1" applyProtection="1">
      <protection hidden="1"/>
    </xf>
    <xf numFmtId="0" fontId="73" fillId="4" borderId="6" xfId="0" applyFont="1" applyFill="1" applyBorder="1" applyProtection="1">
      <protection hidden="1"/>
    </xf>
    <xf numFmtId="0" fontId="76" fillId="4" borderId="0" xfId="0" applyFont="1" applyFill="1" applyProtection="1">
      <protection hidden="1"/>
    </xf>
    <xf numFmtId="0" fontId="76" fillId="4" borderId="0" xfId="0" applyFont="1" applyFill="1" applyAlignment="1" applyProtection="1">
      <alignment vertical="center"/>
      <protection hidden="1"/>
    </xf>
    <xf numFmtId="0" fontId="76" fillId="4" borderId="2" xfId="0" applyFont="1" applyFill="1" applyBorder="1" applyProtection="1">
      <protection hidden="1"/>
    </xf>
    <xf numFmtId="0" fontId="73" fillId="4" borderId="1" xfId="0" applyFont="1" applyFill="1" applyBorder="1" applyProtection="1">
      <protection hidden="1"/>
    </xf>
    <xf numFmtId="0" fontId="76" fillId="4" borderId="6" xfId="0" applyFont="1" applyFill="1" applyBorder="1" applyProtection="1">
      <protection hidden="1"/>
    </xf>
    <xf numFmtId="0" fontId="5" fillId="4" borderId="1" xfId="0" applyFont="1" applyFill="1" applyBorder="1" applyAlignment="1" applyProtection="1">
      <alignment horizontal="center" vertical="top"/>
      <protection hidden="1"/>
    </xf>
    <xf numFmtId="0" fontId="6" fillId="0" borderId="11" xfId="0" applyFont="1" applyBorder="1" applyAlignment="1" applyProtection="1">
      <alignment horizontal="center" vertical="center"/>
      <protection hidden="1"/>
    </xf>
    <xf numFmtId="0" fontId="20" fillId="0" borderId="0" xfId="0" applyFont="1" applyProtection="1">
      <protection hidden="1"/>
    </xf>
    <xf numFmtId="0" fontId="20" fillId="0" borderId="0" xfId="0" applyFont="1" applyAlignment="1" applyProtection="1">
      <alignment horizontal="right"/>
      <protection hidden="1"/>
    </xf>
    <xf numFmtId="0" fontId="6" fillId="0" borderId="3" xfId="0" applyFont="1" applyBorder="1" applyAlignment="1" applyProtection="1">
      <alignment horizontal="center"/>
      <protection hidden="1"/>
    </xf>
    <xf numFmtId="0" fontId="6" fillId="4" borderId="3" xfId="0" applyFont="1" applyFill="1" applyBorder="1" applyProtection="1">
      <protection hidden="1"/>
    </xf>
    <xf numFmtId="0" fontId="6" fillId="4" borderId="6" xfId="0" applyFont="1" applyFill="1" applyBorder="1" applyAlignment="1" applyProtection="1">
      <alignment horizontal="center" vertical="top"/>
      <protection hidden="1"/>
    </xf>
    <xf numFmtId="0" fontId="6" fillId="4" borderId="8" xfId="0" applyFont="1" applyFill="1" applyBorder="1" applyAlignment="1" applyProtection="1">
      <alignment horizontal="center" vertical="top"/>
      <protection hidden="1"/>
    </xf>
    <xf numFmtId="0" fontId="6" fillId="4" borderId="1" xfId="0" applyFont="1" applyFill="1" applyBorder="1" applyAlignment="1" applyProtection="1">
      <alignment horizontal="center" vertical="top"/>
      <protection hidden="1"/>
    </xf>
    <xf numFmtId="0" fontId="6" fillId="4" borderId="15" xfId="0" applyFont="1" applyFill="1" applyBorder="1" applyAlignment="1" applyProtection="1">
      <alignment horizontal="center" vertical="center"/>
      <protection hidden="1"/>
    </xf>
    <xf numFmtId="0" fontId="23" fillId="4" borderId="13" xfId="0" applyFont="1" applyFill="1" applyBorder="1" applyProtection="1">
      <protection hidden="1"/>
    </xf>
    <xf numFmtId="0" fontId="6" fillId="4" borderId="17" xfId="0" applyFont="1" applyFill="1" applyBorder="1" applyAlignment="1" applyProtection="1">
      <alignment horizontal="center" vertical="center"/>
      <protection hidden="1"/>
    </xf>
    <xf numFmtId="0" fontId="6" fillId="4" borderId="16" xfId="0" applyFont="1" applyFill="1" applyBorder="1" applyAlignment="1" applyProtection="1">
      <alignment horizontal="center" vertical="center"/>
      <protection hidden="1"/>
    </xf>
    <xf numFmtId="0" fontId="23" fillId="4" borderId="10" xfId="0" applyFont="1" applyFill="1" applyBorder="1" applyProtection="1">
      <protection hidden="1"/>
    </xf>
    <xf numFmtId="0" fontId="23" fillId="4" borderId="10" xfId="0" applyFont="1" applyFill="1" applyBorder="1" applyAlignment="1" applyProtection="1">
      <alignment wrapText="1"/>
      <protection hidden="1"/>
    </xf>
    <xf numFmtId="0" fontId="23" fillId="4" borderId="14" xfId="0" applyFont="1" applyFill="1" applyBorder="1" applyAlignment="1" applyProtection="1">
      <alignment wrapText="1"/>
      <protection hidden="1"/>
    </xf>
    <xf numFmtId="0" fontId="6" fillId="0" borderId="15" xfId="0" applyFont="1" applyBorder="1" applyAlignment="1" applyProtection="1">
      <alignment horizontal="center" vertical="center"/>
      <protection hidden="1"/>
    </xf>
    <xf numFmtId="0" fontId="6" fillId="0" borderId="11" xfId="0" applyFont="1" applyBorder="1" applyAlignment="1" applyProtection="1">
      <alignment vertical="center"/>
      <protection hidden="1"/>
    </xf>
    <xf numFmtId="0" fontId="23" fillId="0" borderId="13" xfId="0" applyFont="1" applyBorder="1" applyProtection="1">
      <protection hidden="1"/>
    </xf>
    <xf numFmtId="0" fontId="6" fillId="0" borderId="11" xfId="0" applyFont="1" applyBorder="1" applyAlignment="1" applyProtection="1">
      <alignment horizontal="center"/>
      <protection hidden="1"/>
    </xf>
    <xf numFmtId="0" fontId="23" fillId="0" borderId="0" xfId="0" applyFont="1" applyProtection="1">
      <protection hidden="1"/>
    </xf>
    <xf numFmtId="0" fontId="23" fillId="0" borderId="14" xfId="0" applyFont="1" applyBorder="1" applyAlignment="1" applyProtection="1">
      <alignment wrapText="1"/>
      <protection hidden="1"/>
    </xf>
    <xf numFmtId="0" fontId="5" fillId="22" borderId="0" xfId="0" applyFont="1" applyFill="1" applyProtection="1">
      <protection hidden="1"/>
    </xf>
    <xf numFmtId="0" fontId="5" fillId="23" borderId="0" xfId="0" quotePrefix="1" applyFont="1" applyFill="1" applyProtection="1">
      <protection hidden="1"/>
    </xf>
    <xf numFmtId="0" fontId="5" fillId="24" borderId="0" xfId="0" applyFont="1" applyFill="1" applyProtection="1">
      <protection hidden="1"/>
    </xf>
    <xf numFmtId="0" fontId="5" fillId="25" borderId="0" xfId="0" applyFont="1" applyFill="1" applyProtection="1">
      <protection hidden="1"/>
    </xf>
    <xf numFmtId="0" fontId="5" fillId="23" borderId="0" xfId="0" applyFont="1" applyFill="1" applyProtection="1">
      <protection hidden="1"/>
    </xf>
    <xf numFmtId="43" fontId="5" fillId="0" borderId="0" xfId="46" applyFont="1" applyProtection="1">
      <protection hidden="1"/>
    </xf>
    <xf numFmtId="14" fontId="5" fillId="9" borderId="0" xfId="0" applyNumberFormat="1" applyFont="1" applyFill="1" applyProtection="1">
      <protection hidden="1"/>
    </xf>
    <xf numFmtId="0" fontId="5" fillId="9" borderId="0" xfId="0" applyFont="1" applyFill="1" applyProtection="1">
      <protection hidden="1"/>
    </xf>
    <xf numFmtId="14" fontId="5" fillId="3" borderId="0" xfId="0" applyNumberFormat="1" applyFont="1" applyFill="1" applyProtection="1">
      <protection hidden="1"/>
    </xf>
    <xf numFmtId="0" fontId="5" fillId="11" borderId="0" xfId="0" applyFont="1" applyFill="1" applyProtection="1">
      <protection hidden="1"/>
    </xf>
    <xf numFmtId="0" fontId="0" fillId="4" borderId="0" xfId="0" applyFill="1" applyAlignment="1" applyProtection="1">
      <alignment horizontal="right"/>
      <protection hidden="1"/>
    </xf>
    <xf numFmtId="0" fontId="52" fillId="4" borderId="0" xfId="0" applyFont="1" applyFill="1" applyAlignment="1" applyProtection="1">
      <alignment horizontal="right"/>
      <protection hidden="1"/>
    </xf>
    <xf numFmtId="0" fontId="23" fillId="4" borderId="0" xfId="0" applyFont="1" applyFill="1" applyProtection="1">
      <protection hidden="1"/>
    </xf>
    <xf numFmtId="44" fontId="6" fillId="4" borderId="0" xfId="0" applyNumberFormat="1" applyFont="1" applyFill="1" applyProtection="1">
      <protection hidden="1"/>
    </xf>
    <xf numFmtId="170" fontId="6" fillId="0" borderId="0" xfId="4" applyNumberFormat="1" applyFont="1" applyProtection="1">
      <protection hidden="1"/>
    </xf>
    <xf numFmtId="0" fontId="25" fillId="4" borderId="0" xfId="0" applyFont="1" applyFill="1" applyProtection="1">
      <protection hidden="1"/>
    </xf>
    <xf numFmtId="0" fontId="58" fillId="4" borderId="0" xfId="0" applyFont="1" applyFill="1" applyProtection="1">
      <protection hidden="1"/>
    </xf>
    <xf numFmtId="0" fontId="10" fillId="4" borderId="0" xfId="0" applyFont="1" applyFill="1" applyAlignment="1" applyProtection="1">
      <alignment vertical="center"/>
      <protection hidden="1"/>
    </xf>
    <xf numFmtId="3" fontId="5" fillId="4" borderId="0" xfId="0" applyNumberFormat="1" applyFont="1" applyFill="1" applyAlignment="1" applyProtection="1">
      <alignment horizontal="left"/>
      <protection hidden="1"/>
    </xf>
    <xf numFmtId="0" fontId="5" fillId="4" borderId="0" xfId="0" applyFont="1" applyFill="1" applyAlignment="1" applyProtection="1">
      <alignment horizontal="right" vertical="center"/>
      <protection hidden="1"/>
    </xf>
    <xf numFmtId="0" fontId="28" fillId="4" borderId="0" xfId="0" applyFont="1" applyFill="1" applyAlignment="1" applyProtection="1">
      <alignment vertical="center"/>
      <protection hidden="1"/>
    </xf>
    <xf numFmtId="0" fontId="5" fillId="4" borderId="0" xfId="0" applyFont="1" applyFill="1" applyAlignment="1" applyProtection="1">
      <alignment horizontal="left"/>
      <protection hidden="1"/>
    </xf>
    <xf numFmtId="0" fontId="59" fillId="4" borderId="0" xfId="21" applyFill="1" applyAlignment="1" applyProtection="1">
      <protection hidden="1"/>
    </xf>
    <xf numFmtId="4" fontId="5" fillId="14" borderId="9" xfId="4" applyNumberFormat="1" applyFill="1" applyBorder="1" applyProtection="1">
      <protection hidden="1"/>
    </xf>
    <xf numFmtId="0" fontId="5" fillId="10" borderId="0" xfId="0" applyFont="1" applyFill="1" applyAlignment="1" applyProtection="1">
      <alignment horizontal="left"/>
      <protection hidden="1"/>
    </xf>
    <xf numFmtId="0" fontId="5" fillId="20" borderId="0" xfId="0" applyFont="1" applyFill="1" applyProtection="1">
      <protection hidden="1"/>
    </xf>
    <xf numFmtId="0" fontId="28" fillId="4" borderId="0" xfId="0" applyFont="1" applyFill="1" applyAlignment="1" applyProtection="1">
      <alignment horizontal="left" indent="1"/>
      <protection hidden="1"/>
    </xf>
    <xf numFmtId="0" fontId="53" fillId="4" borderId="0" xfId="0" applyFont="1" applyFill="1" applyProtection="1">
      <protection hidden="1"/>
    </xf>
    <xf numFmtId="0" fontId="15" fillId="4" borderId="10" xfId="0" applyFont="1" applyFill="1" applyBorder="1" applyProtection="1">
      <protection hidden="1"/>
    </xf>
    <xf numFmtId="0" fontId="6" fillId="0" borderId="0" xfId="0" applyFont="1" applyAlignment="1" applyProtection="1">
      <alignment horizontal="right"/>
      <protection hidden="1"/>
    </xf>
    <xf numFmtId="14" fontId="70" fillId="0" borderId="0" xfId="0" applyNumberFormat="1" applyFont="1" applyAlignment="1" applyProtection="1">
      <alignment horizontal="left" indent="1"/>
      <protection hidden="1"/>
    </xf>
    <xf numFmtId="0" fontId="33" fillId="0" borderId="0" xfId="0" applyFont="1" applyProtection="1">
      <protection hidden="1"/>
    </xf>
    <xf numFmtId="0" fontId="29" fillId="0" borderId="0" xfId="0" applyFont="1" applyProtection="1">
      <protection hidden="1"/>
    </xf>
    <xf numFmtId="0" fontId="47" fillId="7" borderId="0" xfId="0" applyFont="1" applyFill="1" applyProtection="1">
      <protection hidden="1"/>
    </xf>
    <xf numFmtId="0" fontId="43" fillId="0" borderId="0" xfId="0" applyFont="1" applyProtection="1">
      <protection hidden="1"/>
    </xf>
    <xf numFmtId="0" fontId="47" fillId="7" borderId="0" xfId="0" applyFont="1" applyFill="1" applyAlignment="1" applyProtection="1">
      <alignment horizontal="left" indent="1"/>
      <protection hidden="1"/>
    </xf>
    <xf numFmtId="0" fontId="47" fillId="0" borderId="0" xfId="0" applyFont="1" applyAlignment="1" applyProtection="1">
      <alignment horizontal="left" indent="1"/>
      <protection hidden="1"/>
    </xf>
    <xf numFmtId="0" fontId="6" fillId="29" borderId="0" xfId="0" applyFont="1" applyFill="1" applyProtection="1">
      <protection hidden="1"/>
    </xf>
    <xf numFmtId="0" fontId="6" fillId="0" borderId="0" xfId="0" applyFont="1" applyAlignment="1" applyProtection="1">
      <alignment horizontal="left" wrapText="1"/>
      <protection hidden="1"/>
    </xf>
    <xf numFmtId="0" fontId="6" fillId="0" borderId="4" xfId="0" applyFont="1" applyBorder="1" applyProtection="1">
      <protection hidden="1"/>
    </xf>
    <xf numFmtId="0" fontId="6" fillId="0" borderId="7" xfId="0" applyFont="1" applyBorder="1" applyProtection="1">
      <protection hidden="1"/>
    </xf>
    <xf numFmtId="0" fontId="6" fillId="0" borderId="8" xfId="0" applyFont="1" applyBorder="1" applyProtection="1">
      <protection hidden="1"/>
    </xf>
    <xf numFmtId="0" fontId="43" fillId="0" borderId="5" xfId="0" applyFont="1" applyBorder="1" applyProtection="1">
      <protection hidden="1"/>
    </xf>
    <xf numFmtId="0" fontId="43" fillId="0" borderId="0" xfId="0" applyFont="1" applyAlignment="1" applyProtection="1">
      <alignment horizontal="right"/>
      <protection hidden="1"/>
    </xf>
    <xf numFmtId="0" fontId="43" fillId="0" borderId="4" xfId="0" applyFont="1" applyBorder="1" applyProtection="1">
      <protection hidden="1"/>
    </xf>
    <xf numFmtId="0" fontId="79" fillId="0" borderId="5" xfId="0" applyFont="1" applyBorder="1" applyProtection="1">
      <protection hidden="1"/>
    </xf>
    <xf numFmtId="0" fontId="65" fillId="0" borderId="0" xfId="0" applyFont="1" applyProtection="1">
      <protection hidden="1"/>
    </xf>
    <xf numFmtId="0" fontId="9" fillId="0" borderId="0" xfId="0" applyFont="1" applyAlignment="1" applyProtection="1">
      <alignment horizontal="right"/>
      <protection hidden="1"/>
    </xf>
    <xf numFmtId="3" fontId="51" fillId="0" borderId="5" xfId="0" applyNumberFormat="1" applyFont="1" applyBorder="1" applyAlignment="1" applyProtection="1">
      <alignment horizontal="left" indent="1"/>
      <protection hidden="1"/>
    </xf>
    <xf numFmtId="0" fontId="10" fillId="0" borderId="5" xfId="0" applyFont="1" applyBorder="1" applyAlignment="1" applyProtection="1">
      <alignment horizontal="center"/>
      <protection hidden="1"/>
    </xf>
    <xf numFmtId="0" fontId="0" fillId="0" borderId="6" xfId="0" applyBorder="1" applyAlignment="1" applyProtection="1">
      <alignment horizontal="left" indent="1"/>
      <protection hidden="1"/>
    </xf>
    <xf numFmtId="0" fontId="19" fillId="0" borderId="0" xfId="0" applyFont="1" applyAlignment="1" applyProtection="1">
      <alignment horizontal="left"/>
      <protection hidden="1"/>
    </xf>
    <xf numFmtId="0" fontId="0" fillId="0" borderId="0" xfId="0" applyAlignment="1" applyProtection="1">
      <alignment horizontal="right"/>
      <protection hidden="1"/>
    </xf>
    <xf numFmtId="0" fontId="24" fillId="0" borderId="0" xfId="0" applyFont="1" applyProtection="1">
      <protection hidden="1"/>
    </xf>
    <xf numFmtId="0" fontId="0" fillId="30" borderId="0" xfId="0" applyFill="1" applyProtection="1">
      <protection hidden="1"/>
    </xf>
    <xf numFmtId="0" fontId="22" fillId="30" borderId="0" xfId="0" applyFont="1" applyFill="1" applyAlignment="1" applyProtection="1">
      <alignment horizontal="left"/>
      <protection hidden="1"/>
    </xf>
    <xf numFmtId="14" fontId="44" fillId="30" borderId="0" xfId="0" applyNumberFormat="1" applyFont="1" applyFill="1" applyAlignment="1" applyProtection="1">
      <alignment horizontal="right" wrapText="1"/>
      <protection hidden="1"/>
    </xf>
    <xf numFmtId="0" fontId="6" fillId="0" borderId="10" xfId="0" applyFont="1" applyBorder="1" applyAlignment="1">
      <alignment horizontal="center"/>
    </xf>
    <xf numFmtId="0" fontId="6" fillId="0" borderId="10" xfId="0" applyFont="1" applyBorder="1"/>
    <xf numFmtId="0" fontId="6" fillId="0" borderId="10" xfId="0" applyFont="1" applyBorder="1" applyAlignment="1" applyProtection="1">
      <alignment horizontal="center" vertical="center"/>
      <protection hidden="1"/>
    </xf>
    <xf numFmtId="0" fontId="6" fillId="0" borderId="10" xfId="0" applyFont="1" applyBorder="1" applyAlignment="1" applyProtection="1">
      <alignment horizontal="center" vertical="center" wrapText="1"/>
      <protection hidden="1"/>
    </xf>
    <xf numFmtId="0" fontId="6" fillId="0" borderId="10" xfId="0" applyFont="1" applyBorder="1" applyAlignment="1">
      <alignment horizontal="left"/>
    </xf>
    <xf numFmtId="0" fontId="6" fillId="0" borderId="10" xfId="0" applyFont="1" applyBorder="1" applyAlignment="1" applyProtection="1">
      <alignment horizontal="center"/>
      <protection hidden="1"/>
    </xf>
    <xf numFmtId="165" fontId="6" fillId="0" borderId="10" xfId="0" applyNumberFormat="1" applyFont="1" applyBorder="1" applyAlignment="1" applyProtection="1">
      <alignment horizontal="center"/>
      <protection hidden="1"/>
    </xf>
    <xf numFmtId="0" fontId="6" fillId="0" borderId="10" xfId="0" applyFont="1" applyBorder="1" applyAlignment="1" applyProtection="1">
      <alignment wrapText="1"/>
      <protection hidden="1"/>
    </xf>
    <xf numFmtId="4" fontId="6" fillId="0" borderId="10" xfId="2" applyNumberFormat="1" applyFont="1" applyFill="1" applyBorder="1" applyAlignment="1" applyProtection="1">
      <alignment horizontal="center"/>
      <protection hidden="1"/>
    </xf>
    <xf numFmtId="0" fontId="23" fillId="0" borderId="14" xfId="0" applyFont="1" applyBorder="1" applyProtection="1">
      <protection hidden="1"/>
    </xf>
    <xf numFmtId="0" fontId="6" fillId="0" borderId="10" xfId="0" applyFont="1" applyBorder="1" applyAlignment="1" applyProtection="1">
      <alignment horizontal="left"/>
      <protection hidden="1"/>
    </xf>
    <xf numFmtId="0" fontId="6" fillId="0" borderId="10" xfId="0" applyFont="1" applyBorder="1" applyAlignment="1" applyProtection="1">
      <alignment horizontal="center" wrapText="1"/>
      <protection hidden="1"/>
    </xf>
    <xf numFmtId="0" fontId="24" fillId="0" borderId="10" xfId="0" applyFont="1" applyBorder="1" applyAlignment="1" applyProtection="1">
      <alignment horizontal="center" vertical="center" wrapText="1"/>
      <protection hidden="1"/>
    </xf>
    <xf numFmtId="0" fontId="5" fillId="4" borderId="0" xfId="0" applyFont="1" applyFill="1" applyAlignment="1" applyProtection="1">
      <alignment horizontal="right"/>
      <protection hidden="1"/>
    </xf>
    <xf numFmtId="0" fontId="61" fillId="4" borderId="0" xfId="0" applyFont="1" applyFill="1" applyProtection="1">
      <protection hidden="1"/>
    </xf>
    <xf numFmtId="0" fontId="80" fillId="4" borderId="0" xfId="0" applyFont="1" applyFill="1" applyAlignment="1" applyProtection="1">
      <alignment horizontal="right"/>
      <protection hidden="1"/>
    </xf>
    <xf numFmtId="0" fontId="81" fillId="4" borderId="0" xfId="0" applyFont="1" applyFill="1" applyProtection="1">
      <protection hidden="1"/>
    </xf>
    <xf numFmtId="0" fontId="28" fillId="0" borderId="0" xfId="0" applyFont="1" applyProtection="1">
      <protection hidden="1"/>
    </xf>
    <xf numFmtId="0" fontId="65" fillId="0" borderId="0" xfId="0" applyFont="1" applyAlignment="1" applyProtection="1">
      <alignment horizontal="right"/>
      <protection hidden="1"/>
    </xf>
    <xf numFmtId="0" fontId="6" fillId="0" borderId="0" xfId="0" applyFont="1" applyAlignment="1" applyProtection="1">
      <alignment horizontal="center" wrapText="1"/>
      <protection hidden="1"/>
    </xf>
    <xf numFmtId="0" fontId="6" fillId="0" borderId="0" xfId="0" applyFont="1" applyAlignment="1" applyProtection="1">
      <alignment wrapText="1"/>
      <protection hidden="1"/>
    </xf>
    <xf numFmtId="0" fontId="6" fillId="0" borderId="0" xfId="0" applyFont="1" applyAlignment="1" applyProtection="1">
      <alignment horizontal="center"/>
      <protection hidden="1"/>
    </xf>
    <xf numFmtId="0" fontId="53" fillId="4" borderId="0" xfId="0" applyFont="1" applyFill="1" applyAlignment="1" applyProtection="1">
      <alignment horizontal="center"/>
      <protection hidden="1"/>
    </xf>
    <xf numFmtId="0" fontId="6" fillId="0" borderId="11" xfId="0" applyFont="1" applyBorder="1" applyAlignment="1" applyProtection="1">
      <alignment horizontal="center" vertical="center"/>
      <protection hidden="1"/>
    </xf>
    <xf numFmtId="0" fontId="6" fillId="4" borderId="0" xfId="0" applyFont="1" applyFill="1" applyAlignment="1" applyProtection="1">
      <alignment wrapText="1"/>
      <protection hidden="1"/>
    </xf>
    <xf numFmtId="0" fontId="6" fillId="4" borderId="11" xfId="0" applyFont="1" applyFill="1" applyBorder="1" applyAlignment="1" applyProtection="1">
      <alignment horizontal="center" vertical="center"/>
      <protection hidden="1"/>
    </xf>
    <xf numFmtId="0" fontId="6" fillId="4" borderId="0" xfId="0" applyFont="1" applyFill="1" applyAlignment="1" applyProtection="1">
      <alignment horizontal="center" vertical="center" wrapText="1"/>
      <protection hidden="1"/>
    </xf>
    <xf numFmtId="0" fontId="6" fillId="4" borderId="0" xfId="0" applyFont="1" applyFill="1" applyAlignment="1" applyProtection="1">
      <alignment horizontal="center" vertical="center"/>
      <protection hidden="1"/>
    </xf>
    <xf numFmtId="0" fontId="6" fillId="0" borderId="0" xfId="0" applyFont="1" applyAlignment="1" applyProtection="1">
      <alignment horizontal="center" wrapText="1"/>
      <protection hidden="1"/>
    </xf>
    <xf numFmtId="0" fontId="6" fillId="0" borderId="0" xfId="0" applyFont="1" applyAlignment="1" applyProtection="1">
      <alignment horizontal="center"/>
      <protection hidden="1"/>
    </xf>
    <xf numFmtId="0" fontId="6" fillId="0" borderId="18" xfId="0" applyFont="1" applyBorder="1" applyAlignment="1">
      <alignment horizontal="center"/>
    </xf>
    <xf numFmtId="0" fontId="6" fillId="0" borderId="6" xfId="0" applyFont="1" applyBorder="1" applyAlignment="1">
      <alignment horizontal="center"/>
    </xf>
    <xf numFmtId="0" fontId="6" fillId="4" borderId="0" xfId="0" applyFont="1" applyFill="1" applyAlignment="1" applyProtection="1">
      <alignment horizontal="center" vertical="center" wrapText="1"/>
      <protection hidden="1"/>
    </xf>
    <xf numFmtId="0" fontId="0" fillId="0" borderId="0" xfId="0" applyFill="1" applyProtection="1">
      <protection hidden="1"/>
    </xf>
    <xf numFmtId="0" fontId="0" fillId="0" borderId="0" xfId="0" applyFill="1" applyAlignment="1" applyProtection="1">
      <alignment vertical="top"/>
      <protection hidden="1"/>
    </xf>
    <xf numFmtId="0" fontId="5" fillId="0" borderId="0" xfId="0" applyFont="1" applyFill="1" applyAlignment="1" applyProtection="1">
      <alignment horizontal="left" indent="1"/>
      <protection hidden="1"/>
    </xf>
    <xf numFmtId="0" fontId="6" fillId="0" borderId="0" xfId="0" applyFont="1" applyFill="1" applyAlignment="1" applyProtection="1">
      <alignment wrapText="1"/>
      <protection hidden="1"/>
    </xf>
    <xf numFmtId="0" fontId="0" fillId="0" borderId="0" xfId="0" applyFill="1" applyAlignment="1" applyProtection="1">
      <alignment vertical="center"/>
      <protection hidden="1"/>
    </xf>
    <xf numFmtId="0" fontId="17" fillId="0" borderId="0" xfId="0" applyFont="1" applyFill="1" applyProtection="1">
      <protection hidden="1"/>
    </xf>
    <xf numFmtId="0" fontId="47" fillId="0" borderId="0" xfId="0" applyFont="1" applyFill="1" applyProtection="1">
      <protection hidden="1"/>
    </xf>
    <xf numFmtId="0" fontId="39" fillId="4" borderId="0" xfId="4" applyFont="1" applyFill="1" applyAlignment="1" applyProtection="1">
      <alignment horizontal="left" wrapText="1" indent="2"/>
      <protection hidden="1"/>
    </xf>
    <xf numFmtId="0" fontId="0" fillId="4" borderId="0" xfId="0" applyFill="1" applyBorder="1" applyProtection="1">
      <protection hidden="1"/>
    </xf>
    <xf numFmtId="0" fontId="39" fillId="4" borderId="0" xfId="4" quotePrefix="1" applyFont="1" applyFill="1" applyAlignment="1" applyProtection="1">
      <alignment horizontal="left" wrapText="1" indent="2"/>
      <protection hidden="1"/>
    </xf>
    <xf numFmtId="0" fontId="37" fillId="0" borderId="0" xfId="4" applyFont="1" applyAlignment="1" applyProtection="1">
      <alignment wrapText="1"/>
      <protection hidden="1"/>
    </xf>
    <xf numFmtId="0" fontId="40" fillId="0" borderId="0" xfId="4" applyFont="1" applyAlignment="1" applyProtection="1">
      <alignment wrapText="1"/>
      <protection hidden="1"/>
    </xf>
    <xf numFmtId="0" fontId="41" fillId="0" borderId="0" xfId="4" applyFont="1" applyAlignment="1" applyProtection="1">
      <alignment wrapText="1"/>
      <protection hidden="1"/>
    </xf>
    <xf numFmtId="0" fontId="39" fillId="0" borderId="0" xfId="4" applyFont="1" applyAlignment="1" applyProtection="1">
      <alignment horizontal="left" wrapText="1"/>
      <protection hidden="1"/>
    </xf>
    <xf numFmtId="0" fontId="37" fillId="4" borderId="0" xfId="4" applyFont="1" applyFill="1" applyAlignment="1" applyProtection="1">
      <alignment wrapText="1"/>
      <protection hidden="1"/>
    </xf>
    <xf numFmtId="0" fontId="38" fillId="0" borderId="0" xfId="4" applyFont="1" applyAlignment="1" applyProtection="1">
      <alignment horizontal="left" wrapText="1"/>
      <protection hidden="1"/>
    </xf>
    <xf numFmtId="0" fontId="82" fillId="0" borderId="0" xfId="4" applyFont="1" applyAlignment="1" applyProtection="1">
      <alignment wrapText="1"/>
      <protection hidden="1"/>
    </xf>
    <xf numFmtId="0" fontId="0" fillId="0" borderId="0" xfId="0" applyBorder="1" applyProtection="1">
      <protection hidden="1"/>
    </xf>
    <xf numFmtId="165" fontId="6" fillId="4" borderId="0" xfId="0" applyNumberFormat="1" applyFont="1" applyFill="1" applyBorder="1" applyAlignment="1" applyProtection="1">
      <alignment horizontal="center"/>
      <protection hidden="1"/>
    </xf>
    <xf numFmtId="0" fontId="6" fillId="0" borderId="0" xfId="0" applyFont="1" applyAlignment="1" applyProtection="1">
      <alignment horizontal="center" wrapText="1"/>
      <protection hidden="1"/>
    </xf>
    <xf numFmtId="0" fontId="6" fillId="0" borderId="0" xfId="0" applyFont="1" applyAlignment="1" applyProtection="1">
      <alignment wrapText="1"/>
      <protection hidden="1"/>
    </xf>
    <xf numFmtId="0" fontId="6" fillId="0" borderId="0" xfId="0" applyFont="1" applyAlignment="1" applyProtection="1">
      <alignment horizontal="center"/>
      <protection hidden="1"/>
    </xf>
    <xf numFmtId="0" fontId="53" fillId="4" borderId="0" xfId="0" applyFont="1" applyFill="1" applyAlignment="1" applyProtection="1">
      <alignment horizontal="center"/>
      <protection hidden="1"/>
    </xf>
    <xf numFmtId="0" fontId="6" fillId="0" borderId="11" xfId="0" applyFont="1" applyBorder="1" applyAlignment="1" applyProtection="1">
      <alignment horizontal="center" vertical="center"/>
      <protection hidden="1"/>
    </xf>
    <xf numFmtId="0" fontId="6" fillId="0" borderId="18" xfId="0" applyFont="1" applyBorder="1" applyAlignment="1">
      <alignment horizontal="center"/>
    </xf>
    <xf numFmtId="0" fontId="6" fillId="4" borderId="0" xfId="0" applyFont="1" applyFill="1" applyAlignment="1" applyProtection="1">
      <alignment wrapText="1"/>
      <protection hidden="1"/>
    </xf>
    <xf numFmtId="0" fontId="6" fillId="4" borderId="11" xfId="0" applyFont="1" applyFill="1" applyBorder="1" applyAlignment="1" applyProtection="1">
      <alignment horizontal="center" vertical="center"/>
      <protection hidden="1"/>
    </xf>
    <xf numFmtId="0" fontId="6" fillId="0" borderId="6" xfId="0" applyFont="1" applyBorder="1" applyAlignment="1">
      <alignment horizontal="center"/>
    </xf>
    <xf numFmtId="0" fontId="6" fillId="4" borderId="0" xfId="0" applyFont="1" applyFill="1" applyAlignment="1" applyProtection="1">
      <alignment horizontal="center" vertical="center" wrapText="1"/>
      <protection hidden="1"/>
    </xf>
    <xf numFmtId="0" fontId="6" fillId="4" borderId="0" xfId="0" applyFont="1" applyFill="1" applyAlignment="1" applyProtection="1">
      <alignment horizontal="center" vertical="center"/>
      <protection hidden="1"/>
    </xf>
    <xf numFmtId="0" fontId="6" fillId="0" borderId="19" xfId="0" applyFont="1" applyBorder="1" applyAlignment="1" applyProtection="1">
      <alignment horizontal="left"/>
      <protection hidden="1"/>
    </xf>
    <xf numFmtId="0" fontId="6" fillId="0" borderId="18" xfId="0" applyFont="1" applyBorder="1" applyAlignment="1" applyProtection="1">
      <alignment horizontal="left"/>
      <protection hidden="1"/>
    </xf>
    <xf numFmtId="0" fontId="6" fillId="0" borderId="27" xfId="0" applyFont="1" applyBorder="1" applyAlignment="1" applyProtection="1">
      <alignment horizontal="left"/>
      <protection hidden="1"/>
    </xf>
    <xf numFmtId="9" fontId="10" fillId="0" borderId="38" xfId="0" applyNumberFormat="1" applyFont="1" applyBorder="1" applyProtection="1">
      <protection hidden="1"/>
    </xf>
    <xf numFmtId="9" fontId="10" fillId="0" borderId="23" xfId="0" applyNumberFormat="1" applyFont="1" applyBorder="1" applyProtection="1">
      <protection hidden="1"/>
    </xf>
    <xf numFmtId="2" fontId="6" fillId="4" borderId="0" xfId="0" applyNumberFormat="1" applyFont="1" applyFill="1" applyAlignment="1" applyProtection="1">
      <alignment horizontal="center"/>
      <protection hidden="1"/>
    </xf>
    <xf numFmtId="2" fontId="20" fillId="0" borderId="9" xfId="0" applyNumberFormat="1" applyFont="1" applyBorder="1" applyAlignment="1" applyProtection="1">
      <alignment horizontal="center"/>
      <protection locked="0"/>
    </xf>
    <xf numFmtId="0" fontId="6" fillId="7" borderId="0" xfId="0" applyFont="1" applyFill="1" applyAlignment="1" applyProtection="1">
      <alignment vertical="top"/>
      <protection hidden="1"/>
    </xf>
    <xf numFmtId="0" fontId="6" fillId="7" borderId="0" xfId="0" applyFont="1" applyFill="1" applyAlignment="1" applyProtection="1">
      <alignment horizontal="left" indent="1"/>
      <protection hidden="1"/>
    </xf>
    <xf numFmtId="0" fontId="0" fillId="7" borderId="0" xfId="0" applyFill="1" applyProtection="1">
      <protection locked="0" hidden="1"/>
    </xf>
    <xf numFmtId="0" fontId="26" fillId="4" borderId="10" xfId="0" applyFont="1" applyFill="1" applyBorder="1" applyProtection="1"/>
    <xf numFmtId="0" fontId="0" fillId="4" borderId="10" xfId="0" applyFill="1" applyBorder="1" applyProtection="1"/>
    <xf numFmtId="0" fontId="0" fillId="2" borderId="9" xfId="0" applyFill="1" applyBorder="1" applyProtection="1">
      <protection locked="0" hidden="1"/>
    </xf>
    <xf numFmtId="0" fontId="62" fillId="0" borderId="0" xfId="4" applyFont="1" applyAlignment="1">
      <alignment horizontal="left" wrapText="1"/>
    </xf>
    <xf numFmtId="0" fontId="5" fillId="0" borderId="0" xfId="4" applyAlignment="1"/>
    <xf numFmtId="172" fontId="62" fillId="0" borderId="0" xfId="4" applyNumberFormat="1" applyFont="1" applyAlignment="1">
      <alignment horizontal="left" wrapText="1"/>
    </xf>
    <xf numFmtId="0" fontId="62" fillId="0" borderId="0" xfId="4" applyFont="1" applyAlignment="1">
      <alignment horizontal="left" wrapText="1" readingOrder="1"/>
    </xf>
    <xf numFmtId="0" fontId="5" fillId="0" borderId="0" xfId="4" applyAlignment="1">
      <alignment horizontal="left" readingOrder="1"/>
    </xf>
    <xf numFmtId="0" fontId="21" fillId="0" borderId="0" xfId="4" applyFont="1" applyAlignment="1">
      <alignment horizontal="left" wrapText="1"/>
    </xf>
    <xf numFmtId="0" fontId="59" fillId="0" borderId="0" xfId="21" applyBorder="1" applyAlignment="1" applyProtection="1">
      <alignment horizontal="left" wrapText="1"/>
    </xf>
    <xf numFmtId="0" fontId="59" fillId="0" borderId="0" xfId="21" applyAlignment="1" applyProtection="1"/>
    <xf numFmtId="0" fontId="30" fillId="0" borderId="0" xfId="0" applyFont="1" applyAlignment="1" applyProtection="1">
      <protection hidden="1"/>
    </xf>
    <xf numFmtId="0" fontId="6" fillId="0" borderId="0" xfId="0" applyFont="1" applyAlignment="1" applyProtection="1">
      <alignment horizontal="center" wrapText="1"/>
      <protection hidden="1"/>
    </xf>
    <xf numFmtId="0" fontId="52" fillId="0" borderId="2" xfId="0" applyFont="1" applyBorder="1" applyAlignment="1" applyProtection="1">
      <alignment wrapText="1"/>
      <protection hidden="1"/>
    </xf>
    <xf numFmtId="0" fontId="52" fillId="0" borderId="1" xfId="0" applyFont="1" applyBorder="1" applyAlignment="1" applyProtection="1">
      <alignment wrapText="1"/>
      <protection hidden="1"/>
    </xf>
    <xf numFmtId="0" fontId="52" fillId="0" borderId="3" xfId="0" applyFont="1" applyBorder="1" applyAlignment="1" applyProtection="1">
      <alignment wrapText="1"/>
      <protection hidden="1"/>
    </xf>
    <xf numFmtId="0" fontId="6" fillId="0" borderId="2" xfId="0" applyFont="1" applyBorder="1" applyAlignment="1" applyProtection="1">
      <alignment wrapText="1"/>
      <protection hidden="1"/>
    </xf>
    <xf numFmtId="0" fontId="6" fillId="0" borderId="1" xfId="0" applyFont="1" applyBorder="1" applyAlignment="1" applyProtection="1">
      <alignment wrapText="1"/>
      <protection hidden="1"/>
    </xf>
    <xf numFmtId="0" fontId="6" fillId="0" borderId="3" xfId="0" applyFont="1" applyBorder="1" applyAlignment="1" applyProtection="1">
      <alignment wrapText="1"/>
      <protection hidden="1"/>
    </xf>
    <xf numFmtId="0" fontId="51" fillId="0" borderId="7" xfId="0" applyFont="1" applyBorder="1" applyAlignment="1" applyProtection="1">
      <alignment horizontal="left" indent="1"/>
      <protection hidden="1"/>
    </xf>
    <xf numFmtId="0" fontId="51" fillId="0" borderId="6" xfId="0" applyFont="1" applyBorder="1" applyAlignment="1" applyProtection="1">
      <alignment horizontal="left" indent="1"/>
      <protection hidden="1"/>
    </xf>
    <xf numFmtId="0" fontId="51" fillId="0" borderId="8" xfId="0" applyFont="1" applyBorder="1" applyAlignment="1" applyProtection="1">
      <alignment horizontal="left" indent="1"/>
      <protection hidden="1"/>
    </xf>
    <xf numFmtId="0" fontId="6" fillId="0" borderId="0" xfId="0" applyFont="1" applyAlignment="1" applyProtection="1">
      <alignment wrapText="1"/>
      <protection hidden="1"/>
    </xf>
    <xf numFmtId="0" fontId="6" fillId="0" borderId="5" xfId="0" applyFont="1" applyBorder="1" applyAlignment="1" applyProtection="1">
      <alignment wrapText="1"/>
      <protection hidden="1"/>
    </xf>
    <xf numFmtId="0" fontId="6" fillId="0" borderId="4" xfId="0" applyFont="1" applyBorder="1" applyAlignment="1" applyProtection="1">
      <alignment wrapText="1"/>
      <protection hidden="1"/>
    </xf>
    <xf numFmtId="168" fontId="51" fillId="0" borderId="5" xfId="0" applyNumberFormat="1" applyFont="1" applyBorder="1" applyAlignment="1" applyProtection="1">
      <alignment horizontal="left" indent="1"/>
      <protection hidden="1"/>
    </xf>
    <xf numFmtId="168" fontId="51" fillId="0" borderId="0" xfId="0" applyNumberFormat="1" applyFont="1" applyAlignment="1" applyProtection="1">
      <alignment horizontal="left" indent="1"/>
      <protection hidden="1"/>
    </xf>
    <xf numFmtId="168" fontId="51" fillId="0" borderId="4" xfId="0" applyNumberFormat="1" applyFont="1" applyBorder="1" applyAlignment="1" applyProtection="1">
      <alignment horizontal="left" indent="1"/>
      <protection hidden="1"/>
    </xf>
    <xf numFmtId="14" fontId="51" fillId="0" borderId="7" xfId="0" applyNumberFormat="1" applyFont="1" applyBorder="1" applyAlignment="1" applyProtection="1">
      <alignment horizontal="left" indent="1"/>
      <protection hidden="1"/>
    </xf>
    <xf numFmtId="14" fontId="51" fillId="0" borderId="6" xfId="0" applyNumberFormat="1" applyFont="1" applyBorder="1" applyAlignment="1" applyProtection="1">
      <alignment horizontal="left" indent="1"/>
      <protection hidden="1"/>
    </xf>
    <xf numFmtId="14" fontId="51" fillId="0" borderId="8" xfId="0" applyNumberFormat="1" applyFont="1" applyBorder="1" applyAlignment="1" applyProtection="1">
      <alignment horizontal="left" indent="1"/>
      <protection hidden="1"/>
    </xf>
    <xf numFmtId="0" fontId="6" fillId="0" borderId="2" xfId="0" applyFont="1" applyBorder="1" applyAlignment="1" applyProtection="1">
      <alignment horizontal="left" wrapText="1"/>
      <protection hidden="1"/>
    </xf>
    <xf numFmtId="0" fontId="6" fillId="0" borderId="1" xfId="0" applyFont="1" applyBorder="1" applyAlignment="1" applyProtection="1">
      <alignment horizontal="left" wrapText="1"/>
      <protection hidden="1"/>
    </xf>
    <xf numFmtId="0" fontId="6" fillId="0" borderId="3" xfId="0" applyFont="1" applyBorder="1" applyAlignment="1" applyProtection="1">
      <alignment horizontal="left" wrapText="1"/>
      <protection hidden="1"/>
    </xf>
    <xf numFmtId="0" fontId="0" fillId="0" borderId="3" xfId="0" applyBorder="1" applyAlignment="1" applyProtection="1">
      <protection hidden="1"/>
    </xf>
    <xf numFmtId="0" fontId="51" fillId="0" borderId="19" xfId="0" applyFont="1" applyBorder="1" applyAlignment="1" applyProtection="1">
      <alignment horizontal="left" indent="1"/>
      <protection hidden="1"/>
    </xf>
    <xf numFmtId="0" fontId="51" fillId="0" borderId="18" xfId="0" applyFont="1" applyBorder="1" applyAlignment="1" applyProtection="1">
      <alignment horizontal="left" indent="1"/>
      <protection hidden="1"/>
    </xf>
    <xf numFmtId="0" fontId="51" fillId="0" borderId="27" xfId="0" applyFont="1" applyBorder="1" applyAlignment="1" applyProtection="1">
      <alignment horizontal="left" indent="1"/>
      <protection hidden="1"/>
    </xf>
    <xf numFmtId="0" fontId="0" fillId="0" borderId="3" xfId="0" applyBorder="1" applyAlignment="1" applyProtection="1">
      <alignment horizontal="left"/>
      <protection hidden="1"/>
    </xf>
    <xf numFmtId="0" fontId="51" fillId="0" borderId="5" xfId="0" applyFont="1" applyBorder="1" applyAlignment="1" applyProtection="1">
      <alignment horizontal="left" indent="1"/>
      <protection hidden="1"/>
    </xf>
    <xf numFmtId="0" fontId="51" fillId="0" borderId="0" xfId="0" applyFont="1" applyAlignment="1" applyProtection="1">
      <alignment horizontal="left" indent="1"/>
      <protection hidden="1"/>
    </xf>
    <xf numFmtId="0" fontId="51" fillId="0" borderId="4" xfId="0" applyFont="1" applyBorder="1" applyAlignment="1" applyProtection="1">
      <alignment horizontal="left" indent="1"/>
      <protection hidden="1"/>
    </xf>
    <xf numFmtId="0" fontId="18" fillId="0" borderId="0" xfId="0" applyFont="1" applyAlignment="1" applyProtection="1">
      <protection hidden="1"/>
    </xf>
    <xf numFmtId="0" fontId="0" fillId="0" borderId="0" xfId="0" applyAlignment="1"/>
    <xf numFmtId="0" fontId="31" fillId="0" borderId="0" xfId="0" applyFont="1" applyAlignment="1" applyProtection="1">
      <protection hidden="1"/>
    </xf>
    <xf numFmtId="0" fontId="49" fillId="0" borderId="0" xfId="0" applyFont="1" applyAlignment="1" applyProtection="1">
      <alignment vertical="top"/>
      <protection hidden="1"/>
    </xf>
    <xf numFmtId="168" fontId="51" fillId="0" borderId="7" xfId="0" applyNumberFormat="1" applyFont="1" applyBorder="1" applyAlignment="1" applyProtection="1">
      <alignment horizontal="left" indent="1"/>
      <protection hidden="1"/>
    </xf>
    <xf numFmtId="168" fontId="51" fillId="0" borderId="6" xfId="0" applyNumberFormat="1" applyFont="1" applyBorder="1" applyAlignment="1" applyProtection="1">
      <alignment horizontal="left" indent="1"/>
      <protection hidden="1"/>
    </xf>
    <xf numFmtId="168" fontId="51" fillId="0" borderId="8" xfId="0" applyNumberFormat="1" applyFont="1" applyBorder="1" applyAlignment="1" applyProtection="1">
      <alignment horizontal="left" indent="1"/>
      <protection hidden="1"/>
    </xf>
    <xf numFmtId="0" fontId="44" fillId="0" borderId="19" xfId="0" applyFont="1" applyBorder="1" applyAlignment="1" applyProtection="1">
      <alignment horizontal="left" indent="1"/>
      <protection locked="0"/>
    </xf>
    <xf numFmtId="0" fontId="0" fillId="0" borderId="18" xfId="0" applyBorder="1" applyAlignment="1" applyProtection="1">
      <alignment horizontal="left" indent="1"/>
      <protection locked="0"/>
    </xf>
    <xf numFmtId="0" fontId="0" fillId="0" borderId="27" xfId="0" applyBorder="1" applyAlignment="1" applyProtection="1">
      <alignment horizontal="left" indent="1"/>
      <protection locked="0"/>
    </xf>
    <xf numFmtId="168" fontId="44" fillId="0" borderId="19" xfId="0" applyNumberFormat="1" applyFont="1" applyBorder="1" applyAlignment="1" applyProtection="1">
      <alignment horizontal="left" indent="1"/>
      <protection locked="0"/>
    </xf>
    <xf numFmtId="168" fontId="44" fillId="0" borderId="18" xfId="0" applyNumberFormat="1" applyFont="1" applyBorder="1" applyAlignment="1" applyProtection="1">
      <alignment horizontal="left" indent="1"/>
      <protection locked="0"/>
    </xf>
    <xf numFmtId="168" fontId="44" fillId="0" borderId="27" xfId="0" applyNumberFormat="1" applyFont="1" applyBorder="1" applyAlignment="1" applyProtection="1">
      <alignment horizontal="left" indent="1"/>
      <protection locked="0"/>
    </xf>
    <xf numFmtId="0" fontId="6" fillId="4" borderId="0" xfId="0" applyFont="1" applyFill="1" applyAlignment="1" applyProtection="1">
      <alignment horizontal="center" wrapText="1"/>
      <protection hidden="1"/>
    </xf>
    <xf numFmtId="0" fontId="6" fillId="0" borderId="5" xfId="0" applyFont="1" applyBorder="1" applyAlignment="1" applyProtection="1">
      <alignment horizontal="left" wrapText="1"/>
      <protection hidden="1"/>
    </xf>
    <xf numFmtId="0" fontId="6" fillId="0" borderId="0" xfId="0" applyFont="1" applyAlignment="1" applyProtection="1">
      <alignment horizontal="left" wrapText="1"/>
      <protection hidden="1"/>
    </xf>
    <xf numFmtId="0" fontId="6" fillId="0" borderId="4" xfId="0" applyFont="1" applyBorder="1" applyAlignment="1" applyProtection="1">
      <alignment horizontal="left" wrapText="1"/>
      <protection hidden="1"/>
    </xf>
    <xf numFmtId="14" fontId="44" fillId="0" borderId="19" xfId="0" applyNumberFormat="1" applyFont="1" applyBorder="1" applyAlignment="1" applyProtection="1">
      <alignment horizontal="left" indent="1"/>
      <protection locked="0"/>
    </xf>
    <xf numFmtId="14" fontId="44" fillId="0" borderId="18" xfId="0" applyNumberFormat="1" applyFont="1" applyBorder="1" applyAlignment="1" applyProtection="1">
      <alignment horizontal="left" indent="1"/>
      <protection locked="0"/>
    </xf>
    <xf numFmtId="14" fontId="44" fillId="0" borderId="27" xfId="0" applyNumberFormat="1" applyFont="1" applyBorder="1" applyAlignment="1" applyProtection="1">
      <alignment horizontal="left" indent="1"/>
      <protection locked="0"/>
    </xf>
    <xf numFmtId="0" fontId="44" fillId="0" borderId="18" xfId="0" applyFont="1" applyBorder="1" applyAlignment="1" applyProtection="1">
      <alignment horizontal="left" indent="1"/>
      <protection locked="0"/>
    </xf>
    <xf numFmtId="0" fontId="44" fillId="0" borderId="27" xfId="0" applyFont="1" applyBorder="1" applyAlignment="1" applyProtection="1">
      <alignment horizontal="left" indent="1"/>
      <protection locked="0"/>
    </xf>
    <xf numFmtId="167" fontId="44" fillId="0" borderId="19" xfId="0" applyNumberFormat="1" applyFont="1" applyBorder="1" applyAlignment="1" applyProtection="1">
      <alignment horizontal="left" indent="1"/>
      <protection locked="0"/>
    </xf>
    <xf numFmtId="167" fontId="44" fillId="0" borderId="18" xfId="0" applyNumberFormat="1" applyFont="1" applyBorder="1" applyAlignment="1" applyProtection="1">
      <alignment horizontal="left" indent="1"/>
      <protection locked="0"/>
    </xf>
    <xf numFmtId="167" fontId="44" fillId="0" borderId="27" xfId="0" applyNumberFormat="1" applyFont="1" applyBorder="1" applyAlignment="1" applyProtection="1">
      <alignment horizontal="left" indent="1"/>
      <protection locked="0"/>
    </xf>
    <xf numFmtId="3" fontId="44" fillId="0" borderId="19" xfId="0" applyNumberFormat="1" applyFont="1" applyBorder="1" applyAlignment="1" applyProtection="1">
      <alignment horizontal="left" indent="1"/>
      <protection locked="0"/>
    </xf>
    <xf numFmtId="3" fontId="44" fillId="0" borderId="18" xfId="0" applyNumberFormat="1" applyFont="1" applyBorder="1" applyAlignment="1" applyProtection="1">
      <alignment horizontal="left" indent="1"/>
      <protection locked="0"/>
    </xf>
    <xf numFmtId="3" fontId="44" fillId="0" borderId="27" xfId="0" applyNumberFormat="1" applyFont="1" applyBorder="1" applyAlignment="1" applyProtection="1">
      <alignment horizontal="left" indent="1"/>
      <protection locked="0"/>
    </xf>
    <xf numFmtId="0" fontId="59" fillId="0" borderId="19" xfId="21" applyFill="1" applyBorder="1" applyAlignment="1" applyProtection="1">
      <alignment horizontal="left" indent="1"/>
      <protection locked="0"/>
    </xf>
    <xf numFmtId="0" fontId="5" fillId="0" borderId="7" xfId="0" applyFont="1" applyBorder="1" applyAlignment="1" applyProtection="1">
      <alignment horizontal="left" indent="1"/>
      <protection hidden="1"/>
    </xf>
    <xf numFmtId="0" fontId="5" fillId="0" borderId="6" xfId="0" applyFont="1" applyBorder="1" applyAlignment="1" applyProtection="1">
      <alignment horizontal="left" indent="1"/>
      <protection hidden="1"/>
    </xf>
    <xf numFmtId="0" fontId="5" fillId="0" borderId="8" xfId="0" applyFont="1" applyBorder="1" applyAlignment="1" applyProtection="1">
      <alignment horizontal="left" indent="1"/>
      <protection hidden="1"/>
    </xf>
    <xf numFmtId="4" fontId="5" fillId="4" borderId="6" xfId="0" applyNumberFormat="1" applyFont="1" applyFill="1" applyBorder="1" applyAlignment="1" applyProtection="1">
      <alignment horizontal="center" vertical="center"/>
      <protection hidden="1"/>
    </xf>
    <xf numFmtId="0" fontId="5" fillId="4" borderId="6" xfId="0" applyFont="1" applyFill="1" applyBorder="1" applyAlignment="1" applyProtection="1">
      <alignment horizontal="center" vertical="center"/>
      <protection hidden="1"/>
    </xf>
    <xf numFmtId="0" fontId="19" fillId="4" borderId="0" xfId="0" applyFont="1" applyFill="1" applyAlignment="1" applyProtection="1">
      <protection hidden="1"/>
    </xf>
    <xf numFmtId="0" fontId="0" fillId="4" borderId="0" xfId="0" applyFill="1" applyAlignment="1" applyProtection="1">
      <protection hidden="1"/>
    </xf>
    <xf numFmtId="168" fontId="23" fillId="0" borderId="19" xfId="0" applyNumberFormat="1" applyFont="1" applyBorder="1" applyAlignment="1" applyProtection="1">
      <alignment horizontal="left" indent="1"/>
      <protection locked="0"/>
    </xf>
    <xf numFmtId="168" fontId="23" fillId="0" borderId="18" xfId="0" applyNumberFormat="1" applyFont="1" applyBorder="1" applyAlignment="1" applyProtection="1">
      <alignment horizontal="left" indent="1"/>
      <protection locked="0"/>
    </xf>
    <xf numFmtId="168" fontId="23" fillId="0" borderId="27" xfId="0" applyNumberFormat="1" applyFont="1" applyBorder="1" applyAlignment="1" applyProtection="1">
      <alignment horizontal="left" indent="1"/>
      <protection locked="0"/>
    </xf>
    <xf numFmtId="0" fontId="0" fillId="0" borderId="0" xfId="0" applyAlignment="1" applyProtection="1">
      <alignment horizontal="left" indent="1"/>
      <protection hidden="1"/>
    </xf>
    <xf numFmtId="0" fontId="0" fillId="0" borderId="4" xfId="0" applyBorder="1" applyAlignment="1" applyProtection="1">
      <alignment horizontal="left" indent="1"/>
      <protection hidden="1"/>
    </xf>
    <xf numFmtId="0" fontId="0" fillId="0" borderId="19" xfId="0" applyBorder="1" applyAlignment="1" applyProtection="1">
      <alignment horizontal="center"/>
      <protection hidden="1"/>
    </xf>
    <xf numFmtId="0" fontId="0" fillId="0" borderId="18" xfId="0" applyBorder="1" applyAlignment="1" applyProtection="1">
      <alignment horizontal="center"/>
      <protection hidden="1"/>
    </xf>
    <xf numFmtId="0" fontId="0" fillId="0" borderId="27" xfId="0" applyBorder="1" applyAlignment="1" applyProtection="1">
      <alignment horizontal="center"/>
      <protection hidden="1"/>
    </xf>
    <xf numFmtId="2" fontId="0" fillId="0" borderId="6" xfId="46" applyNumberFormat="1" applyFont="1" applyBorder="1" applyAlignment="1" applyProtection="1">
      <alignment horizontal="center"/>
      <protection hidden="1"/>
    </xf>
    <xf numFmtId="0" fontId="16" fillId="4" borderId="4" xfId="0" applyFont="1" applyFill="1" applyBorder="1" applyAlignment="1" applyProtection="1">
      <alignment horizontal="center" vertical="center" wrapText="1"/>
      <protection hidden="1"/>
    </xf>
    <xf numFmtId="0" fontId="0" fillId="0" borderId="9" xfId="0" applyBorder="1" applyAlignment="1" applyProtection="1">
      <alignment horizontal="center"/>
      <protection locked="0" hidden="1"/>
    </xf>
    <xf numFmtId="0" fontId="0" fillId="4" borderId="0" xfId="0" applyFill="1" applyAlignment="1" applyProtection="1">
      <protection locked="0" hidden="1"/>
    </xf>
    <xf numFmtId="14" fontId="54" fillId="0" borderId="5" xfId="0" applyNumberFormat="1" applyFont="1" applyBorder="1" applyAlignment="1">
      <alignment horizontal="left" vertical="center"/>
    </xf>
    <xf numFmtId="14" fontId="54" fillId="0" borderId="0" xfId="0" applyNumberFormat="1" applyFont="1" applyAlignment="1">
      <alignment horizontal="left" vertical="center"/>
    </xf>
    <xf numFmtId="14" fontId="54" fillId="0" borderId="4" xfId="0" applyNumberFormat="1" applyFont="1" applyBorder="1" applyAlignment="1">
      <alignment horizontal="left" vertical="center"/>
    </xf>
    <xf numFmtId="0" fontId="5" fillId="0" borderId="7" xfId="0" applyFont="1" applyBorder="1" applyAlignment="1">
      <alignment horizontal="left" indent="1"/>
    </xf>
    <xf numFmtId="0" fontId="5" fillId="0" borderId="6" xfId="0" applyFont="1" applyBorder="1" applyAlignment="1">
      <alignment horizontal="left" indent="1"/>
    </xf>
    <xf numFmtId="0" fontId="5" fillId="0" borderId="8" xfId="0" applyFont="1" applyBorder="1" applyAlignment="1">
      <alignment horizontal="left" indent="1"/>
    </xf>
    <xf numFmtId="168" fontId="5" fillId="0" borderId="7" xfId="0" applyNumberFormat="1" applyFont="1" applyBorder="1" applyAlignment="1" applyProtection="1">
      <alignment horizontal="left" indent="1"/>
      <protection hidden="1"/>
    </xf>
    <xf numFmtId="168" fontId="5" fillId="0" borderId="6" xfId="0" applyNumberFormat="1" applyFont="1" applyBorder="1" applyAlignment="1" applyProtection="1">
      <alignment horizontal="left" indent="1"/>
      <protection hidden="1"/>
    </xf>
    <xf numFmtId="168" fontId="5" fillId="0" borderId="8" xfId="0" applyNumberFormat="1" applyFont="1" applyBorder="1" applyAlignment="1" applyProtection="1">
      <alignment horizontal="left" indent="1"/>
      <protection hidden="1"/>
    </xf>
    <xf numFmtId="168" fontId="5" fillId="0" borderId="7" xfId="0" applyNumberFormat="1" applyFont="1" applyBorder="1" applyAlignment="1">
      <alignment horizontal="left" indent="1"/>
    </xf>
    <xf numFmtId="168" fontId="5" fillId="0" borderId="6" xfId="0" applyNumberFormat="1" applyFont="1" applyBorder="1" applyAlignment="1">
      <alignment horizontal="left" indent="1"/>
    </xf>
    <xf numFmtId="168" fontId="5" fillId="0" borderId="8" xfId="0" applyNumberFormat="1" applyFont="1" applyBorder="1" applyAlignment="1">
      <alignment horizontal="left" indent="1"/>
    </xf>
    <xf numFmtId="0" fontId="6" fillId="0" borderId="6" xfId="0" applyFont="1" applyBorder="1" applyAlignment="1" applyProtection="1">
      <alignment horizontal="left" vertical="center"/>
      <protection hidden="1"/>
    </xf>
    <xf numFmtId="0" fontId="12" fillId="0" borderId="0" xfId="0" applyFont="1" applyAlignment="1" applyProtection="1">
      <alignment wrapText="1"/>
      <protection hidden="1"/>
    </xf>
    <xf numFmtId="0" fontId="12" fillId="4" borderId="0" xfId="0" applyFont="1" applyFill="1" applyAlignment="1" applyProtection="1">
      <alignment wrapText="1"/>
      <protection hidden="1"/>
    </xf>
    <xf numFmtId="0" fontId="46" fillId="4" borderId="6" xfId="0" applyFont="1" applyFill="1" applyBorder="1" applyAlignment="1" applyProtection="1">
      <alignment vertical="center" wrapText="1"/>
      <protection hidden="1"/>
    </xf>
    <xf numFmtId="0" fontId="44" fillId="0" borderId="2" xfId="0" applyFont="1" applyBorder="1" applyAlignment="1" applyProtection="1">
      <alignment horizontal="left" vertical="center" indent="1"/>
      <protection locked="0" hidden="1"/>
    </xf>
    <xf numFmtId="0" fontId="44" fillId="0" borderId="1" xfId="0" applyFont="1" applyBorder="1" applyAlignment="1" applyProtection="1">
      <alignment horizontal="left" vertical="center" indent="1"/>
      <protection locked="0" hidden="1"/>
    </xf>
    <xf numFmtId="0" fontId="44" fillId="0" borderId="7" xfId="0" applyFont="1" applyBorder="1" applyAlignment="1" applyProtection="1">
      <alignment horizontal="left" vertical="center" indent="1"/>
      <protection locked="0" hidden="1"/>
    </xf>
    <xf numFmtId="0" fontId="44" fillId="0" borderId="6" xfId="0" applyFont="1" applyBorder="1" applyAlignment="1" applyProtection="1">
      <alignment horizontal="left" vertical="center" indent="1"/>
      <protection locked="0" hidden="1"/>
    </xf>
    <xf numFmtId="14" fontId="44" fillId="0" borderId="9" xfId="0" applyNumberFormat="1" applyFont="1" applyBorder="1" applyAlignment="1" applyProtection="1">
      <alignment horizontal="left" vertical="center" indent="1"/>
      <protection locked="0" hidden="1"/>
    </xf>
    <xf numFmtId="0" fontId="5" fillId="0" borderId="19" xfId="0" applyFont="1" applyBorder="1" applyAlignment="1" applyProtection="1">
      <alignment horizontal="center" vertical="center"/>
      <protection locked="0" hidden="1"/>
    </xf>
    <xf numFmtId="0" fontId="0" fillId="0" borderId="18" xfId="0" applyBorder="1" applyAlignment="1" applyProtection="1">
      <alignment horizontal="center" vertical="center"/>
      <protection locked="0" hidden="1"/>
    </xf>
    <xf numFmtId="0" fontId="0" fillId="0" borderId="27" xfId="0" applyBorder="1" applyAlignment="1" applyProtection="1">
      <alignment horizontal="center" vertical="center"/>
      <protection locked="0" hidden="1"/>
    </xf>
    <xf numFmtId="0" fontId="51" fillId="0" borderId="9" xfId="0" applyFont="1" applyBorder="1" applyAlignment="1" applyProtection="1">
      <alignment horizontal="left" indent="1"/>
      <protection hidden="1"/>
    </xf>
    <xf numFmtId="2" fontId="5" fillId="4" borderId="6"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center" wrapText="1"/>
      <protection locked="0" hidden="1"/>
    </xf>
    <xf numFmtId="0" fontId="5" fillId="0" borderId="18" xfId="0" applyFont="1" applyBorder="1" applyAlignment="1" applyProtection="1">
      <alignment horizontal="center" wrapText="1"/>
      <protection locked="0" hidden="1"/>
    </xf>
    <xf numFmtId="0" fontId="5" fillId="0" borderId="27" xfId="0" applyFont="1" applyBorder="1" applyAlignment="1" applyProtection="1">
      <alignment horizontal="center" wrapText="1"/>
      <protection locked="0" hidden="1"/>
    </xf>
    <xf numFmtId="3" fontId="44" fillId="0" borderId="9" xfId="0" applyNumberFormat="1" applyFont="1" applyBorder="1" applyAlignment="1" applyProtection="1">
      <alignment horizontal="left" indent="1"/>
      <protection locked="0"/>
    </xf>
    <xf numFmtId="0" fontId="6" fillId="0" borderId="19" xfId="0" applyFont="1" applyBorder="1" applyAlignment="1" applyProtection="1">
      <alignment horizontal="center"/>
      <protection hidden="1"/>
    </xf>
    <xf numFmtId="0" fontId="6" fillId="0" borderId="27" xfId="0" applyFont="1" applyBorder="1" applyAlignment="1" applyProtection="1">
      <alignment horizontal="center"/>
      <protection hidden="1"/>
    </xf>
    <xf numFmtId="0" fontId="6" fillId="0" borderId="6" xfId="0" applyFont="1" applyBorder="1" applyAlignment="1" applyProtection="1">
      <alignment horizontal="center"/>
      <protection hidden="1"/>
    </xf>
    <xf numFmtId="0" fontId="6" fillId="0" borderId="0" xfId="0" applyFont="1" applyAlignment="1" applyProtection="1">
      <alignment horizontal="center"/>
      <protection hidden="1"/>
    </xf>
    <xf numFmtId="0" fontId="65" fillId="0" borderId="0" xfId="0" applyFont="1" applyAlignment="1" applyProtection="1">
      <alignment horizontal="center"/>
      <protection hidden="1"/>
    </xf>
    <xf numFmtId="4" fontId="5" fillId="19" borderId="6" xfId="0" applyNumberFormat="1" applyFont="1" applyFill="1" applyBorder="1" applyAlignment="1" applyProtection="1">
      <alignment horizontal="right"/>
      <protection hidden="1"/>
    </xf>
    <xf numFmtId="0" fontId="44" fillId="0" borderId="19" xfId="0" applyFont="1" applyBorder="1" applyAlignment="1" applyProtection="1">
      <alignment horizontal="center"/>
      <protection locked="0"/>
    </xf>
    <xf numFmtId="0" fontId="44" fillId="0" borderId="27" xfId="0" applyFont="1" applyBorder="1" applyAlignment="1" applyProtection="1">
      <alignment horizontal="center"/>
      <protection locked="0"/>
    </xf>
    <xf numFmtId="4" fontId="5" fillId="4" borderId="18" xfId="0" applyNumberFormat="1" applyFont="1" applyFill="1" applyBorder="1" applyAlignment="1" applyProtection="1">
      <alignment horizontal="center"/>
      <protection hidden="1"/>
    </xf>
    <xf numFmtId="0" fontId="6" fillId="4" borderId="0" xfId="0" applyFont="1" applyFill="1" applyAlignment="1" applyProtection="1">
      <alignment horizontal="left"/>
      <protection locked="0"/>
    </xf>
    <xf numFmtId="4" fontId="5" fillId="4" borderId="6" xfId="0" applyNumberFormat="1" applyFont="1" applyFill="1" applyBorder="1" applyAlignment="1" applyProtection="1">
      <alignment horizontal="center"/>
      <protection hidden="1"/>
    </xf>
    <xf numFmtId="4" fontId="5" fillId="4" borderId="6" xfId="0" applyNumberFormat="1" applyFont="1" applyFill="1" applyBorder="1" applyAlignment="1" applyProtection="1">
      <alignment horizontal="right"/>
      <protection hidden="1"/>
    </xf>
    <xf numFmtId="4" fontId="5" fillId="4" borderId="18" xfId="0" applyNumberFormat="1" applyFont="1" applyFill="1" applyBorder="1" applyAlignment="1" applyProtection="1">
      <alignment horizontal="right"/>
      <protection hidden="1"/>
    </xf>
    <xf numFmtId="0" fontId="43" fillId="0" borderId="19" xfId="0" applyFont="1" applyBorder="1" applyAlignment="1" applyProtection="1">
      <alignment horizontal="center"/>
      <protection hidden="1"/>
    </xf>
    <xf numFmtId="0" fontId="43" fillId="0" borderId="27" xfId="0" applyFont="1" applyBorder="1" applyAlignment="1" applyProtection="1">
      <alignment horizontal="center"/>
      <protection hidden="1"/>
    </xf>
    <xf numFmtId="0" fontId="44" fillId="4" borderId="19" xfId="0" applyFont="1" applyFill="1" applyBorder="1" applyAlignment="1" applyProtection="1">
      <alignment horizontal="center"/>
      <protection locked="0"/>
    </xf>
    <xf numFmtId="0" fontId="44" fillId="4" borderId="27" xfId="0" applyFont="1" applyFill="1" applyBorder="1" applyAlignment="1" applyProtection="1">
      <alignment horizontal="center"/>
      <protection locked="0"/>
    </xf>
    <xf numFmtId="0" fontId="53" fillId="4" borderId="0" xfId="0" applyFont="1" applyFill="1" applyAlignment="1" applyProtection="1">
      <alignment horizontal="center"/>
      <protection hidden="1"/>
    </xf>
    <xf numFmtId="0" fontId="53" fillId="4" borderId="4" xfId="0" applyFont="1" applyFill="1" applyBorder="1" applyAlignment="1" applyProtection="1">
      <alignment horizontal="center"/>
      <protection hidden="1"/>
    </xf>
    <xf numFmtId="0" fontId="6" fillId="0" borderId="1" xfId="0" applyFont="1" applyBorder="1" applyAlignment="1" applyProtection="1">
      <alignment horizontal="center"/>
      <protection hidden="1"/>
    </xf>
    <xf numFmtId="0" fontId="52" fillId="4" borderId="0" xfId="0" applyFont="1" applyFill="1" applyAlignment="1" applyProtection="1">
      <alignment horizontal="center"/>
      <protection locked="0" hidden="1"/>
    </xf>
    <xf numFmtId="3" fontId="43" fillId="4" borderId="1" xfId="0" applyNumberFormat="1" applyFont="1" applyFill="1" applyBorder="1" applyAlignment="1" applyProtection="1">
      <alignment horizontal="right" wrapText="1"/>
      <protection hidden="1"/>
    </xf>
    <xf numFmtId="3" fontId="43" fillId="4" borderId="0" xfId="0" applyNumberFormat="1" applyFont="1" applyFill="1" applyAlignment="1" applyProtection="1">
      <alignment horizontal="right" wrapText="1"/>
      <protection hidden="1"/>
    </xf>
    <xf numFmtId="3" fontId="5" fillId="4" borderId="6" xfId="0" applyNumberFormat="1" applyFont="1" applyFill="1" applyBorder="1" applyAlignment="1" applyProtection="1">
      <alignment horizontal="center"/>
      <protection hidden="1"/>
    </xf>
    <xf numFmtId="0" fontId="53" fillId="4" borderId="0" xfId="0" applyFont="1" applyFill="1" applyAlignment="1" applyProtection="1">
      <alignment horizontal="right"/>
      <protection hidden="1"/>
    </xf>
    <xf numFmtId="0" fontId="43" fillId="4" borderId="1" xfId="0" applyFont="1" applyFill="1" applyBorder="1" applyAlignment="1" applyProtection="1">
      <alignment wrapText="1"/>
      <protection hidden="1"/>
    </xf>
    <xf numFmtId="0" fontId="43" fillId="4" borderId="0" xfId="0" applyFont="1" applyFill="1" applyAlignment="1" applyProtection="1">
      <alignment wrapText="1"/>
      <protection hidden="1"/>
    </xf>
    <xf numFmtId="9" fontId="5" fillId="4" borderId="6" xfId="6" applyFont="1" applyFill="1" applyBorder="1" applyAlignment="1" applyProtection="1">
      <alignment horizontal="center"/>
      <protection hidden="1"/>
    </xf>
    <xf numFmtId="9" fontId="5" fillId="4" borderId="18" xfId="6" applyFont="1" applyFill="1" applyBorder="1" applyAlignment="1" applyProtection="1">
      <alignment horizontal="center"/>
      <protection hidden="1"/>
    </xf>
    <xf numFmtId="0" fontId="5" fillId="4" borderId="18" xfId="0" applyFont="1" applyFill="1" applyBorder="1" applyAlignment="1" applyProtection="1">
      <alignment horizontal="center"/>
      <protection hidden="1"/>
    </xf>
    <xf numFmtId="4" fontId="5" fillId="19" borderId="0" xfId="0" applyNumberFormat="1" applyFont="1" applyFill="1" applyAlignment="1" applyProtection="1">
      <alignment horizontal="right"/>
      <protection hidden="1"/>
    </xf>
    <xf numFmtId="0" fontId="6" fillId="4" borderId="18" xfId="0" applyFont="1" applyFill="1" applyBorder="1" applyAlignment="1" applyProtection="1">
      <alignment horizontal="center"/>
      <protection hidden="1"/>
    </xf>
    <xf numFmtId="0" fontId="43" fillId="4" borderId="1" xfId="0" applyFont="1" applyFill="1" applyBorder="1" applyAlignment="1" applyProtection="1">
      <alignment horizontal="right" wrapText="1"/>
      <protection hidden="1"/>
    </xf>
    <xf numFmtId="0" fontId="43" fillId="4" borderId="0" xfId="0" applyFont="1" applyFill="1" applyAlignment="1" applyProtection="1">
      <alignment horizontal="right" wrapText="1"/>
      <protection hidden="1"/>
    </xf>
    <xf numFmtId="0" fontId="6" fillId="0" borderId="18" xfId="0" applyFont="1" applyBorder="1" applyAlignment="1" applyProtection="1">
      <alignment horizontal="center"/>
      <protection hidden="1"/>
    </xf>
    <xf numFmtId="0" fontId="6" fillId="0" borderId="1" xfId="0" applyFont="1" applyBorder="1" applyAlignment="1" applyProtection="1">
      <alignment horizontal="center" wrapText="1"/>
      <protection hidden="1"/>
    </xf>
    <xf numFmtId="0" fontId="6" fillId="0" borderId="6" xfId="0" applyFont="1" applyBorder="1" applyAlignment="1" applyProtection="1">
      <alignment horizontal="center" vertical="center"/>
      <protection hidden="1"/>
    </xf>
    <xf numFmtId="0" fontId="27" fillId="4" borderId="11" xfId="0" applyFont="1" applyFill="1" applyBorder="1" applyAlignment="1" applyProtection="1">
      <alignment horizontal="center" wrapText="1"/>
      <protection hidden="1"/>
    </xf>
    <xf numFmtId="0" fontId="27" fillId="4" borderId="0" xfId="0" applyFont="1" applyFill="1" applyAlignment="1" applyProtection="1">
      <alignment horizontal="center" wrapText="1"/>
      <protection hidden="1"/>
    </xf>
    <xf numFmtId="0" fontId="6" fillId="0" borderId="6" xfId="0" applyFont="1" applyBorder="1" applyAlignment="1"/>
    <xf numFmtId="4" fontId="6" fillId="0" borderId="6" xfId="2" applyNumberFormat="1" applyFont="1" applyFill="1" applyBorder="1" applyAlignment="1" applyProtection="1">
      <alignment horizontal="center"/>
      <protection hidden="1"/>
    </xf>
    <xf numFmtId="0" fontId="6" fillId="0" borderId="18" xfId="0" applyFont="1" applyBorder="1" applyAlignment="1">
      <alignment horizontal="left"/>
    </xf>
    <xf numFmtId="0" fontId="6" fillId="0" borderId="6" xfId="0" applyFont="1" applyBorder="1" applyAlignment="1">
      <alignment horizontal="left"/>
    </xf>
    <xf numFmtId="0" fontId="6" fillId="0" borderId="11" xfId="0" applyFont="1" applyBorder="1" applyAlignment="1" applyProtection="1">
      <alignment horizontal="center" vertical="center"/>
      <protection hidden="1"/>
    </xf>
    <xf numFmtId="0" fontId="6" fillId="0" borderId="11" xfId="0" applyFont="1" applyBorder="1" applyAlignment="1" applyProtection="1">
      <alignment horizontal="center" wrapText="1"/>
      <protection hidden="1"/>
    </xf>
    <xf numFmtId="0" fontId="6" fillId="0" borderId="18" xfId="0" applyFont="1" applyBorder="1" applyAlignment="1">
      <alignment horizontal="center"/>
    </xf>
    <xf numFmtId="0" fontId="20" fillId="0" borderId="9" xfId="0" applyFont="1" applyBorder="1" applyAlignment="1" applyProtection="1">
      <alignment horizontal="left"/>
      <protection locked="0"/>
    </xf>
    <xf numFmtId="0" fontId="20" fillId="0" borderId="19" xfId="0" applyFont="1" applyBorder="1" applyAlignment="1" applyProtection="1">
      <alignment horizontal="left"/>
      <protection locked="0"/>
    </xf>
    <xf numFmtId="0" fontId="20" fillId="0" borderId="18" xfId="0" applyFont="1" applyBorder="1" applyAlignment="1" applyProtection="1">
      <alignment horizontal="left"/>
      <protection locked="0"/>
    </xf>
    <xf numFmtId="0" fontId="20" fillId="0" borderId="27" xfId="0" applyFont="1" applyBorder="1" applyAlignment="1" applyProtection="1">
      <alignment horizontal="left"/>
      <protection locked="0"/>
    </xf>
    <xf numFmtId="0" fontId="6" fillId="4" borderId="0" xfId="0" applyFont="1" applyFill="1" applyAlignment="1" applyProtection="1">
      <alignment wrapText="1"/>
      <protection hidden="1"/>
    </xf>
    <xf numFmtId="4" fontId="6" fillId="4" borderId="6" xfId="2" applyNumberFormat="1" applyFont="1" applyFill="1" applyBorder="1" applyAlignment="1" applyProtection="1">
      <alignment horizontal="center"/>
      <protection hidden="1"/>
    </xf>
    <xf numFmtId="44" fontId="6" fillId="4" borderId="23" xfId="0" applyNumberFormat="1" applyFont="1" applyFill="1" applyBorder="1" applyAlignment="1" applyProtection="1">
      <protection hidden="1"/>
    </xf>
    <xf numFmtId="0" fontId="20" fillId="0" borderId="19" xfId="0" applyFont="1" applyBorder="1" applyAlignment="1" applyProtection="1">
      <protection locked="0"/>
    </xf>
    <xf numFmtId="0" fontId="20" fillId="0" borderId="18" xfId="0" applyFont="1" applyBorder="1" applyAlignment="1" applyProtection="1">
      <protection locked="0"/>
    </xf>
    <xf numFmtId="0" fontId="20" fillId="0" borderId="27" xfId="0" applyFont="1" applyBorder="1" applyAlignment="1" applyProtection="1">
      <protection locked="0"/>
    </xf>
    <xf numFmtId="0" fontId="6" fillId="0" borderId="19" xfId="0" applyFont="1" applyBorder="1" applyAlignment="1" applyProtection="1">
      <alignment horizontal="center"/>
      <protection locked="0"/>
    </xf>
    <xf numFmtId="0" fontId="6" fillId="0" borderId="18" xfId="0" applyFont="1" applyBorder="1" applyAlignment="1" applyProtection="1">
      <alignment horizontal="center"/>
      <protection locked="0"/>
    </xf>
    <xf numFmtId="0" fontId="6" fillId="0" borderId="27" xfId="0" applyFont="1" applyBorder="1" applyAlignment="1" applyProtection="1">
      <alignment horizontal="center"/>
      <protection locked="0"/>
    </xf>
    <xf numFmtId="0" fontId="20" fillId="0" borderId="9" xfId="0" applyFont="1" applyBorder="1" applyAlignment="1" applyProtection="1">
      <protection locked="0"/>
    </xf>
    <xf numFmtId="0" fontId="53" fillId="4" borderId="0" xfId="0" applyFont="1" applyFill="1" applyAlignment="1" applyProtection="1">
      <alignment wrapText="1"/>
      <protection hidden="1"/>
    </xf>
    <xf numFmtId="0" fontId="6" fillId="4" borderId="11" xfId="0" applyFont="1" applyFill="1" applyBorder="1" applyAlignment="1" applyProtection="1">
      <alignment horizontal="center" vertical="center"/>
      <protection hidden="1"/>
    </xf>
    <xf numFmtId="0" fontId="5" fillId="14" borderId="19" xfId="4" applyFill="1" applyBorder="1" applyAlignment="1" applyProtection="1">
      <alignment horizontal="center"/>
      <protection hidden="1"/>
    </xf>
    <xf numFmtId="0" fontId="5" fillId="14" borderId="18" xfId="4" applyFill="1" applyBorder="1" applyAlignment="1" applyProtection="1">
      <alignment horizontal="center"/>
      <protection hidden="1"/>
    </xf>
    <xf numFmtId="0" fontId="5" fillId="14" borderId="27" xfId="4" applyFill="1" applyBorder="1" applyAlignment="1" applyProtection="1">
      <alignment horizontal="center"/>
      <protection hidden="1"/>
    </xf>
    <xf numFmtId="0" fontId="6" fillId="4" borderId="0" xfId="0" applyFont="1" applyFill="1" applyAlignment="1" applyProtection="1">
      <alignment horizontal="left" wrapText="1"/>
      <protection hidden="1"/>
    </xf>
    <xf numFmtId="0" fontId="6" fillId="4" borderId="6" xfId="0" applyFont="1" applyFill="1" applyBorder="1" applyAlignment="1" applyProtection="1">
      <alignment horizontal="center" vertical="center"/>
      <protection hidden="1"/>
    </xf>
    <xf numFmtId="0" fontId="6" fillId="4" borderId="1" xfId="0" applyFont="1" applyFill="1" applyBorder="1" applyAlignment="1" applyProtection="1">
      <alignment horizontal="center" wrapText="1"/>
      <protection hidden="1"/>
    </xf>
    <xf numFmtId="0" fontId="6" fillId="0" borderId="0" xfId="0" applyFont="1" applyAlignment="1" applyProtection="1">
      <alignment horizontal="center"/>
      <protection locked="0"/>
    </xf>
    <xf numFmtId="0" fontId="47" fillId="0" borderId="0" xfId="0" applyFont="1" applyAlignment="1" applyProtection="1">
      <alignment wrapText="1"/>
      <protection hidden="1"/>
    </xf>
    <xf numFmtId="0" fontId="6" fillId="0" borderId="9" xfId="0" applyFont="1" applyBorder="1" applyAlignment="1" applyProtection="1">
      <alignment horizontal="center"/>
      <protection locked="0"/>
    </xf>
    <xf numFmtId="0" fontId="6" fillId="0" borderId="6" xfId="0" applyFont="1" applyBorder="1" applyAlignment="1">
      <alignment horizontal="center"/>
    </xf>
    <xf numFmtId="0" fontId="6" fillId="4" borderId="0" xfId="0" applyFont="1" applyFill="1" applyAlignment="1" applyProtection="1">
      <alignment horizontal="center" vertical="center" wrapText="1"/>
      <protection hidden="1"/>
    </xf>
    <xf numFmtId="0" fontId="65" fillId="0" borderId="0" xfId="0" applyFont="1" applyAlignment="1" applyProtection="1">
      <alignment wrapText="1"/>
      <protection hidden="1"/>
    </xf>
    <xf numFmtId="0" fontId="6" fillId="4" borderId="1" xfId="0" applyFont="1" applyFill="1" applyBorder="1" applyAlignment="1" applyProtection="1">
      <alignment horizontal="center" vertical="center" wrapText="1"/>
      <protection hidden="1"/>
    </xf>
    <xf numFmtId="0" fontId="6" fillId="4" borderId="11" xfId="0" applyFont="1" applyFill="1" applyBorder="1" applyAlignment="1" applyProtection="1">
      <alignment horizontal="center" vertical="center" wrapText="1"/>
      <protection hidden="1"/>
    </xf>
    <xf numFmtId="14" fontId="44" fillId="6" borderId="0" xfId="0" applyNumberFormat="1" applyFont="1" applyFill="1" applyAlignment="1" applyProtection="1">
      <alignment horizontal="left" wrapText="1" indent="1"/>
      <protection hidden="1"/>
    </xf>
    <xf numFmtId="0" fontId="6" fillId="4" borderId="0" xfId="0" applyFont="1" applyFill="1" applyAlignment="1" applyProtection="1">
      <alignment horizontal="center" vertical="center"/>
      <protection hidden="1"/>
    </xf>
    <xf numFmtId="0" fontId="27" fillId="4" borderId="11" xfId="0" applyFont="1" applyFill="1" applyBorder="1" applyAlignment="1" applyProtection="1">
      <alignment horizontal="center" vertical="center" wrapText="1"/>
      <protection hidden="1"/>
    </xf>
    <xf numFmtId="0" fontId="27" fillId="4" borderId="0" xfId="0" applyFont="1" applyFill="1" applyAlignment="1" applyProtection="1">
      <alignment horizontal="center" vertical="center" wrapText="1"/>
      <protection hidden="1"/>
    </xf>
    <xf numFmtId="44" fontId="6" fillId="4" borderId="6" xfId="0" applyNumberFormat="1" applyFont="1" applyFill="1" applyBorder="1" applyAlignment="1" applyProtection="1">
      <protection hidden="1"/>
    </xf>
    <xf numFmtId="0" fontId="6" fillId="0" borderId="18" xfId="0" applyFont="1" applyBorder="1" applyAlignment="1"/>
    <xf numFmtId="0" fontId="44" fillId="0" borderId="0" xfId="0" applyFont="1" applyAlignment="1" applyProtection="1">
      <alignment horizontal="left" indent="1"/>
      <protection hidden="1"/>
    </xf>
    <xf numFmtId="4" fontId="6" fillId="0" borderId="23" xfId="2" applyNumberFormat="1" applyFont="1" applyFill="1" applyBorder="1" applyAlignment="1" applyProtection="1">
      <alignment horizontal="center"/>
      <protection hidden="1"/>
    </xf>
    <xf numFmtId="0" fontId="5" fillId="14" borderId="9" xfId="4" applyFill="1" applyBorder="1" applyAlignment="1" applyProtection="1">
      <alignment horizontal="center"/>
      <protection hidden="1"/>
    </xf>
    <xf numFmtId="0" fontId="44" fillId="6" borderId="0" xfId="0" applyFont="1" applyFill="1" applyAlignment="1" applyProtection="1">
      <alignment horizontal="left" indent="1"/>
      <protection hidden="1"/>
    </xf>
    <xf numFmtId="0" fontId="6" fillId="0" borderId="19" xfId="0" applyFont="1" applyBorder="1" applyAlignment="1">
      <alignment horizontal="center"/>
    </xf>
    <xf numFmtId="0" fontId="6" fillId="0" borderId="27" xfId="0" applyFont="1" applyBorder="1" applyAlignment="1">
      <alignment horizontal="center"/>
    </xf>
    <xf numFmtId="0" fontId="6" fillId="0" borderId="21" xfId="0" applyFont="1" applyBorder="1" applyAlignment="1" applyProtection="1">
      <alignment horizontal="center"/>
      <protection hidden="1"/>
    </xf>
    <xf numFmtId="0" fontId="65" fillId="0" borderId="21" xfId="0" applyFont="1" applyBorder="1" applyAlignment="1" applyProtection="1">
      <alignment horizontal="center"/>
      <protection hidden="1"/>
    </xf>
    <xf numFmtId="0" fontId="5" fillId="0" borderId="19" xfId="0" applyFont="1" applyBorder="1" applyAlignment="1" applyProtection="1">
      <alignment horizontal="center"/>
      <protection locked="0" hidden="1"/>
    </xf>
    <xf numFmtId="0" fontId="5" fillId="0" borderId="18" xfId="0" applyFont="1" applyBorder="1" applyAlignment="1" applyProtection="1">
      <alignment horizontal="center"/>
      <protection locked="0" hidden="1"/>
    </xf>
    <xf numFmtId="0" fontId="5" fillId="0" borderId="27" xfId="0" applyFont="1" applyBorder="1" applyAlignment="1" applyProtection="1">
      <alignment horizontal="center"/>
      <protection locked="0" hidden="1"/>
    </xf>
    <xf numFmtId="0" fontId="80" fillId="4" borderId="21" xfId="0" applyFont="1" applyFill="1" applyBorder="1" applyAlignment="1" applyProtection="1">
      <alignment horizontal="center"/>
      <protection locked="0" hidden="1"/>
    </xf>
    <xf numFmtId="0" fontId="5" fillId="0" borderId="33" xfId="0" applyFont="1" applyBorder="1" applyAlignment="1" applyProtection="1">
      <alignment horizontal="center"/>
      <protection hidden="1"/>
    </xf>
    <xf numFmtId="0" fontId="5" fillId="0" borderId="34" xfId="0" applyFont="1" applyBorder="1" applyAlignment="1" applyProtection="1">
      <alignment horizontal="center"/>
      <protection hidden="1"/>
    </xf>
    <xf numFmtId="0" fontId="5" fillId="0" borderId="35"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35" xfId="0" applyBorder="1" applyAlignment="1" applyProtection="1">
      <alignment horizontal="center"/>
      <protection hidden="1"/>
    </xf>
    <xf numFmtId="0" fontId="10" fillId="1" borderId="15" xfId="0" applyFont="1" applyFill="1" applyBorder="1" applyAlignment="1" applyProtection="1">
      <alignment horizontal="left" vertical="center"/>
      <protection hidden="1"/>
    </xf>
    <xf numFmtId="0" fontId="10" fillId="1" borderId="20" xfId="0" applyFont="1" applyFill="1" applyBorder="1" applyAlignment="1" applyProtection="1">
      <alignment horizontal="left" vertical="center"/>
      <protection hidden="1"/>
    </xf>
    <xf numFmtId="0" fontId="10" fillId="0" borderId="15" xfId="0" applyFont="1" applyBorder="1" applyAlignment="1" applyProtection="1">
      <alignment horizontal="center" vertical="center"/>
      <protection hidden="1"/>
    </xf>
    <xf numFmtId="0" fontId="0" fillId="0" borderId="20" xfId="0" applyBorder="1" applyAlignment="1" applyProtection="1">
      <protection hidden="1"/>
    </xf>
    <xf numFmtId="0" fontId="10" fillId="1" borderId="18" xfId="0" applyFont="1" applyFill="1" applyBorder="1" applyAlignment="1" applyProtection="1">
      <alignment horizontal="center"/>
      <protection hidden="1"/>
    </xf>
    <xf numFmtId="0" fontId="10" fillId="1" borderId="19" xfId="0" applyFont="1" applyFill="1" applyBorder="1" applyAlignment="1" applyProtection="1">
      <alignment horizontal="center"/>
      <protection hidden="1"/>
    </xf>
    <xf numFmtId="0" fontId="5" fillId="0" borderId="23" xfId="0" applyFont="1" applyBorder="1" applyAlignment="1" applyProtection="1">
      <alignment horizontal="center"/>
      <protection hidden="1"/>
    </xf>
    <xf numFmtId="0" fontId="10" fillId="0" borderId="18" xfId="0" applyFont="1" applyBorder="1" applyAlignment="1" applyProtection="1">
      <alignment horizontal="center"/>
      <protection hidden="1"/>
    </xf>
    <xf numFmtId="0" fontId="10" fillId="0" borderId="28" xfId="0" applyFont="1" applyBorder="1" applyAlignment="1" applyProtection="1">
      <alignment horizontal="center"/>
      <protection hidden="1"/>
    </xf>
    <xf numFmtId="0" fontId="5" fillId="1" borderId="23" xfId="0" applyFont="1" applyFill="1" applyBorder="1" applyAlignment="1" applyProtection="1">
      <alignment horizontal="center"/>
      <protection hidden="1"/>
    </xf>
    <xf numFmtId="0" fontId="10" fillId="1" borderId="23" xfId="0" applyFont="1" applyFill="1" applyBorder="1" applyAlignment="1" applyProtection="1">
      <alignment horizontal="center"/>
      <protection hidden="1"/>
    </xf>
    <xf numFmtId="0" fontId="10" fillId="1" borderId="24" xfId="0" applyFont="1" applyFill="1" applyBorder="1" applyAlignment="1" applyProtection="1">
      <alignment horizontal="center"/>
      <protection hidden="1"/>
    </xf>
    <xf numFmtId="0" fontId="10" fillId="0" borderId="15" xfId="0" applyFont="1" applyBorder="1" applyAlignment="1" applyProtection="1">
      <alignment horizontal="left" vertical="center"/>
      <protection hidden="1"/>
    </xf>
    <xf numFmtId="0" fontId="10" fillId="0" borderId="20" xfId="0" applyFont="1" applyBorder="1" applyAlignment="1" applyProtection="1">
      <alignment horizontal="left" vertical="center"/>
      <protection hidden="1"/>
    </xf>
    <xf numFmtId="0" fontId="8" fillId="0" borderId="18" xfId="0" applyFont="1" applyBorder="1" applyAlignment="1" applyProtection="1">
      <alignment horizontal="center" wrapText="1"/>
      <protection hidden="1"/>
    </xf>
    <xf numFmtId="0" fontId="8" fillId="4" borderId="37" xfId="0" applyFont="1" applyFill="1" applyBorder="1" applyAlignment="1" applyProtection="1">
      <alignment horizontal="center"/>
      <protection hidden="1"/>
    </xf>
    <xf numFmtId="14" fontId="9" fillId="8" borderId="6" xfId="0" applyNumberFormat="1" applyFont="1" applyFill="1" applyBorder="1" applyAlignment="1" applyProtection="1">
      <alignment horizontal="center"/>
      <protection hidden="1"/>
    </xf>
    <xf numFmtId="171" fontId="9" fillId="14" borderId="6" xfId="4" applyNumberFormat="1" applyFont="1" applyFill="1" applyBorder="1" applyAlignment="1" applyProtection="1">
      <alignment horizontal="center"/>
      <protection hidden="1"/>
    </xf>
    <xf numFmtId="0" fontId="6" fillId="0" borderId="0" xfId="0" applyFont="1" applyBorder="1" applyProtection="1">
      <protection hidden="1"/>
    </xf>
    <xf numFmtId="0" fontId="52" fillId="0" borderId="5" xfId="0" applyFont="1" applyBorder="1" applyProtection="1">
      <protection hidden="1"/>
    </xf>
  </cellXfs>
  <cellStyles count="47">
    <cellStyle name="Comma" xfId="46" builtinId="3"/>
    <cellStyle name="Comma 2" xfId="1" xr:uid="{00000000-0005-0000-0000-000000000000}"/>
    <cellStyle name="Comma 2 2" xfId="9" xr:uid="{00000000-0005-0000-0000-000001000000}"/>
    <cellStyle name="Comma 3" xfId="23" xr:uid="{00000000-0005-0000-0000-000002000000}"/>
    <cellStyle name="Comma 3 2" xfId="39" xr:uid="{00000000-0005-0000-0000-000003000000}"/>
    <cellStyle name="Currency" xfId="2" builtinId="4"/>
    <cellStyle name="Currency 2" xfId="3" xr:uid="{00000000-0005-0000-0000-000005000000}"/>
    <cellStyle name="Currency 2 2" xfId="10" xr:uid="{00000000-0005-0000-0000-000006000000}"/>
    <cellStyle name="Hyperlink" xfId="21" builtinId="8"/>
    <cellStyle name="Hyperlink 2" xfId="11" xr:uid="{00000000-0005-0000-0000-000008000000}"/>
    <cellStyle name="Normal" xfId="0" builtinId="0"/>
    <cellStyle name="Normal 11" xfId="12" xr:uid="{00000000-0005-0000-0000-00000A000000}"/>
    <cellStyle name="Normal 11 2" xfId="24" xr:uid="{00000000-0005-0000-0000-00000B000000}"/>
    <cellStyle name="Normal 11 2 2" xfId="40" xr:uid="{00000000-0005-0000-0000-00000C000000}"/>
    <cellStyle name="Normal 11 3" xfId="32" xr:uid="{00000000-0005-0000-0000-00000D000000}"/>
    <cellStyle name="Normal 12" xfId="13" xr:uid="{00000000-0005-0000-0000-00000E000000}"/>
    <cellStyle name="Normal 12 2" xfId="26" xr:uid="{00000000-0005-0000-0000-00000F000000}"/>
    <cellStyle name="Normal 12 2 2" xfId="42" xr:uid="{00000000-0005-0000-0000-000010000000}"/>
    <cellStyle name="Normal 12 3" xfId="33" xr:uid="{00000000-0005-0000-0000-000011000000}"/>
    <cellStyle name="Normal 13" xfId="14" xr:uid="{00000000-0005-0000-0000-000012000000}"/>
    <cellStyle name="Normal 13 2" xfId="25" xr:uid="{00000000-0005-0000-0000-000013000000}"/>
    <cellStyle name="Normal 13 2 2" xfId="41" xr:uid="{00000000-0005-0000-0000-000014000000}"/>
    <cellStyle name="Normal 13 3" xfId="34" xr:uid="{00000000-0005-0000-0000-000015000000}"/>
    <cellStyle name="Normal 14" xfId="15" xr:uid="{00000000-0005-0000-0000-000016000000}"/>
    <cellStyle name="Normal 14 2" xfId="27" xr:uid="{00000000-0005-0000-0000-000017000000}"/>
    <cellStyle name="Normal 14 2 2" xfId="43" xr:uid="{00000000-0005-0000-0000-000018000000}"/>
    <cellStyle name="Normal 14 3" xfId="35" xr:uid="{00000000-0005-0000-0000-000019000000}"/>
    <cellStyle name="Normal 15" xfId="16" xr:uid="{00000000-0005-0000-0000-00001A000000}"/>
    <cellStyle name="Normal 15 2" xfId="28" xr:uid="{00000000-0005-0000-0000-00001B000000}"/>
    <cellStyle name="Normal 15 2 2" xfId="44" xr:uid="{00000000-0005-0000-0000-00001C000000}"/>
    <cellStyle name="Normal 15 3" xfId="36" xr:uid="{00000000-0005-0000-0000-00001D000000}"/>
    <cellStyle name="Normal 2" xfId="4" xr:uid="{00000000-0005-0000-0000-00001E000000}"/>
    <cellStyle name="Normal 2 2" xfId="17" xr:uid="{00000000-0005-0000-0000-00001F000000}"/>
    <cellStyle name="Normal 2 2 2" xfId="18" xr:uid="{00000000-0005-0000-0000-000020000000}"/>
    <cellStyle name="Normal 3" xfId="5" xr:uid="{00000000-0005-0000-0000-000021000000}"/>
    <cellStyle name="Normal 3 2" xfId="22" xr:uid="{00000000-0005-0000-0000-000022000000}"/>
    <cellStyle name="Normal 3 2 2" xfId="38" xr:uid="{00000000-0005-0000-0000-000023000000}"/>
    <cellStyle name="Normal 3 3" xfId="30" xr:uid="{00000000-0005-0000-0000-000024000000}"/>
    <cellStyle name="Normal 4" xfId="8" xr:uid="{00000000-0005-0000-0000-000025000000}"/>
    <cellStyle name="Normal 4 2" xfId="31" xr:uid="{00000000-0005-0000-0000-000026000000}"/>
    <cellStyle name="Normal 5" xfId="20" xr:uid="{00000000-0005-0000-0000-000027000000}"/>
    <cellStyle name="Normal 5 2" xfId="37" xr:uid="{00000000-0005-0000-0000-000028000000}"/>
    <cellStyle name="Normal 6" xfId="29" xr:uid="{00000000-0005-0000-0000-000029000000}"/>
    <cellStyle name="Normal 6 2" xfId="45" xr:uid="{00000000-0005-0000-0000-00002A000000}"/>
    <cellStyle name="Percent" xfId="6" builtinId="5"/>
    <cellStyle name="Percent 2" xfId="7" xr:uid="{00000000-0005-0000-0000-00002C000000}"/>
    <cellStyle name="Percent 2 2" xfId="19" xr:uid="{00000000-0005-0000-0000-00002D000000}"/>
  </cellStyles>
  <dxfs count="476">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border>
        <bottom style="thin">
          <color auto="1"/>
        </bottom>
        <vertical/>
        <horizontal/>
      </border>
    </dxf>
    <dxf>
      <border>
        <bottom style="thin">
          <color auto="1"/>
        </bottom>
        <vertical/>
        <horizontal/>
      </border>
    </dxf>
    <dxf>
      <fill>
        <patternFill>
          <bgColor rgb="FFCCFFFF"/>
        </patternFill>
      </fill>
    </dxf>
    <dxf>
      <font>
        <color rgb="FFFF0000"/>
      </font>
    </dxf>
    <dxf>
      <fill>
        <patternFill>
          <bgColor theme="9"/>
        </patternFill>
      </fill>
    </dxf>
    <dxf>
      <border>
        <bottom style="thin">
          <color auto="1"/>
        </bottom>
        <vertical/>
        <horizontal/>
      </border>
    </dxf>
    <dxf>
      <border>
        <bottom style="thin">
          <color auto="1"/>
        </bottom>
        <vertical/>
        <horizontal/>
      </border>
    </dxf>
    <dxf>
      <fill>
        <patternFill>
          <bgColor rgb="FFCCFFFF"/>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CCFFFF"/>
        </patternFill>
      </fill>
      <border>
        <left/>
        <right/>
        <top/>
        <bottom style="thin">
          <color auto="1"/>
        </bottom>
      </border>
    </dxf>
    <dxf>
      <font>
        <color auto="1"/>
      </font>
      <fill>
        <patternFill>
          <bgColor rgb="FFCCFFFF"/>
        </patternFill>
      </fill>
      <border>
        <left/>
        <right/>
        <top/>
        <bottom style="thin">
          <color auto="1"/>
        </bottom>
        <vertical/>
        <horizontal/>
      </border>
    </dxf>
    <dxf>
      <font>
        <color theme="0" tint="-0.24994659260841701"/>
      </font>
      <fill>
        <patternFill>
          <bgColor rgb="FFFF0000"/>
        </patternFill>
      </fill>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9"/>
        </patternFill>
      </fill>
    </dxf>
    <dxf>
      <font>
        <color rgb="FFFF0000"/>
      </font>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9"/>
        </patternFill>
      </fill>
    </dxf>
    <dxf>
      <font>
        <color rgb="FFFF0000"/>
      </font>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ont>
        <color theme="0" tint="-0.24994659260841701"/>
      </font>
    </dxf>
    <dxf>
      <font>
        <color theme="1"/>
      </font>
      <fill>
        <patternFill patternType="none">
          <bgColor auto="1"/>
        </patternFill>
      </fill>
      <border>
        <left style="thin">
          <color auto="1"/>
        </left>
        <right style="thin">
          <color auto="1"/>
        </right>
        <top style="thin">
          <color auto="1"/>
        </top>
        <vertical/>
        <horizontal/>
      </border>
    </dxf>
    <dxf>
      <font>
        <color auto="1"/>
      </font>
    </dxf>
    <dxf>
      <fill>
        <patternFill>
          <bgColor rgb="FFCCFFFF"/>
        </patternFill>
      </fill>
      <border>
        <left/>
        <right/>
        <top/>
        <bottom style="thin">
          <color auto="1"/>
        </bottom>
      </border>
    </dxf>
    <dxf>
      <font>
        <color auto="1"/>
      </font>
      <fill>
        <patternFill>
          <bgColor rgb="FFCCFFFF"/>
        </patternFill>
      </fill>
      <border>
        <left/>
        <right/>
        <top/>
        <bottom style="thin">
          <color auto="1"/>
        </bottom>
        <vertical/>
        <horizontal/>
      </border>
    </dxf>
    <dxf>
      <font>
        <color theme="0" tint="-0.24994659260841701"/>
      </font>
      <fill>
        <patternFill>
          <bgColor rgb="FFFF0000"/>
        </patternFill>
      </fill>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9"/>
        </patternFill>
      </fill>
    </dxf>
    <dxf>
      <font>
        <color rgb="FFFF0000"/>
      </font>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9"/>
        </patternFill>
      </fill>
    </dxf>
    <dxf>
      <font>
        <color rgb="FFFF0000"/>
      </font>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ont>
        <color theme="0" tint="-0.24994659260841701"/>
      </font>
    </dxf>
    <dxf>
      <font>
        <color rgb="FFFF0000"/>
      </font>
    </dxf>
    <dxf>
      <font>
        <color theme="1"/>
      </font>
      <fill>
        <patternFill patternType="none">
          <bgColor auto="1"/>
        </patternFill>
      </fill>
      <border>
        <left style="thin">
          <color auto="1"/>
        </left>
        <right style="thin">
          <color auto="1"/>
        </right>
        <top style="thin">
          <color auto="1"/>
        </top>
        <vertical/>
        <horizontal/>
      </border>
    </dxf>
    <dxf>
      <font>
        <color auto="1"/>
      </font>
    </dxf>
    <dxf>
      <font>
        <color rgb="FFFF0000"/>
      </font>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ont>
        <color theme="0" tint="-0.24994659260841701"/>
      </font>
      <fill>
        <patternFill>
          <bgColor rgb="FFFF0000"/>
        </patternFill>
      </fill>
    </dxf>
    <dxf>
      <font>
        <u/>
        <color rgb="FFDD0806"/>
      </font>
    </dxf>
    <dxf>
      <font>
        <u/>
        <color rgb="FFDD0806"/>
      </font>
    </dxf>
    <dxf>
      <font>
        <condense val="0"/>
        <extend val="0"/>
        <u/>
        <color indexed="10"/>
      </font>
    </dxf>
    <dxf>
      <font>
        <color rgb="FFFF0000"/>
      </font>
    </dxf>
    <dxf>
      <fill>
        <patternFill patternType="none">
          <bgColor auto="1"/>
        </patternFill>
      </fill>
      <border>
        <left style="thin">
          <color auto="1"/>
        </left>
        <right style="thin">
          <color auto="1"/>
        </right>
        <top style="thin">
          <color auto="1"/>
        </top>
        <bottom style="thin">
          <color auto="1"/>
        </bottom>
        <vertical/>
        <horizontal/>
      </border>
    </dxf>
    <dxf>
      <fill>
        <patternFill>
          <bgColor theme="9"/>
        </patternFill>
      </fill>
    </dxf>
    <dxf>
      <font>
        <color rgb="FFFF0000"/>
      </font>
    </dxf>
    <dxf>
      <fill>
        <patternFill>
          <bgColor theme="9"/>
        </patternFill>
      </fill>
    </dxf>
    <dxf>
      <font>
        <color rgb="FFFF0000"/>
      </font>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9"/>
        </patternFill>
      </fill>
    </dxf>
    <dxf>
      <font>
        <color rgb="FFFF0000"/>
      </font>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9"/>
        </patternFill>
      </fill>
    </dxf>
    <dxf>
      <font>
        <color rgb="FFFF0000"/>
      </font>
    </dxf>
    <dxf>
      <fill>
        <patternFill>
          <bgColor theme="9"/>
        </patternFill>
      </fill>
    </dxf>
    <dxf>
      <font>
        <color rgb="FFFF0000"/>
      </font>
    </dxf>
    <dxf>
      <font>
        <color theme="0" tint="-0.24994659260841701"/>
      </font>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bgColor theme="9"/>
        </patternFill>
      </fill>
    </dxf>
    <dxf>
      <font>
        <color rgb="FFFF0000"/>
      </font>
    </dxf>
    <dxf>
      <font>
        <color theme="0" tint="-0.24994659260841701"/>
      </font>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bgColor rgb="FFCCFFFF"/>
        </patternFill>
      </fill>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9"/>
        </patternFill>
      </fill>
    </dxf>
    <dxf>
      <font>
        <color rgb="FFFF0000"/>
      </font>
    </dxf>
    <dxf>
      <fill>
        <patternFill>
          <bgColor theme="9"/>
        </patternFill>
      </fill>
    </dxf>
    <dxf>
      <font>
        <color rgb="FFFF0000"/>
      </font>
    </dxf>
    <dxf>
      <fill>
        <patternFill>
          <bgColor theme="9"/>
        </patternFill>
      </fill>
    </dxf>
    <dxf>
      <font>
        <color rgb="FFFF0000"/>
      </font>
    </dxf>
    <dxf>
      <fill>
        <patternFill>
          <bgColor theme="9"/>
        </patternFill>
      </fill>
    </dxf>
    <dxf>
      <font>
        <color rgb="FFFF0000"/>
      </font>
    </dxf>
    <dxf>
      <font>
        <color theme="0" tint="-0.24994659260841701"/>
      </font>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ont>
        <color theme="0" tint="-0.24994659260841701"/>
      </font>
    </dxf>
    <dxf>
      <font>
        <color theme="0" tint="-0.24994659260841701"/>
      </font>
    </dxf>
    <dxf>
      <fill>
        <patternFill>
          <bgColor rgb="FFCCFFFF"/>
        </patternFill>
      </fill>
    </dxf>
    <dxf>
      <fill>
        <patternFill>
          <bgColor rgb="FFCCFFFF"/>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FF0000"/>
      </font>
    </dxf>
    <dxf>
      <fill>
        <patternFill>
          <bgColor theme="9"/>
        </patternFill>
      </fill>
    </dxf>
    <dxf>
      <font>
        <color rgb="FFFF0000"/>
      </font>
    </dxf>
    <dxf>
      <fill>
        <patternFill>
          <bgColor theme="9"/>
        </patternFill>
      </fill>
    </dxf>
    <dxf>
      <font>
        <color rgb="FFFF0000"/>
      </font>
      <fill>
        <patternFill>
          <fgColor auto="1"/>
          <bgColor theme="0"/>
        </patternFill>
      </fill>
    </dxf>
    <dxf>
      <fill>
        <patternFill>
          <bgColor theme="9"/>
        </patternFill>
      </fill>
    </dxf>
    <dxf>
      <font>
        <color rgb="FFFF0000"/>
      </font>
    </dxf>
    <dxf>
      <fill>
        <patternFill>
          <bgColor theme="9"/>
        </patternFill>
      </fill>
    </dxf>
    <dxf>
      <font>
        <color rgb="FFFF0000"/>
      </font>
    </dxf>
    <dxf>
      <fill>
        <patternFill>
          <bgColor theme="9"/>
        </patternFill>
      </fill>
    </dxf>
    <dxf>
      <font>
        <color rgb="FFFF0000"/>
      </font>
    </dxf>
    <dxf>
      <font>
        <u/>
        <color rgb="FFDD0806"/>
      </font>
    </dxf>
    <dxf>
      <font>
        <color theme="0" tint="-0.24994659260841701"/>
      </font>
    </dxf>
    <dxf>
      <fill>
        <patternFill>
          <bgColor rgb="FFFF0000"/>
        </patternFill>
      </fill>
    </dxf>
    <dxf>
      <font>
        <u/>
        <color rgb="FFDD0806"/>
      </font>
    </dxf>
    <dxf>
      <font>
        <u/>
        <color rgb="FFDD0806"/>
      </font>
    </dxf>
    <dxf>
      <font>
        <u/>
        <color rgb="FFDD0806"/>
      </font>
    </dxf>
    <dxf>
      <font>
        <color theme="0" tint="-0.24994659260841701"/>
      </font>
    </dxf>
    <dxf>
      <font>
        <color theme="0" tint="-0.24994659260841701"/>
      </font>
    </dxf>
    <dxf>
      <font>
        <u/>
        <color rgb="FFDD0806"/>
      </font>
    </dxf>
    <dxf>
      <font>
        <u/>
        <color rgb="FFDD0806"/>
      </font>
    </dxf>
    <dxf>
      <font>
        <u/>
        <color rgb="FFDD0806"/>
      </font>
    </dxf>
    <dxf>
      <font>
        <condense val="0"/>
        <extend val="0"/>
        <u/>
        <color indexed="10"/>
      </font>
    </dxf>
    <dxf>
      <font>
        <color theme="0" tint="-0.24994659260841701"/>
      </font>
    </dxf>
    <dxf>
      <fill>
        <patternFill>
          <bgColor rgb="FFFF0000"/>
        </patternFill>
      </fill>
    </dxf>
    <dxf>
      <font>
        <color theme="0" tint="-0.24994659260841701"/>
      </font>
    </dxf>
    <dxf>
      <font>
        <color theme="0" tint="-0.24994659260841701"/>
      </font>
    </dxf>
    <dxf>
      <font>
        <condense val="0"/>
        <extend val="0"/>
        <u/>
        <color indexed="10"/>
      </font>
    </dxf>
    <dxf>
      <font>
        <condense val="0"/>
        <extend val="0"/>
        <u/>
        <color indexed="10"/>
      </font>
    </dxf>
    <dxf>
      <font>
        <condense val="0"/>
        <extend val="0"/>
        <u/>
        <color indexed="10"/>
      </font>
    </dxf>
    <dxf>
      <font>
        <color rgb="FFFF0000"/>
      </font>
    </dxf>
    <dxf>
      <fill>
        <patternFill>
          <bgColor rgb="FFFF9900"/>
        </patternFill>
      </fill>
    </dxf>
    <dxf>
      <fill>
        <patternFill>
          <bgColor rgb="FFFF9900"/>
        </patternFill>
      </fill>
    </dxf>
    <dxf>
      <font>
        <color theme="0" tint="-0.24994659260841701"/>
      </font>
    </dxf>
    <dxf>
      <font>
        <color theme="1"/>
      </font>
    </dxf>
    <dxf>
      <fill>
        <patternFill>
          <bgColor rgb="FFFF99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rgb="FFCCFFFF"/>
        </patternFill>
      </fill>
    </dxf>
    <dxf>
      <fill>
        <patternFill>
          <bgColor theme="9"/>
        </patternFill>
      </fill>
      <border>
        <left style="thin">
          <color auto="1"/>
        </left>
        <right style="thin">
          <color auto="1"/>
        </right>
        <top style="thin">
          <color auto="1"/>
        </top>
        <bottom style="thin">
          <color auto="1"/>
        </bottom>
      </border>
    </dxf>
    <dxf>
      <fill>
        <patternFill>
          <bgColor theme="9"/>
        </patternFill>
      </fill>
      <border>
        <left style="thin">
          <color auto="1"/>
        </left>
        <right style="thin">
          <color auto="1"/>
        </right>
        <top style="thin">
          <color auto="1"/>
        </top>
        <bottom style="thin">
          <color auto="1"/>
        </bottom>
      </border>
    </dxf>
    <dxf>
      <font>
        <color theme="0" tint="-0.24994659260841701"/>
      </font>
    </dxf>
    <dxf>
      <font>
        <color theme="0" tint="-0.24994659260841701"/>
      </font>
    </dxf>
    <dxf>
      <font>
        <color theme="0" tint="-0.24994659260841701"/>
      </font>
    </dxf>
    <dxf>
      <font>
        <color theme="0" tint="-0.24994659260841701"/>
      </font>
    </dxf>
    <dxf>
      <font>
        <color theme="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theme="0"/>
        </patternFill>
      </fill>
    </dxf>
    <dxf>
      <font>
        <color theme="1"/>
      </font>
    </dxf>
    <dxf>
      <fill>
        <patternFill>
          <bgColor theme="0"/>
        </patternFill>
      </fill>
    </dxf>
    <dxf>
      <font>
        <color theme="1"/>
      </font>
    </dxf>
    <dxf>
      <fill>
        <patternFill>
          <bgColor rgb="FFFF9900"/>
        </patternFill>
      </fill>
    </dxf>
    <dxf>
      <fill>
        <patternFill>
          <bgColor rgb="FFFF9900"/>
        </patternFill>
      </fill>
    </dxf>
    <dxf>
      <font>
        <color rgb="FFFF0000"/>
      </font>
      <fill>
        <patternFill>
          <bgColor rgb="FFFFFF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9900"/>
        </patternFill>
      </fill>
    </dxf>
    <dxf>
      <font>
        <b/>
        <i val="0"/>
        <color rgb="FFFF0000"/>
      </font>
      <fill>
        <patternFill>
          <bgColor rgb="FFFFFF00"/>
        </patternFill>
      </fill>
    </dxf>
    <dxf>
      <fill>
        <patternFill>
          <bgColor rgb="FFFF9900"/>
        </patternFill>
      </fill>
    </dxf>
    <dxf>
      <font>
        <b/>
        <i val="0"/>
        <color rgb="FFFF0000"/>
      </font>
      <fill>
        <patternFill>
          <bgColor rgb="FFFFFF00"/>
        </patternFill>
      </fill>
    </dxf>
    <dxf>
      <fill>
        <patternFill>
          <bgColor rgb="FFFF9900"/>
        </patternFill>
      </fill>
    </dxf>
    <dxf>
      <font>
        <color rgb="FFFF0000"/>
      </font>
      <fill>
        <patternFill>
          <bgColor rgb="FFFFFF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0000"/>
        </patternFill>
      </fill>
    </dxf>
    <dxf>
      <fill>
        <patternFill>
          <bgColor rgb="FFFF9900"/>
        </patternFill>
      </fill>
    </dxf>
    <dxf>
      <font>
        <color rgb="FFFF0000"/>
      </font>
      <fill>
        <patternFill>
          <bgColor rgb="FFFFFF00"/>
        </patternFill>
      </fill>
    </dxf>
    <dxf>
      <fill>
        <patternFill>
          <bgColor rgb="FFFF9900"/>
        </patternFill>
      </fill>
    </dxf>
    <dxf>
      <font>
        <color rgb="FFFF0000"/>
      </font>
      <fill>
        <patternFill>
          <bgColor rgb="FFFFFF00"/>
        </patternFill>
      </fill>
    </dxf>
    <dxf>
      <font>
        <color rgb="FFFF0000"/>
      </font>
      <fill>
        <patternFill>
          <bgColor rgb="FFFFFF00"/>
        </patternFill>
      </fill>
    </dxf>
    <dxf>
      <fill>
        <patternFill>
          <bgColor rgb="FFFF9900"/>
        </patternFill>
      </fill>
    </dxf>
    <dxf>
      <fill>
        <patternFill>
          <bgColor rgb="FFFF9900"/>
        </patternFill>
      </fill>
    </dxf>
    <dxf>
      <fill>
        <patternFill>
          <bgColor rgb="FFFF9900"/>
        </patternFill>
      </fill>
    </dxf>
    <dxf>
      <fill>
        <patternFill>
          <bgColor rgb="FFFF9900"/>
        </patternFill>
      </fill>
    </dxf>
    <dxf>
      <font>
        <color rgb="FFFF0000"/>
      </font>
      <fill>
        <patternFill>
          <bgColor rgb="FFFFFF00"/>
        </patternFill>
      </fill>
    </dxf>
    <dxf>
      <fill>
        <patternFill>
          <bgColor theme="9"/>
        </patternFill>
      </fill>
    </dxf>
    <dxf>
      <fill>
        <patternFill>
          <bgColor theme="9"/>
        </patternFill>
      </fill>
    </dxf>
    <dxf>
      <fill>
        <patternFill>
          <bgColor theme="9"/>
        </patternFill>
      </fill>
    </dxf>
    <dxf>
      <fill>
        <patternFill>
          <bgColor theme="9"/>
        </patternFill>
      </fill>
    </dxf>
    <dxf>
      <fill>
        <patternFill>
          <fgColor theme="9"/>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CCFFFF"/>
        </patternFill>
      </fill>
    </dxf>
    <dxf>
      <font>
        <color rgb="FFFF0000"/>
      </font>
    </dxf>
    <dxf>
      <fill>
        <patternFill>
          <bgColor theme="9"/>
        </patternFill>
      </fill>
    </dxf>
    <dxf>
      <border>
        <bottom style="thin">
          <color auto="1"/>
        </bottom>
        <vertical/>
        <horizontal/>
      </border>
    </dxf>
    <dxf>
      <fill>
        <patternFill>
          <bgColor theme="9"/>
        </patternFill>
      </fill>
    </dxf>
    <dxf>
      <fill>
        <patternFill>
          <bgColor rgb="FFCCFFFF"/>
        </patternFill>
      </fill>
      <border>
        <left/>
        <right/>
        <bottom style="thin">
          <color auto="1"/>
        </bottom>
      </border>
    </dxf>
    <dxf>
      <font>
        <color theme="0" tint="-0.24994659260841701"/>
      </font>
    </dxf>
    <dxf>
      <font>
        <color auto="1"/>
      </font>
      <fill>
        <patternFill>
          <bgColor rgb="FFFF0000"/>
        </patternFill>
      </fill>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9"/>
        </patternFill>
      </fill>
    </dxf>
    <dxf>
      <font>
        <color rgb="FFFF0000"/>
      </font>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9"/>
        </patternFill>
      </fill>
    </dxf>
    <dxf>
      <font>
        <color rgb="FFFF0000"/>
      </font>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bgColor rgb="FFCCFFFF"/>
        </patternFill>
      </fill>
      <border>
        <left/>
        <right/>
        <bottom style="thin">
          <color auto="1"/>
        </bottom>
      </border>
    </dxf>
    <dxf>
      <font>
        <color rgb="FFFF0000"/>
      </font>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ont>
        <color theme="0" tint="-0.24994659260841701"/>
      </font>
    </dxf>
    <dxf>
      <font>
        <color auto="1"/>
      </font>
      <fill>
        <patternFill>
          <bgColor rgb="FFFF0000"/>
        </patternFill>
      </fill>
    </dxf>
    <dxf>
      <font>
        <u/>
        <color rgb="FFDD0806"/>
      </font>
    </dxf>
    <dxf>
      <font>
        <u/>
        <color rgb="FFDD0806"/>
      </font>
    </dxf>
    <dxf>
      <font>
        <condense val="0"/>
        <extend val="0"/>
        <u/>
        <color indexed="10"/>
      </font>
    </dxf>
    <dxf>
      <font>
        <color rgb="FFFF0000"/>
      </font>
    </dxf>
    <dxf>
      <fill>
        <patternFill patternType="none">
          <bgColor auto="1"/>
        </patternFill>
      </fill>
      <border>
        <left style="thin">
          <color auto="1"/>
        </left>
        <right style="thin">
          <color auto="1"/>
        </right>
        <top style="thin">
          <color auto="1"/>
        </top>
        <bottom style="thin">
          <color auto="1"/>
        </bottom>
        <vertical/>
        <horizontal/>
      </border>
    </dxf>
    <dxf>
      <fill>
        <patternFill>
          <bgColor theme="9"/>
        </patternFill>
      </fill>
    </dxf>
    <dxf>
      <font>
        <color rgb="FFFF0000"/>
      </font>
    </dxf>
    <dxf>
      <fill>
        <patternFill>
          <bgColor theme="9"/>
        </patternFill>
      </fill>
    </dxf>
    <dxf>
      <font>
        <color rgb="FFFF0000"/>
      </font>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9"/>
        </patternFill>
      </fill>
    </dxf>
    <dxf>
      <font>
        <color rgb="FFFF0000"/>
      </font>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9"/>
        </patternFill>
      </fill>
    </dxf>
    <dxf>
      <font>
        <color rgb="FFFF0000"/>
      </font>
    </dxf>
    <dxf>
      <fill>
        <patternFill>
          <bgColor theme="9"/>
        </patternFill>
      </fill>
    </dxf>
    <dxf>
      <font>
        <color rgb="FFFF0000"/>
      </font>
    </dxf>
    <dxf>
      <font>
        <color theme="0" tint="-0.24994659260841701"/>
      </font>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bgColor theme="9"/>
        </patternFill>
      </fill>
    </dxf>
    <dxf>
      <font>
        <color rgb="FFFF0000"/>
      </font>
    </dxf>
    <dxf>
      <font>
        <color theme="0" tint="-0.24994659260841701"/>
      </font>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9"/>
        </patternFill>
      </fill>
    </dxf>
    <dxf>
      <font>
        <color rgb="FFFF0000"/>
      </font>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9"/>
        </patternFill>
      </fill>
    </dxf>
    <dxf>
      <font>
        <color rgb="FFFF0000"/>
      </font>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bgColor rgb="FFCCFFFF"/>
        </patternFill>
      </fill>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9"/>
        </patternFill>
      </fill>
    </dxf>
    <dxf>
      <font>
        <color rgb="FFFF0000"/>
      </font>
    </dxf>
    <dxf>
      <fill>
        <patternFill>
          <bgColor theme="9"/>
        </patternFill>
      </fill>
    </dxf>
    <dxf>
      <font>
        <color rgb="FFFF0000"/>
      </font>
    </dxf>
    <dxf>
      <fill>
        <patternFill>
          <bgColor theme="9"/>
        </patternFill>
      </fill>
    </dxf>
    <dxf>
      <font>
        <color rgb="FFFF0000"/>
      </font>
    </dxf>
    <dxf>
      <fill>
        <patternFill>
          <bgColor theme="9"/>
        </patternFill>
      </fill>
    </dxf>
    <dxf>
      <font>
        <color rgb="FFFF0000"/>
      </font>
    </dxf>
    <dxf>
      <font>
        <color theme="0" tint="-0.24994659260841701"/>
      </font>
    </dxf>
    <dxf>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rgb="FFCCFFFF"/>
        </patternFill>
      </fill>
      <border>
        <left/>
        <right/>
        <top/>
        <bottom style="thin">
          <color auto="1"/>
        </bottom>
        <vertical/>
        <horizontal/>
      </border>
    </dxf>
    <dxf>
      <fill>
        <patternFill>
          <bgColor rgb="FFCCFFFF"/>
        </patternFill>
      </fill>
      <border>
        <left/>
        <right/>
        <top/>
        <bottom style="thin">
          <color auto="1"/>
        </bottom>
        <vertical/>
        <horizontal/>
      </border>
    </dxf>
    <dxf>
      <font>
        <color theme="0" tint="-0.24994659260841701"/>
      </font>
    </dxf>
    <dxf>
      <font>
        <color theme="0" tint="-0.24994659260841701"/>
      </font>
    </dxf>
    <dxf>
      <fill>
        <patternFill>
          <bgColor rgb="FFCCFFFF"/>
        </patternFill>
      </fill>
    </dxf>
    <dxf>
      <fill>
        <patternFill>
          <bgColor rgb="FFCCFFFF"/>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FF0000"/>
      </font>
    </dxf>
    <dxf>
      <fill>
        <patternFill>
          <bgColor theme="9"/>
        </patternFill>
      </fill>
    </dxf>
    <dxf>
      <font>
        <color rgb="FFFF0000"/>
      </font>
    </dxf>
    <dxf>
      <fill>
        <patternFill>
          <bgColor theme="9"/>
        </patternFill>
      </fill>
    </dxf>
    <dxf>
      <font>
        <color rgb="FFFF0000"/>
      </font>
      <fill>
        <patternFill>
          <fgColor auto="1"/>
          <bgColor theme="0"/>
        </patternFill>
      </fill>
    </dxf>
    <dxf>
      <fill>
        <patternFill>
          <bgColor theme="9"/>
        </patternFill>
      </fill>
    </dxf>
    <dxf>
      <font>
        <color rgb="FFFF0000"/>
      </font>
    </dxf>
    <dxf>
      <fill>
        <patternFill>
          <bgColor theme="9"/>
        </patternFill>
      </fill>
    </dxf>
    <dxf>
      <font>
        <color rgb="FFFF0000"/>
      </font>
    </dxf>
    <dxf>
      <fill>
        <patternFill>
          <bgColor theme="9"/>
        </patternFill>
      </fill>
    </dxf>
    <dxf>
      <font>
        <color rgb="FFFF0000"/>
      </font>
    </dxf>
    <dxf>
      <font>
        <u/>
        <color rgb="FFDD0806"/>
      </font>
    </dxf>
    <dxf>
      <font>
        <color theme="0" tint="-0.24994659260841701"/>
      </font>
    </dxf>
    <dxf>
      <fill>
        <patternFill>
          <bgColor rgb="FFFF0000"/>
        </patternFill>
      </fill>
    </dxf>
    <dxf>
      <font>
        <u/>
        <color rgb="FFDD0806"/>
      </font>
    </dxf>
    <dxf>
      <font>
        <u/>
        <color rgb="FFDD0806"/>
      </font>
    </dxf>
    <dxf>
      <font>
        <u/>
        <color rgb="FFDD0806"/>
      </font>
    </dxf>
    <dxf>
      <font>
        <color theme="0" tint="-0.24994659260841701"/>
      </font>
    </dxf>
    <dxf>
      <font>
        <color theme="0" tint="-0.24994659260841701"/>
      </font>
    </dxf>
    <dxf>
      <font>
        <u/>
        <color rgb="FFDD0806"/>
      </font>
    </dxf>
    <dxf>
      <font>
        <u/>
        <color rgb="FFDD0806"/>
      </font>
    </dxf>
    <dxf>
      <font>
        <u/>
        <color rgb="FFDD0806"/>
      </font>
    </dxf>
    <dxf>
      <font>
        <condense val="0"/>
        <extend val="0"/>
        <u/>
        <color indexed="10"/>
      </font>
    </dxf>
    <dxf>
      <font>
        <color theme="0" tint="-0.24994659260841701"/>
      </font>
    </dxf>
    <dxf>
      <fill>
        <patternFill>
          <bgColor rgb="FFFF0000"/>
        </patternFill>
      </fill>
    </dxf>
    <dxf>
      <font>
        <color theme="0" tint="-0.24994659260841701"/>
      </font>
    </dxf>
    <dxf>
      <font>
        <color theme="0" tint="-0.24994659260841701"/>
      </font>
    </dxf>
    <dxf>
      <font>
        <condense val="0"/>
        <extend val="0"/>
        <u/>
        <color indexed="10"/>
      </font>
    </dxf>
    <dxf>
      <font>
        <condense val="0"/>
        <extend val="0"/>
        <u/>
        <color indexed="10"/>
      </font>
    </dxf>
    <dxf>
      <font>
        <condense val="0"/>
        <extend val="0"/>
        <u/>
        <color indexed="10"/>
      </font>
    </dxf>
    <dxf>
      <font>
        <color theme="0" tint="-0.24994659260841701"/>
      </font>
    </dxf>
    <dxf>
      <font>
        <color theme="1"/>
      </font>
    </dxf>
    <dxf>
      <fill>
        <patternFill>
          <bgColor rgb="FFFF99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rgb="FFCCFFFF"/>
        </patternFill>
      </fill>
    </dxf>
    <dxf>
      <fill>
        <patternFill>
          <bgColor theme="9"/>
        </patternFill>
      </fill>
      <border>
        <left style="thin">
          <color auto="1"/>
        </left>
        <right style="thin">
          <color auto="1"/>
        </right>
        <top style="thin">
          <color auto="1"/>
        </top>
        <bottom style="thin">
          <color auto="1"/>
        </bottom>
      </border>
    </dxf>
    <dxf>
      <fill>
        <patternFill>
          <bgColor theme="9"/>
        </patternFill>
      </fill>
      <border>
        <left style="thin">
          <color auto="1"/>
        </left>
        <right style="thin">
          <color auto="1"/>
        </right>
        <top style="thin">
          <color auto="1"/>
        </top>
        <bottom style="thin">
          <color auto="1"/>
        </bottom>
      </border>
    </dxf>
    <dxf>
      <font>
        <color theme="0" tint="-0.24994659260841701"/>
      </font>
    </dxf>
    <dxf>
      <font>
        <color theme="0" tint="-0.24994659260841701"/>
      </font>
    </dxf>
    <dxf>
      <font>
        <color theme="0" tint="-0.24994659260841701"/>
      </font>
    </dxf>
    <dxf>
      <font>
        <color theme="0" tint="-0.24994659260841701"/>
      </font>
    </dxf>
    <dxf>
      <font>
        <color theme="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theme="0"/>
        </patternFill>
      </fill>
    </dxf>
    <dxf>
      <font>
        <color theme="1"/>
      </font>
    </dxf>
    <dxf>
      <fill>
        <patternFill>
          <bgColor theme="0"/>
        </patternFill>
      </fill>
    </dxf>
    <dxf>
      <font>
        <color theme="1"/>
      </font>
    </dxf>
    <dxf>
      <fill>
        <patternFill>
          <bgColor rgb="FFFF9900"/>
        </patternFill>
      </fill>
    </dxf>
    <dxf>
      <fill>
        <patternFill>
          <bgColor rgb="FFFF9900"/>
        </patternFill>
      </fill>
    </dxf>
    <dxf>
      <font>
        <color rgb="FFFF0000"/>
      </font>
      <fill>
        <patternFill>
          <bgColor rgb="FFFFFF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9900"/>
        </patternFill>
      </fill>
    </dxf>
    <dxf>
      <font>
        <b/>
        <i val="0"/>
        <color rgb="FFFF0000"/>
      </font>
      <fill>
        <patternFill>
          <bgColor rgb="FFFFFF00"/>
        </patternFill>
      </fill>
    </dxf>
    <dxf>
      <fill>
        <patternFill>
          <bgColor rgb="FFFF9900"/>
        </patternFill>
      </fill>
    </dxf>
    <dxf>
      <font>
        <b/>
        <i val="0"/>
        <color rgb="FFFF0000"/>
      </font>
      <fill>
        <patternFill>
          <bgColor rgb="FFFFFF00"/>
        </patternFill>
      </fill>
    </dxf>
    <dxf>
      <fill>
        <patternFill>
          <bgColor rgb="FFFF9900"/>
        </patternFill>
      </fill>
    </dxf>
    <dxf>
      <font>
        <color rgb="FFFF0000"/>
      </font>
      <fill>
        <patternFill>
          <bgColor rgb="FFFFFF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9900"/>
        </patternFill>
      </fill>
    </dxf>
    <dxf>
      <fill>
        <patternFill>
          <bgColor rgb="FFFF0000"/>
        </patternFill>
      </fill>
    </dxf>
    <dxf>
      <fill>
        <patternFill>
          <bgColor rgb="FFFF9900"/>
        </patternFill>
      </fill>
    </dxf>
    <dxf>
      <font>
        <color rgb="FFFF0000"/>
      </font>
      <fill>
        <patternFill>
          <bgColor rgb="FFFFFF00"/>
        </patternFill>
      </fill>
    </dxf>
    <dxf>
      <fill>
        <patternFill>
          <bgColor rgb="FFFF9900"/>
        </patternFill>
      </fill>
    </dxf>
    <dxf>
      <font>
        <color rgb="FFFF0000"/>
      </font>
      <fill>
        <patternFill>
          <bgColor rgb="FFFFFF00"/>
        </patternFill>
      </fill>
    </dxf>
    <dxf>
      <font>
        <color rgb="FFFF0000"/>
      </font>
      <fill>
        <patternFill>
          <bgColor rgb="FFFFFF00"/>
        </patternFill>
      </fill>
    </dxf>
    <dxf>
      <fill>
        <patternFill>
          <bgColor rgb="FFFF9900"/>
        </patternFill>
      </fill>
    </dxf>
    <dxf>
      <fill>
        <patternFill>
          <bgColor rgb="FFFF9900"/>
        </patternFill>
      </fill>
    </dxf>
    <dxf>
      <fill>
        <patternFill>
          <bgColor rgb="FFFF9900"/>
        </patternFill>
      </fill>
    </dxf>
    <dxf>
      <fill>
        <patternFill>
          <bgColor rgb="FFFF9900"/>
        </patternFill>
      </fill>
    </dxf>
    <dxf>
      <font>
        <color rgb="FFFF0000"/>
      </font>
      <fill>
        <patternFill>
          <bgColor rgb="FFFFFF00"/>
        </patternFill>
      </fill>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0" tint="-0.24994659260841701"/>
      </font>
      <fill>
        <patternFill>
          <bgColor rgb="FFCCFFFF"/>
        </patternFill>
      </fill>
    </dxf>
    <dxf>
      <font>
        <color theme="1" tint="0.499984740745262"/>
      </font>
    </dxf>
    <dxf>
      <font>
        <b val="0"/>
        <i val="0"/>
        <color theme="1" tint="0.499984740745262"/>
      </font>
      <border>
        <vertical/>
        <horizontal/>
      </border>
    </dxf>
    <dxf>
      <border>
        <top/>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FF"/>
      <color rgb="FF53D9EB"/>
      <color rgb="FFDD0806"/>
      <color rgb="FF0000FF"/>
      <color rgb="FF66FFFF"/>
      <color rgb="FF339966"/>
      <color rgb="FF97FFFF"/>
      <color rgb="FFFF9900"/>
      <color rgb="FFC1FF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AZ$29" noThreeD="1"/>
</file>

<file path=xl/ctrlProps/ctrlProp10.xml><?xml version="1.0" encoding="utf-8"?>
<formControlPr xmlns="http://schemas.microsoft.com/office/spreadsheetml/2009/9/main" objectType="CheckBox" fmlaLink="$AK$14" lockText="1" noThreeD="1"/>
</file>

<file path=xl/ctrlProps/ctrlProp11.xml><?xml version="1.0" encoding="utf-8"?>
<formControlPr xmlns="http://schemas.microsoft.com/office/spreadsheetml/2009/9/main" objectType="CheckBox" fmlaLink="$AK$12" lockText="1" noThreeD="1"/>
</file>

<file path=xl/ctrlProps/ctrlProp12.xml><?xml version="1.0" encoding="utf-8"?>
<formControlPr xmlns="http://schemas.microsoft.com/office/spreadsheetml/2009/9/main" objectType="CheckBox" fmlaLink="$AK$11" lockText="1" noThreeD="1"/>
</file>

<file path=xl/ctrlProps/ctrlProp13.xml><?xml version="1.0" encoding="utf-8"?>
<formControlPr xmlns="http://schemas.microsoft.com/office/spreadsheetml/2009/9/main" objectType="CheckBox" fmlaLink="$AK$10" lockText="1" noThreeD="1"/>
</file>

<file path=xl/ctrlProps/ctrlProp14.xml><?xml version="1.0" encoding="utf-8"?>
<formControlPr xmlns="http://schemas.microsoft.com/office/spreadsheetml/2009/9/main" objectType="CheckBox" fmlaLink="$AK$13" lockText="1" noThreeD="1"/>
</file>

<file path=xl/ctrlProps/ctrlProp15.xml><?xml version="1.0" encoding="utf-8"?>
<formControlPr xmlns="http://schemas.microsoft.com/office/spreadsheetml/2009/9/main" objectType="CheckBox" fmlaLink="$AK$15" lockText="1" noThreeD="1"/>
</file>

<file path=xl/ctrlProps/ctrlProp16.xml><?xml version="1.0" encoding="utf-8"?>
<formControlPr xmlns="http://schemas.microsoft.com/office/spreadsheetml/2009/9/main" objectType="CheckBox" fmlaLink="$AK$16" lockText="1" noThreeD="1"/>
</file>

<file path=xl/ctrlProps/ctrlProp17.xml><?xml version="1.0" encoding="utf-8"?>
<formControlPr xmlns="http://schemas.microsoft.com/office/spreadsheetml/2009/9/main" objectType="CheckBox" fmlaLink="$AK$18" lockText="1" noThreeD="1"/>
</file>

<file path=xl/ctrlProps/ctrlProp18.xml><?xml version="1.0" encoding="utf-8"?>
<formControlPr xmlns="http://schemas.microsoft.com/office/spreadsheetml/2009/9/main" objectType="CheckBox" fmlaLink="$AK$18" lockText="1" noThreeD="1"/>
</file>

<file path=xl/ctrlProps/ctrlProp19.xml><?xml version="1.0" encoding="utf-8"?>
<formControlPr xmlns="http://schemas.microsoft.com/office/spreadsheetml/2009/9/main" objectType="CheckBox" fmlaLink="$AK$19" lockText="1" noThreeD="1"/>
</file>

<file path=xl/ctrlProps/ctrlProp2.xml><?xml version="1.0" encoding="utf-8"?>
<formControlPr xmlns="http://schemas.microsoft.com/office/spreadsheetml/2009/9/main" objectType="CheckBox" fmlaLink="$AZ$29" noThreeD="1"/>
</file>

<file path=xl/ctrlProps/ctrlProp20.xml><?xml version="1.0" encoding="utf-8"?>
<formControlPr xmlns="http://schemas.microsoft.com/office/spreadsheetml/2009/9/main" objectType="CheckBox" fmlaLink="$AK$111" lockText="1" noThreeD="1"/>
</file>

<file path=xl/ctrlProps/ctrlProp21.xml><?xml version="1.0" encoding="utf-8"?>
<formControlPr xmlns="http://schemas.microsoft.com/office/spreadsheetml/2009/9/main" objectType="CheckBox" fmlaLink="$AK$52" lockText="1" noThreeD="1"/>
</file>

<file path=xl/ctrlProps/ctrlProp22.xml><?xml version="1.0" encoding="utf-8"?>
<formControlPr xmlns="http://schemas.microsoft.com/office/spreadsheetml/2009/9/main" objectType="CheckBox" fmlaLink="$AK$56" lockText="1" noThreeD="1"/>
</file>

<file path=xl/ctrlProps/ctrlProp23.xml><?xml version="1.0" encoding="utf-8"?>
<formControlPr xmlns="http://schemas.microsoft.com/office/spreadsheetml/2009/9/main" objectType="CheckBox" fmlaLink="$AK$10" lockText="1" noThreeD="1"/>
</file>

<file path=xl/ctrlProps/ctrlProp24.xml><?xml version="1.0" encoding="utf-8"?>
<formControlPr xmlns="http://schemas.microsoft.com/office/spreadsheetml/2009/9/main" objectType="CheckBox" fmlaLink="$AK$11" lockText="1" noThreeD="1"/>
</file>

<file path=xl/ctrlProps/ctrlProp25.xml><?xml version="1.0" encoding="utf-8"?>
<formControlPr xmlns="http://schemas.microsoft.com/office/spreadsheetml/2009/9/main" objectType="CheckBox" fmlaLink="$AK$12" lockText="1" noThreeD="1"/>
</file>

<file path=xl/ctrlProps/ctrlProp26.xml><?xml version="1.0" encoding="utf-8"?>
<formControlPr xmlns="http://schemas.microsoft.com/office/spreadsheetml/2009/9/main" objectType="CheckBox" fmlaLink="$AK$13" lockText="1" noThreeD="1"/>
</file>

<file path=xl/ctrlProps/ctrlProp27.xml><?xml version="1.0" encoding="utf-8"?>
<formControlPr xmlns="http://schemas.microsoft.com/office/spreadsheetml/2009/9/main" objectType="CheckBox" fmlaLink="$AK$14" lockText="1" noThreeD="1"/>
</file>

<file path=xl/ctrlProps/ctrlProp28.xml><?xml version="1.0" encoding="utf-8"?>
<formControlPr xmlns="http://schemas.microsoft.com/office/spreadsheetml/2009/9/main" objectType="CheckBox" fmlaLink="$AK$15" lockText="1" noThreeD="1"/>
</file>

<file path=xl/ctrlProps/ctrlProp29.xml><?xml version="1.0" encoding="utf-8"?>
<formControlPr xmlns="http://schemas.microsoft.com/office/spreadsheetml/2009/9/main" objectType="CheckBox" fmlaLink="$AK$16" lockText="1" noThreeD="1"/>
</file>

<file path=xl/ctrlProps/ctrlProp3.xml><?xml version="1.0" encoding="utf-8"?>
<formControlPr xmlns="http://schemas.microsoft.com/office/spreadsheetml/2009/9/main" objectType="CheckBox" fmlaLink="$AK$62" lockText="1" noThreeD="1"/>
</file>

<file path=xl/ctrlProps/ctrlProp30.xml><?xml version="1.0" encoding="utf-8"?>
<formControlPr xmlns="http://schemas.microsoft.com/office/spreadsheetml/2009/9/main" objectType="CheckBox" fmlaLink="$AK$18" lockText="1" noThreeD="1"/>
</file>

<file path=xl/ctrlProps/ctrlProp31.xml><?xml version="1.0" encoding="utf-8"?>
<formControlPr xmlns="http://schemas.microsoft.com/office/spreadsheetml/2009/9/main" objectType="CheckBox" fmlaLink="$AK$19" lockText="1" noThreeD="1"/>
</file>

<file path=xl/ctrlProps/ctrlProp32.xml><?xml version="1.0" encoding="utf-8"?>
<formControlPr xmlns="http://schemas.microsoft.com/office/spreadsheetml/2009/9/main" objectType="CheckBox" fmlaLink="$AK$34" lockText="1" noThreeD="1"/>
</file>

<file path=xl/ctrlProps/ctrlProp33.xml><?xml version="1.0" encoding="utf-8"?>
<formControlPr xmlns="http://schemas.microsoft.com/office/spreadsheetml/2009/9/main" objectType="CheckBox" fmlaLink="$AK$35" lockText="1" noThreeD="1"/>
</file>

<file path=xl/ctrlProps/ctrlProp34.xml><?xml version="1.0" encoding="utf-8"?>
<formControlPr xmlns="http://schemas.microsoft.com/office/spreadsheetml/2009/9/main" objectType="CheckBox" fmlaLink="$AK$41"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1" lockText="1" noThreeD="1"/>
</file>

<file path=xl/ctrlProps/ctrlProp37.xml><?xml version="1.0" encoding="utf-8"?>
<formControlPr xmlns="http://schemas.microsoft.com/office/spreadsheetml/2009/9/main" objectType="CheckBox" fmlaLink="$AK$52" lockText="1" noThreeD="1"/>
</file>

<file path=xl/ctrlProps/ctrlProp38.xml><?xml version="1.0" encoding="utf-8"?>
<formControlPr xmlns="http://schemas.microsoft.com/office/spreadsheetml/2009/9/main" objectType="CheckBox" fmlaLink="$AK$56" lockText="1" noThreeD="1"/>
</file>

<file path=xl/ctrlProps/ctrlProp39.xml><?xml version="1.0" encoding="utf-8"?>
<formControlPr xmlns="http://schemas.microsoft.com/office/spreadsheetml/2009/9/main" objectType="CheckBox" fmlaLink="$AK$62" lockText="1" noThreeD="1"/>
</file>

<file path=xl/ctrlProps/ctrlProp4.xml><?xml version="1.0" encoding="utf-8"?>
<formControlPr xmlns="http://schemas.microsoft.com/office/spreadsheetml/2009/9/main" objectType="CheckBox" fmlaLink="$AK$51" lockText="1" noThreeD="1"/>
</file>

<file path=xl/ctrlProps/ctrlProp40.xml><?xml version="1.0" encoding="utf-8"?>
<formControlPr xmlns="http://schemas.microsoft.com/office/spreadsheetml/2009/9/main" objectType="CheckBox" fmlaLink="$AK$78" lockText="1" noThreeD="1"/>
</file>

<file path=xl/ctrlProps/ctrlProp41.xml><?xml version="1.0" encoding="utf-8"?>
<formControlPr xmlns="http://schemas.microsoft.com/office/spreadsheetml/2009/9/main" objectType="CheckBox" fmlaLink="$AK$111" lockText="1" noThreeD="1"/>
</file>

<file path=xl/ctrlProps/ctrlProp42.xml><?xml version="1.0" encoding="utf-8"?>
<formControlPr xmlns="http://schemas.microsoft.com/office/spreadsheetml/2009/9/main" objectType="CheckBox" fmlaLink="$AK$62" lockText="1" noThreeD="1"/>
</file>

<file path=xl/ctrlProps/ctrlProp43.xml><?xml version="1.0" encoding="utf-8"?>
<formControlPr xmlns="http://schemas.microsoft.com/office/spreadsheetml/2009/9/main" objectType="CheckBox" fmlaLink="$AK$51" lockText="1" noThreeD="1"/>
</file>

<file path=xl/ctrlProps/ctrlProp44.xml><?xml version="1.0" encoding="utf-8"?>
<formControlPr xmlns="http://schemas.microsoft.com/office/spreadsheetml/2009/9/main" objectType="CheckBox" fmlaLink="$AK$49" lockText="1" noThreeD="1"/>
</file>

<file path=xl/ctrlProps/ctrlProp45.xml><?xml version="1.0" encoding="utf-8"?>
<formControlPr xmlns="http://schemas.microsoft.com/office/spreadsheetml/2009/9/main" objectType="CheckBox" fmlaLink="$AK$78" lockText="1" noThreeD="1"/>
</file>

<file path=xl/ctrlProps/ctrlProp46.xml><?xml version="1.0" encoding="utf-8"?>
<formControlPr xmlns="http://schemas.microsoft.com/office/spreadsheetml/2009/9/main" objectType="CheckBox" fmlaLink="$AK$14" lockText="1" noThreeD="1"/>
</file>

<file path=xl/ctrlProps/ctrlProp47.xml><?xml version="1.0" encoding="utf-8"?>
<formControlPr xmlns="http://schemas.microsoft.com/office/spreadsheetml/2009/9/main" objectType="CheckBox" fmlaLink="$AK$12" lockText="1" noThreeD="1"/>
</file>

<file path=xl/ctrlProps/ctrlProp48.xml><?xml version="1.0" encoding="utf-8"?>
<formControlPr xmlns="http://schemas.microsoft.com/office/spreadsheetml/2009/9/main" objectType="CheckBox" fmlaLink="$AK$11" lockText="1" noThreeD="1"/>
</file>

<file path=xl/ctrlProps/ctrlProp49.xml><?xml version="1.0" encoding="utf-8"?>
<formControlPr xmlns="http://schemas.microsoft.com/office/spreadsheetml/2009/9/main" objectType="CheckBox" fmlaLink="$AK$10" lockText="1" noThreeD="1"/>
</file>

<file path=xl/ctrlProps/ctrlProp5.xml><?xml version="1.0" encoding="utf-8"?>
<formControlPr xmlns="http://schemas.microsoft.com/office/spreadsheetml/2009/9/main" objectType="CheckBox" fmlaLink="$AK$49" lockText="1" noThreeD="1"/>
</file>

<file path=xl/ctrlProps/ctrlProp50.xml><?xml version="1.0" encoding="utf-8"?>
<formControlPr xmlns="http://schemas.microsoft.com/office/spreadsheetml/2009/9/main" objectType="CheckBox" fmlaLink="$AK$13" lockText="1" noThreeD="1"/>
</file>

<file path=xl/ctrlProps/ctrlProp51.xml><?xml version="1.0" encoding="utf-8"?>
<formControlPr xmlns="http://schemas.microsoft.com/office/spreadsheetml/2009/9/main" objectType="CheckBox" fmlaLink="$AK$15" lockText="1" noThreeD="1"/>
</file>

<file path=xl/ctrlProps/ctrlProp52.xml><?xml version="1.0" encoding="utf-8"?>
<formControlPr xmlns="http://schemas.microsoft.com/office/spreadsheetml/2009/9/main" objectType="CheckBox" fmlaLink="$AK$16" lockText="1" noThreeD="1"/>
</file>

<file path=xl/ctrlProps/ctrlProp53.xml><?xml version="1.0" encoding="utf-8"?>
<formControlPr xmlns="http://schemas.microsoft.com/office/spreadsheetml/2009/9/main" objectType="CheckBox" fmlaLink="$AK$18" lockText="1" noThreeD="1"/>
</file>

<file path=xl/ctrlProps/ctrlProp54.xml><?xml version="1.0" encoding="utf-8"?>
<formControlPr xmlns="http://schemas.microsoft.com/office/spreadsheetml/2009/9/main" objectType="CheckBox" fmlaLink="$AK$18" lockText="1" noThreeD="1"/>
</file>

<file path=xl/ctrlProps/ctrlProp55.xml><?xml version="1.0" encoding="utf-8"?>
<formControlPr xmlns="http://schemas.microsoft.com/office/spreadsheetml/2009/9/main" objectType="CheckBox" fmlaLink="$AK$19" lockText="1" noThreeD="1"/>
</file>

<file path=xl/ctrlProps/ctrlProp56.xml><?xml version="1.0" encoding="utf-8"?>
<formControlPr xmlns="http://schemas.microsoft.com/office/spreadsheetml/2009/9/main" objectType="CheckBox" fmlaLink="$AK$23" lockText="1" noThreeD="1"/>
</file>

<file path=xl/ctrlProps/ctrlProp57.xml><?xml version="1.0" encoding="utf-8"?>
<formControlPr xmlns="http://schemas.microsoft.com/office/spreadsheetml/2009/9/main" objectType="CheckBox" fmlaLink="$AK$111" lockText="1" noThreeD="1"/>
</file>

<file path=xl/ctrlProps/ctrlProp58.xml><?xml version="1.0" encoding="utf-8"?>
<formControlPr xmlns="http://schemas.microsoft.com/office/spreadsheetml/2009/9/main" objectType="CheckBox" fmlaLink="$AK$52" lockText="1" noThreeD="1"/>
</file>

<file path=xl/ctrlProps/ctrlProp59.xml><?xml version="1.0" encoding="utf-8"?>
<formControlPr xmlns="http://schemas.microsoft.com/office/spreadsheetml/2009/9/main" objectType="CheckBox" fmlaLink="$AK$56" lockText="1" noThreeD="1"/>
</file>

<file path=xl/ctrlProps/ctrlProp6.xml><?xml version="1.0" encoding="utf-8"?>
<formControlPr xmlns="http://schemas.microsoft.com/office/spreadsheetml/2009/9/main" objectType="CheckBox" fmlaLink="$AK$41" lockText="1" noThreeD="1"/>
</file>

<file path=xl/ctrlProps/ctrlProp60.xml><?xml version="1.0" encoding="utf-8"?>
<formControlPr xmlns="http://schemas.microsoft.com/office/spreadsheetml/2009/9/main" objectType="CheckBox" fmlaLink="$AK$10" lockText="1" noThreeD="1"/>
</file>

<file path=xl/ctrlProps/ctrlProp61.xml><?xml version="1.0" encoding="utf-8"?>
<formControlPr xmlns="http://schemas.microsoft.com/office/spreadsheetml/2009/9/main" objectType="CheckBox" fmlaLink="$AK$11" lockText="1" noThreeD="1"/>
</file>

<file path=xl/ctrlProps/ctrlProp62.xml><?xml version="1.0" encoding="utf-8"?>
<formControlPr xmlns="http://schemas.microsoft.com/office/spreadsheetml/2009/9/main" objectType="CheckBox" fmlaLink="$AK$12" lockText="1" noThreeD="1"/>
</file>

<file path=xl/ctrlProps/ctrlProp63.xml><?xml version="1.0" encoding="utf-8"?>
<formControlPr xmlns="http://schemas.microsoft.com/office/spreadsheetml/2009/9/main" objectType="CheckBox" fmlaLink="$AK$13" lockText="1" noThreeD="1"/>
</file>

<file path=xl/ctrlProps/ctrlProp64.xml><?xml version="1.0" encoding="utf-8"?>
<formControlPr xmlns="http://schemas.microsoft.com/office/spreadsheetml/2009/9/main" objectType="CheckBox" fmlaLink="$AK$14" lockText="1" noThreeD="1"/>
</file>

<file path=xl/ctrlProps/ctrlProp65.xml><?xml version="1.0" encoding="utf-8"?>
<formControlPr xmlns="http://schemas.microsoft.com/office/spreadsheetml/2009/9/main" objectType="CheckBox" fmlaLink="$AK$15" lockText="1" noThreeD="1"/>
</file>

<file path=xl/ctrlProps/ctrlProp66.xml><?xml version="1.0" encoding="utf-8"?>
<formControlPr xmlns="http://schemas.microsoft.com/office/spreadsheetml/2009/9/main" objectType="CheckBox" fmlaLink="$AK$16" lockText="1" noThreeD="1"/>
</file>

<file path=xl/ctrlProps/ctrlProp67.xml><?xml version="1.0" encoding="utf-8"?>
<formControlPr xmlns="http://schemas.microsoft.com/office/spreadsheetml/2009/9/main" objectType="CheckBox" fmlaLink="$AK$18" lockText="1" noThreeD="1"/>
</file>

<file path=xl/ctrlProps/ctrlProp68.xml><?xml version="1.0" encoding="utf-8"?>
<formControlPr xmlns="http://schemas.microsoft.com/office/spreadsheetml/2009/9/main" objectType="CheckBox" fmlaLink="$AK$19" lockText="1" noThreeD="1"/>
</file>

<file path=xl/ctrlProps/ctrlProp69.xml><?xml version="1.0" encoding="utf-8"?>
<formControlPr xmlns="http://schemas.microsoft.com/office/spreadsheetml/2009/9/main" objectType="CheckBox" fmlaLink="$AK$23" lockText="1" noThreeD="1"/>
</file>

<file path=xl/ctrlProps/ctrlProp7.xml><?xml version="1.0" encoding="utf-8"?>
<formControlPr xmlns="http://schemas.microsoft.com/office/spreadsheetml/2009/9/main" objectType="CheckBox" fmlaLink="$AK$35" lockText="1" noThreeD="1"/>
</file>

<file path=xl/ctrlProps/ctrlProp70.xml><?xml version="1.0" encoding="utf-8"?>
<formControlPr xmlns="http://schemas.microsoft.com/office/spreadsheetml/2009/9/main" objectType="CheckBox" fmlaLink="$AK$49" lockText="1" noThreeD="1"/>
</file>

<file path=xl/ctrlProps/ctrlProp71.xml><?xml version="1.0" encoding="utf-8"?>
<formControlPr xmlns="http://schemas.microsoft.com/office/spreadsheetml/2009/9/main" objectType="CheckBox" fmlaLink="$AK$51" lockText="1" noThreeD="1"/>
</file>

<file path=xl/ctrlProps/ctrlProp72.xml><?xml version="1.0" encoding="utf-8"?>
<formControlPr xmlns="http://schemas.microsoft.com/office/spreadsheetml/2009/9/main" objectType="CheckBox" fmlaLink="$AK$52" lockText="1" noThreeD="1"/>
</file>

<file path=xl/ctrlProps/ctrlProp73.xml><?xml version="1.0" encoding="utf-8"?>
<formControlPr xmlns="http://schemas.microsoft.com/office/spreadsheetml/2009/9/main" objectType="CheckBox" fmlaLink="$AK$56" lockText="1" noThreeD="1"/>
</file>

<file path=xl/ctrlProps/ctrlProp74.xml><?xml version="1.0" encoding="utf-8"?>
<formControlPr xmlns="http://schemas.microsoft.com/office/spreadsheetml/2009/9/main" objectType="CheckBox" fmlaLink="$AK$62" lockText="1" noThreeD="1"/>
</file>

<file path=xl/ctrlProps/ctrlProp75.xml><?xml version="1.0" encoding="utf-8"?>
<formControlPr xmlns="http://schemas.microsoft.com/office/spreadsheetml/2009/9/main" objectType="CheckBox" fmlaLink="$AK$78" lockText="1" noThreeD="1"/>
</file>

<file path=xl/ctrlProps/ctrlProp76.xml><?xml version="1.0" encoding="utf-8"?>
<formControlPr xmlns="http://schemas.microsoft.com/office/spreadsheetml/2009/9/main" objectType="CheckBox" fmlaLink="$AK$111" lockText="1" noThreeD="1"/>
</file>

<file path=xl/ctrlProps/ctrlProp8.xml><?xml version="1.0" encoding="utf-8"?>
<formControlPr xmlns="http://schemas.microsoft.com/office/spreadsheetml/2009/9/main" objectType="CheckBox" fmlaLink="$AK$34" lockText="1" noThreeD="1"/>
</file>

<file path=xl/ctrlProps/ctrlProp9.xml><?xml version="1.0" encoding="utf-8"?>
<formControlPr xmlns="http://schemas.microsoft.com/office/spreadsheetml/2009/9/main" objectType="CheckBox" fmlaLink="$AK$78"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absolute">
    <xdr:from>
      <xdr:col>0</xdr:col>
      <xdr:colOff>130175</xdr:colOff>
      <xdr:row>0</xdr:row>
      <xdr:rowOff>304800</xdr:rowOff>
    </xdr:from>
    <xdr:to>
      <xdr:col>4</xdr:col>
      <xdr:colOff>283844</xdr:colOff>
      <xdr:row>0</xdr:row>
      <xdr:rowOff>1828800</xdr:rowOff>
    </xdr:to>
    <xdr:pic>
      <xdr:nvPicPr>
        <xdr:cNvPr id="2" name="Picture 1" descr="IP_Letterhead_Color_non-bleed">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0175" y="304800"/>
          <a:ext cx="6794499" cy="1524000"/>
        </a:xfrm>
        <a:prstGeom prst="rect">
          <a:avLst/>
        </a:prstGeom>
        <a:noFill/>
        <a:ln w="9525">
          <a:noFill/>
          <a:miter lim="800000"/>
          <a:headEnd/>
          <a:tailEnd/>
        </a:ln>
      </xdr:spPr>
    </xdr:pic>
    <xdr:clientData/>
  </xdr:twoCellAnchor>
  <xdr:twoCellAnchor editAs="absolute">
    <xdr:from>
      <xdr:col>1</xdr:col>
      <xdr:colOff>611777</xdr:colOff>
      <xdr:row>0</xdr:row>
      <xdr:rowOff>381000</xdr:rowOff>
    </xdr:from>
    <xdr:to>
      <xdr:col>3</xdr:col>
      <xdr:colOff>987334</xdr:colOff>
      <xdr:row>0</xdr:row>
      <xdr:rowOff>979714</xdr:rowOff>
    </xdr:to>
    <xdr:sp macro="[0]!Create_Letter_PDF" textlink="">
      <xdr:nvSpPr>
        <xdr:cNvPr id="3" name="Oval 2">
          <a:extLst>
            <a:ext uri="{FF2B5EF4-FFF2-40B4-BE49-F238E27FC236}">
              <a16:creationId xmlns:a16="http://schemas.microsoft.com/office/drawing/2014/main" id="{00000000-0008-0000-0000-000003000000}"/>
            </a:ext>
          </a:extLst>
        </xdr:cNvPr>
        <xdr:cNvSpPr/>
      </xdr:nvSpPr>
      <xdr:spPr>
        <a:xfrm>
          <a:off x="775607" y="381000"/>
          <a:ext cx="1270907" cy="598714"/>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n-US" sz="1200" b="1"/>
            <a:t>Create PDF</a:t>
          </a:r>
        </a:p>
      </xdr:txBody>
    </xdr:sp>
    <xdr:clientData fPrintsWithSheet="0"/>
  </xdr:twoCellAnchor>
  <xdr:twoCellAnchor editAs="oneCell">
    <xdr:from>
      <xdr:col>2</xdr:col>
      <xdr:colOff>0</xdr:colOff>
      <xdr:row>21</xdr:row>
      <xdr:rowOff>0</xdr:rowOff>
    </xdr:from>
    <xdr:to>
      <xdr:col>3</xdr:col>
      <xdr:colOff>1333500</xdr:colOff>
      <xdr:row>24</xdr:row>
      <xdr:rowOff>10887</xdr:rowOff>
    </xdr:to>
    <xdr:pic>
      <xdr:nvPicPr>
        <xdr:cNvPr id="4" name="Picture 3" descr="Sheree's Signature 01.jp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stretch>
          <a:fillRect/>
        </a:stretch>
      </xdr:blipFill>
      <xdr:spPr>
        <a:xfrm>
          <a:off x="666750" y="6819900"/>
          <a:ext cx="1543050" cy="4966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20955</xdr:colOff>
      <xdr:row>0</xdr:row>
      <xdr:rowOff>19051</xdr:rowOff>
    </xdr:from>
    <xdr:to>
      <xdr:col>2</xdr:col>
      <xdr:colOff>59419</xdr:colOff>
      <xdr:row>12</xdr:row>
      <xdr:rowOff>57150</xdr:rowOff>
    </xdr:to>
    <xdr:pic>
      <xdr:nvPicPr>
        <xdr:cNvPr id="33526" name="Picture 161">
          <a:extLst>
            <a:ext uri="{FF2B5EF4-FFF2-40B4-BE49-F238E27FC236}">
              <a16:creationId xmlns:a16="http://schemas.microsoft.com/office/drawing/2014/main" id="{00000000-0008-0000-0B00-0000F682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9526"/>
          <a:ext cx="7877539" cy="1743074"/>
        </a:xfrm>
        <a:prstGeom prst="rect">
          <a:avLst/>
        </a:prstGeom>
        <a:noFill/>
        <a:ln w="9525">
          <a:noFill/>
          <a:miter lim="800000"/>
          <a:headEnd/>
          <a:tailEnd/>
        </a:ln>
      </xdr:spPr>
    </xdr:pic>
    <xdr:clientData/>
  </xdr:twoCellAnchor>
  <xdr:twoCellAnchor editAs="absolute">
    <xdr:from>
      <xdr:col>0</xdr:col>
      <xdr:colOff>64134</xdr:colOff>
      <xdr:row>7</xdr:row>
      <xdr:rowOff>95250</xdr:rowOff>
    </xdr:from>
    <xdr:to>
      <xdr:col>1</xdr:col>
      <xdr:colOff>4305300</xdr:colOff>
      <xdr:row>14</xdr:row>
      <xdr:rowOff>134044</xdr:rowOff>
    </xdr:to>
    <xdr:sp macro="" textlink="">
      <xdr:nvSpPr>
        <xdr:cNvPr id="3" name="Text Box 18">
          <a:extLst>
            <a:ext uri="{FF2B5EF4-FFF2-40B4-BE49-F238E27FC236}">
              <a16:creationId xmlns:a16="http://schemas.microsoft.com/office/drawing/2014/main" id="{00000000-0008-0000-0B00-000003000000}"/>
            </a:ext>
          </a:extLst>
        </xdr:cNvPr>
        <xdr:cNvSpPr txBox="1">
          <a:spLocks noChangeArrowheads="1"/>
        </xdr:cNvSpPr>
      </xdr:nvSpPr>
      <xdr:spPr bwMode="auto">
        <a:xfrm>
          <a:off x="69849" y="942975"/>
          <a:ext cx="4387851" cy="1216084"/>
        </a:xfrm>
        <a:prstGeom prst="rect">
          <a:avLst/>
        </a:prstGeom>
        <a:solidFill>
          <a:srgbClr val="FFFFFF">
            <a:alpha val="0"/>
          </a:srgbClr>
        </a:solidFill>
        <a:ln w="9525">
          <a:noFill/>
          <a:miter lim="800000"/>
          <a:headEnd/>
          <a:tailEnd/>
        </a:ln>
      </xdr:spPr>
      <xdr:txBody>
        <a:bodyPr vertOverflow="clip" wrap="square" lIns="36576" tIns="27432" rIns="0" bIns="0" anchor="t" upright="1"/>
        <a:lstStyle/>
        <a:p>
          <a:pPr algn="l" rtl="0">
            <a:lnSpc>
              <a:spcPts val="2900"/>
            </a:lnSpc>
            <a:defRPr sz="1000"/>
          </a:pPr>
          <a:r>
            <a:rPr lang="en-US" sz="2400" b="1" i="1" strike="noStrike">
              <a:solidFill>
                <a:srgbClr val="FF9900"/>
              </a:solidFill>
              <a:latin typeface="Arial"/>
              <a:cs typeface="Arial"/>
            </a:rPr>
            <a:t>Measure Specific Requirements </a:t>
          </a:r>
        </a:p>
        <a:p>
          <a:pPr algn="l" rtl="0">
            <a:defRPr sz="1000"/>
          </a:pPr>
          <a:r>
            <a:rPr lang="en-US" sz="1400" b="1" i="0" strike="noStrike">
              <a:solidFill>
                <a:srgbClr val="008080"/>
              </a:solidFill>
              <a:latin typeface="Arial"/>
              <a:cs typeface="Arial"/>
            </a:rPr>
            <a:t>for Multifamily Energy Efficiency Program</a:t>
          </a:r>
          <a:endParaRPr lang="en-US" sz="1100" b="1" i="0" strike="noStrike">
            <a:solidFill>
              <a:srgbClr val="008080"/>
            </a:solidFill>
            <a:latin typeface="Arial"/>
            <a:cs typeface="Arial"/>
          </a:endParaRPr>
        </a:p>
      </xdr:txBody>
    </xdr:sp>
    <xdr:clientData/>
  </xdr:twoCellAnchor>
  <xdr:twoCellAnchor editAs="oneCell">
    <xdr:from>
      <xdr:col>26</xdr:col>
      <xdr:colOff>38099</xdr:colOff>
      <xdr:row>25</xdr:row>
      <xdr:rowOff>0</xdr:rowOff>
    </xdr:from>
    <xdr:to>
      <xdr:col>27</xdr:col>
      <xdr:colOff>8903969</xdr:colOff>
      <xdr:row>38</xdr:row>
      <xdr:rowOff>167640</xdr:rowOff>
    </xdr:to>
    <xdr:pic>
      <xdr:nvPicPr>
        <xdr:cNvPr id="6" name="Picture 7" descr="IP_Letterhead_Black_non-bleed">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22669499" y="4048125"/>
          <a:ext cx="9077325" cy="1990725"/>
        </a:xfrm>
        <a:prstGeom prst="rect">
          <a:avLst/>
        </a:prstGeom>
        <a:noFill/>
        <a:ln w="9525">
          <a:noFill/>
          <a:miter lim="800000"/>
          <a:headEnd/>
          <a:tailEnd/>
        </a:ln>
      </xdr:spPr>
    </xdr:pic>
    <xdr:clientData/>
  </xdr:twoCellAnchor>
  <xdr:twoCellAnchor editAs="absolute">
    <xdr:from>
      <xdr:col>26</xdr:col>
      <xdr:colOff>20955</xdr:colOff>
      <xdr:row>37</xdr:row>
      <xdr:rowOff>0</xdr:rowOff>
    </xdr:from>
    <xdr:to>
      <xdr:col>27</xdr:col>
      <xdr:colOff>5425497</xdr:colOff>
      <xdr:row>40</xdr:row>
      <xdr:rowOff>55057</xdr:rowOff>
    </xdr:to>
    <xdr:sp macro="" textlink="">
      <xdr:nvSpPr>
        <xdr:cNvPr id="7" name="Text Box 18">
          <a:extLst>
            <a:ext uri="{FF2B5EF4-FFF2-40B4-BE49-F238E27FC236}">
              <a16:creationId xmlns:a16="http://schemas.microsoft.com/office/drawing/2014/main" id="{00000000-0008-0000-0B00-000007000000}"/>
            </a:ext>
          </a:extLst>
        </xdr:cNvPr>
        <xdr:cNvSpPr txBox="1">
          <a:spLocks noChangeArrowheads="1"/>
        </xdr:cNvSpPr>
      </xdr:nvSpPr>
      <xdr:spPr bwMode="auto">
        <a:xfrm>
          <a:off x="21993225" y="5534025"/>
          <a:ext cx="5431212" cy="895162"/>
        </a:xfrm>
        <a:prstGeom prst="rect">
          <a:avLst/>
        </a:prstGeom>
        <a:solidFill>
          <a:srgbClr val="FFFFFF">
            <a:alpha val="0"/>
          </a:srgbClr>
        </a:solidFill>
        <a:ln w="9525">
          <a:noFill/>
          <a:miter lim="800000"/>
          <a:headEnd/>
          <a:tailEnd/>
        </a:ln>
      </xdr:spPr>
      <xdr:txBody>
        <a:bodyPr vertOverflow="clip" wrap="square" lIns="36576" tIns="27432" rIns="0" bIns="0" anchor="t" upright="1"/>
        <a:lstStyle/>
        <a:p>
          <a:pPr algn="l" rtl="0">
            <a:lnSpc>
              <a:spcPts val="2900"/>
            </a:lnSpc>
            <a:defRPr sz="1000"/>
          </a:pPr>
          <a:r>
            <a:rPr lang="en-US" sz="2400" b="1" i="1" strike="noStrike">
              <a:solidFill>
                <a:sysClr val="windowText" lastClr="000000"/>
              </a:solidFill>
              <a:latin typeface="Arial"/>
              <a:cs typeface="Arial"/>
            </a:rPr>
            <a:t>Measure Specific Requirements </a:t>
          </a:r>
        </a:p>
        <a:p>
          <a:pPr algn="l" rtl="0">
            <a:defRPr sz="1000"/>
          </a:pPr>
          <a:r>
            <a:rPr lang="en-US" sz="1400" b="1" i="0" strike="noStrike">
              <a:solidFill>
                <a:sysClr val="windowText" lastClr="000000"/>
              </a:solidFill>
              <a:latin typeface="Arial"/>
              <a:cs typeface="Arial"/>
            </a:rPr>
            <a:t>for </a:t>
          </a:r>
          <a:r>
            <a:rPr lang="en-US" sz="1400" b="1" i="1" strike="noStrike">
              <a:solidFill>
                <a:sysClr val="windowText" lastClr="000000"/>
              </a:solidFill>
              <a:latin typeface="Arial"/>
              <a:cs typeface="Arial"/>
            </a:rPr>
            <a:t>Multifamily Energy Efficiency Program</a:t>
          </a:r>
          <a:endParaRPr lang="en-US" sz="1200" b="1" i="0" strike="noStrike">
            <a:solidFill>
              <a:sysClr val="windowText" lastClr="000000"/>
            </a:solidFill>
            <a:latin typeface="Arial"/>
            <a:cs typeface="Aria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28575</xdr:colOff>
      <xdr:row>0</xdr:row>
      <xdr:rowOff>9526</xdr:rowOff>
    </xdr:from>
    <xdr:to>
      <xdr:col>2</xdr:col>
      <xdr:colOff>67039</xdr:colOff>
      <xdr:row>12</xdr:row>
      <xdr:rowOff>47625</xdr:rowOff>
    </xdr:to>
    <xdr:pic>
      <xdr:nvPicPr>
        <xdr:cNvPr id="2" name="Picture 16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9526"/>
          <a:ext cx="7877539" cy="1743074"/>
        </a:xfrm>
        <a:prstGeom prst="rect">
          <a:avLst/>
        </a:prstGeom>
        <a:noFill/>
        <a:ln w="9525">
          <a:noFill/>
          <a:miter lim="800000"/>
          <a:headEnd/>
          <a:tailEnd/>
        </a:ln>
      </xdr:spPr>
    </xdr:pic>
    <xdr:clientData/>
  </xdr:twoCellAnchor>
  <xdr:twoCellAnchor editAs="absolute">
    <xdr:from>
      <xdr:col>0</xdr:col>
      <xdr:colOff>69849</xdr:colOff>
      <xdr:row>8</xdr:row>
      <xdr:rowOff>41462</xdr:rowOff>
    </xdr:from>
    <xdr:to>
      <xdr:col>1</xdr:col>
      <xdr:colOff>4305300</xdr:colOff>
      <xdr:row>14</xdr:row>
      <xdr:rowOff>130234</xdr:rowOff>
    </xdr:to>
    <xdr:sp macro="" textlink="">
      <xdr:nvSpPr>
        <xdr:cNvPr id="3" name="Text Box 18">
          <a:extLst>
            <a:ext uri="{FF2B5EF4-FFF2-40B4-BE49-F238E27FC236}">
              <a16:creationId xmlns:a16="http://schemas.microsoft.com/office/drawing/2014/main" id="{00000000-0008-0000-0C00-000003000000}"/>
            </a:ext>
          </a:extLst>
        </xdr:cNvPr>
        <xdr:cNvSpPr txBox="1">
          <a:spLocks noChangeArrowheads="1"/>
        </xdr:cNvSpPr>
      </xdr:nvSpPr>
      <xdr:spPr bwMode="auto">
        <a:xfrm>
          <a:off x="69849" y="1060637"/>
          <a:ext cx="4387851" cy="1098422"/>
        </a:xfrm>
        <a:prstGeom prst="rect">
          <a:avLst/>
        </a:prstGeom>
        <a:solidFill>
          <a:srgbClr val="FFFFFF">
            <a:alpha val="0"/>
          </a:srgbClr>
        </a:solidFill>
        <a:ln w="9525">
          <a:noFill/>
          <a:miter lim="800000"/>
          <a:headEnd/>
          <a:tailEnd/>
        </a:ln>
      </xdr:spPr>
      <xdr:txBody>
        <a:bodyPr vertOverflow="clip" wrap="square" lIns="36576" tIns="27432" rIns="0" bIns="0" anchor="t" upright="1"/>
        <a:lstStyle/>
        <a:p>
          <a:pPr algn="l" rtl="0">
            <a:lnSpc>
              <a:spcPts val="2900"/>
            </a:lnSpc>
            <a:defRPr sz="1000"/>
          </a:pPr>
          <a:r>
            <a:rPr lang="en-US" sz="2400" b="1" i="1" strike="noStrike">
              <a:solidFill>
                <a:srgbClr val="FF9900"/>
              </a:solidFill>
              <a:latin typeface="Arial"/>
              <a:cs typeface="Arial"/>
            </a:rPr>
            <a:t>Terms &amp; Conditions</a:t>
          </a:r>
        </a:p>
        <a:p>
          <a:pPr algn="l" rtl="0">
            <a:defRPr sz="1000"/>
          </a:pPr>
          <a:r>
            <a:rPr lang="en-US" sz="1400" b="1" i="0" strike="noStrike">
              <a:solidFill>
                <a:srgbClr val="008080"/>
              </a:solidFill>
              <a:latin typeface="Arial"/>
              <a:cs typeface="Arial"/>
            </a:rPr>
            <a:t>for Multifamily </a:t>
          </a:r>
          <a:r>
            <a:rPr lang="en-US" sz="1400" b="1" i="0" strike="noStrike" baseline="0">
              <a:solidFill>
                <a:srgbClr val="008080"/>
              </a:solidFill>
              <a:latin typeface="Arial"/>
              <a:cs typeface="Arial"/>
            </a:rPr>
            <a:t>Energy Efficiency Program</a:t>
          </a:r>
          <a:endParaRPr lang="en-US" sz="1100" b="1" i="0" strike="noStrike">
            <a:solidFill>
              <a:srgbClr val="008080"/>
            </a:solidFill>
            <a:latin typeface="Arial"/>
            <a:cs typeface="Arial"/>
          </a:endParaRPr>
        </a:p>
      </xdr:txBody>
    </xdr:sp>
    <xdr:clientData/>
  </xdr:twoCellAnchor>
  <xdr:twoCellAnchor editAs="oneCell">
    <xdr:from>
      <xdr:col>27</xdr:col>
      <xdr:colOff>0</xdr:colOff>
      <xdr:row>25</xdr:row>
      <xdr:rowOff>0</xdr:rowOff>
    </xdr:from>
    <xdr:to>
      <xdr:col>28</xdr:col>
      <xdr:colOff>0</xdr:colOff>
      <xdr:row>38</xdr:row>
      <xdr:rowOff>163830</xdr:rowOff>
    </xdr:to>
    <xdr:pic>
      <xdr:nvPicPr>
        <xdr:cNvPr id="4" name="Picture 7" descr="IP_Letterhead_Black_non-bleed">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22231350" y="4048125"/>
          <a:ext cx="9086850" cy="1983105"/>
        </a:xfrm>
        <a:prstGeom prst="rect">
          <a:avLst/>
        </a:prstGeom>
        <a:noFill/>
        <a:ln w="9525">
          <a:noFill/>
          <a:miter lim="800000"/>
          <a:headEnd/>
          <a:tailEnd/>
        </a:ln>
      </xdr:spPr>
    </xdr:pic>
    <xdr:clientData/>
  </xdr:twoCellAnchor>
  <xdr:twoCellAnchor editAs="absolute">
    <xdr:from>
      <xdr:col>26</xdr:col>
      <xdr:colOff>28575</xdr:colOff>
      <xdr:row>36</xdr:row>
      <xdr:rowOff>85725</xdr:rowOff>
    </xdr:from>
    <xdr:to>
      <xdr:col>27</xdr:col>
      <xdr:colOff>5421687</xdr:colOff>
      <xdr:row>40</xdr:row>
      <xdr:rowOff>47437</xdr:rowOff>
    </xdr:to>
    <xdr:sp macro="" textlink="">
      <xdr:nvSpPr>
        <xdr:cNvPr id="5" name="Text Box 18">
          <a:extLst>
            <a:ext uri="{FF2B5EF4-FFF2-40B4-BE49-F238E27FC236}">
              <a16:creationId xmlns:a16="http://schemas.microsoft.com/office/drawing/2014/main" id="{00000000-0008-0000-0C00-000005000000}"/>
            </a:ext>
          </a:extLst>
        </xdr:cNvPr>
        <xdr:cNvSpPr txBox="1">
          <a:spLocks noChangeArrowheads="1"/>
        </xdr:cNvSpPr>
      </xdr:nvSpPr>
      <xdr:spPr bwMode="auto">
        <a:xfrm>
          <a:off x="21993225" y="5534025"/>
          <a:ext cx="5431212" cy="895162"/>
        </a:xfrm>
        <a:prstGeom prst="rect">
          <a:avLst/>
        </a:prstGeom>
        <a:solidFill>
          <a:srgbClr val="FFFFFF">
            <a:alpha val="0"/>
          </a:srgbClr>
        </a:solidFill>
        <a:ln w="9525">
          <a:noFill/>
          <a:miter lim="800000"/>
          <a:headEnd/>
          <a:tailEnd/>
        </a:ln>
      </xdr:spPr>
      <xdr:txBody>
        <a:bodyPr vertOverflow="clip" wrap="square" lIns="36576" tIns="27432" rIns="0" bIns="0" anchor="t" upright="1"/>
        <a:lstStyle/>
        <a:p>
          <a:pPr algn="l" rtl="0">
            <a:lnSpc>
              <a:spcPts val="2900"/>
            </a:lnSpc>
            <a:defRPr sz="1000"/>
          </a:pPr>
          <a:r>
            <a:rPr lang="en-US" sz="2400" b="1" i="1" strike="noStrike">
              <a:solidFill>
                <a:sysClr val="windowText" lastClr="000000"/>
              </a:solidFill>
              <a:latin typeface="Arial"/>
              <a:cs typeface="Arial"/>
            </a:rPr>
            <a:t>Terms &amp; Conditions</a:t>
          </a:r>
        </a:p>
        <a:p>
          <a:pPr algn="l" rtl="0">
            <a:defRPr sz="1000"/>
          </a:pPr>
          <a:r>
            <a:rPr lang="en-US" sz="1400" b="1" i="0" strike="noStrike">
              <a:solidFill>
                <a:sysClr val="windowText" lastClr="000000"/>
              </a:solidFill>
              <a:latin typeface="Arial"/>
              <a:cs typeface="Arial"/>
            </a:rPr>
            <a:t>for </a:t>
          </a:r>
          <a:r>
            <a:rPr lang="en-US" sz="1400" b="1" i="1" strike="noStrike">
              <a:solidFill>
                <a:sysClr val="windowText" lastClr="000000"/>
              </a:solidFill>
              <a:latin typeface="Arial"/>
              <a:cs typeface="Arial"/>
            </a:rPr>
            <a:t>Multifamily</a:t>
          </a:r>
          <a:r>
            <a:rPr lang="en-US" sz="1400" b="1" i="1" strike="noStrike" baseline="0">
              <a:solidFill>
                <a:sysClr val="windowText" lastClr="000000"/>
              </a:solidFill>
              <a:latin typeface="Arial"/>
              <a:cs typeface="Arial"/>
            </a:rPr>
            <a:t> Energy Efficiency Program</a:t>
          </a:r>
          <a:endParaRPr lang="en-US" sz="1200" b="1" i="0" strike="noStrike">
            <a:solidFill>
              <a:sysClr val="windowText" lastClr="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28576</xdr:colOff>
      <xdr:row>0</xdr:row>
      <xdr:rowOff>9525</xdr:rowOff>
    </xdr:from>
    <xdr:to>
      <xdr:col>1</xdr:col>
      <xdr:colOff>8210632</xdr:colOff>
      <xdr:row>12</xdr:row>
      <xdr:rowOff>147918</xdr:rowOff>
    </xdr:to>
    <xdr:pic>
      <xdr:nvPicPr>
        <xdr:cNvPr id="25510" name="Picture 161">
          <a:extLst>
            <a:ext uri="{FF2B5EF4-FFF2-40B4-BE49-F238E27FC236}">
              <a16:creationId xmlns:a16="http://schemas.microsoft.com/office/drawing/2014/main" id="{00000000-0008-0000-0200-0000A66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6" y="9525"/>
          <a:ext cx="8338938" cy="1819275"/>
        </a:xfrm>
        <a:prstGeom prst="rect">
          <a:avLst/>
        </a:prstGeom>
        <a:noFill/>
        <a:ln w="9525">
          <a:noFill/>
          <a:miter lim="800000"/>
          <a:headEnd/>
          <a:tailEnd/>
        </a:ln>
      </xdr:spPr>
    </xdr:pic>
    <xdr:clientData/>
  </xdr:twoCellAnchor>
  <xdr:twoCellAnchor editAs="absolute">
    <xdr:from>
      <xdr:col>0</xdr:col>
      <xdr:colOff>79374</xdr:colOff>
      <xdr:row>7</xdr:row>
      <xdr:rowOff>131632</xdr:rowOff>
    </xdr:from>
    <xdr:to>
      <xdr:col>1</xdr:col>
      <xdr:colOff>3940809</xdr:colOff>
      <xdr:row>13</xdr:row>
      <xdr:rowOff>441324</xdr:rowOff>
    </xdr:to>
    <xdr:sp macro="" textlink="">
      <xdr:nvSpPr>
        <xdr:cNvPr id="5" name="Text Box 18">
          <a:extLst>
            <a:ext uri="{FF2B5EF4-FFF2-40B4-BE49-F238E27FC236}">
              <a16:creationId xmlns:a16="http://schemas.microsoft.com/office/drawing/2014/main" id="{00000000-0008-0000-0200-000005000000}"/>
            </a:ext>
          </a:extLst>
        </xdr:cNvPr>
        <xdr:cNvSpPr txBox="1">
          <a:spLocks noChangeArrowheads="1"/>
        </xdr:cNvSpPr>
      </xdr:nvSpPr>
      <xdr:spPr bwMode="auto">
        <a:xfrm>
          <a:off x="79374" y="1007297"/>
          <a:ext cx="4012565" cy="1330137"/>
        </a:xfrm>
        <a:prstGeom prst="rect">
          <a:avLst/>
        </a:prstGeom>
        <a:solidFill>
          <a:srgbClr val="FFFFFF">
            <a:alpha val="0"/>
          </a:srgbClr>
        </a:solidFill>
        <a:ln w="9525">
          <a:noFill/>
          <a:miter lim="800000"/>
          <a:headEnd/>
          <a:tailEnd/>
        </a:ln>
      </xdr:spPr>
      <xdr:txBody>
        <a:bodyPr vertOverflow="clip" wrap="square" lIns="36576" tIns="27432" rIns="0" bIns="0" anchor="t" upright="1"/>
        <a:lstStyle/>
        <a:p>
          <a:pPr algn="ctr" rtl="0">
            <a:defRPr sz="1000"/>
          </a:pPr>
          <a:r>
            <a:rPr lang="en-US" sz="1400" b="1" i="0" strike="noStrike">
              <a:solidFill>
                <a:srgbClr val="008080"/>
              </a:solidFill>
              <a:latin typeface="Arial"/>
              <a:cs typeface="Arial"/>
            </a:rPr>
            <a:t>Welcome to Idaho Power's</a:t>
          </a:r>
        </a:p>
        <a:p>
          <a:pPr algn="ctr" rtl="0">
            <a:lnSpc>
              <a:spcPts val="2900"/>
            </a:lnSpc>
            <a:defRPr sz="1000"/>
          </a:pPr>
          <a:r>
            <a:rPr lang="en-US" sz="2400" b="1" i="1" strike="noStrike">
              <a:solidFill>
                <a:srgbClr val="FF9900"/>
              </a:solidFill>
              <a:latin typeface="Arial"/>
              <a:cs typeface="Arial"/>
            </a:rPr>
            <a:t>Interactive Application </a:t>
          </a:r>
        </a:p>
        <a:p>
          <a:pPr algn="ctr" rtl="0">
            <a:defRPr sz="1000"/>
          </a:pPr>
          <a:r>
            <a:rPr lang="en-US" sz="1400" b="1" i="0" strike="noStrike">
              <a:solidFill>
                <a:srgbClr val="008080"/>
              </a:solidFill>
              <a:latin typeface="Arial"/>
              <a:cs typeface="Arial"/>
            </a:rPr>
            <a:t>for </a:t>
          </a:r>
          <a:r>
            <a:rPr lang="en-US" sz="1400" b="1" i="1" strike="noStrike">
              <a:solidFill>
                <a:srgbClr val="008080"/>
              </a:solidFill>
              <a:latin typeface="Arial"/>
              <a:cs typeface="Arial"/>
            </a:rPr>
            <a:t>Multifamily</a:t>
          </a:r>
          <a:r>
            <a:rPr lang="en-US" sz="1400" b="1" i="1" strike="noStrike" baseline="0">
              <a:solidFill>
                <a:srgbClr val="008080"/>
              </a:solidFill>
              <a:latin typeface="Arial"/>
              <a:cs typeface="Arial"/>
            </a:rPr>
            <a:t> (5 units or more per building)</a:t>
          </a:r>
          <a:endParaRPr lang="en-US" sz="1400" b="1" i="0" strike="noStrike">
            <a:solidFill>
              <a:srgbClr val="008080"/>
            </a:solidFill>
            <a:latin typeface="Arial"/>
            <a:cs typeface="Arial"/>
          </a:endParaRPr>
        </a:p>
        <a:p>
          <a:pPr algn="ctr" rtl="0">
            <a:defRPr sz="1000"/>
          </a:pPr>
          <a:r>
            <a:rPr lang="en-US" sz="1200" b="1" i="0" strike="noStrike">
              <a:solidFill>
                <a:srgbClr val="008080"/>
              </a:solidFill>
              <a:latin typeface="Arial"/>
              <a:cs typeface="Arial"/>
            </a:rPr>
            <a:t>Energy</a:t>
          </a:r>
          <a:r>
            <a:rPr lang="en-US" sz="1200" b="1" i="0" strike="noStrike" baseline="0">
              <a:solidFill>
                <a:srgbClr val="008080"/>
              </a:solidFill>
              <a:latin typeface="Arial"/>
              <a:cs typeface="Arial"/>
            </a:rPr>
            <a:t> Efficiency Incentives</a:t>
          </a:r>
          <a:endParaRPr lang="en-US" sz="1200" b="1" i="0" strike="noStrike">
            <a:solidFill>
              <a:srgbClr val="008080"/>
            </a:solidFill>
            <a:latin typeface="Arial"/>
            <a:cs typeface="Arial"/>
          </a:endParaRPr>
        </a:p>
      </xdr:txBody>
    </xdr:sp>
    <xdr:clientData/>
  </xdr:twoCellAnchor>
  <xdr:twoCellAnchor editAs="oneCell">
    <xdr:from>
      <xdr:col>26</xdr:col>
      <xdr:colOff>57150</xdr:colOff>
      <xdr:row>68</xdr:row>
      <xdr:rowOff>180975</xdr:rowOff>
    </xdr:from>
    <xdr:to>
      <xdr:col>26</xdr:col>
      <xdr:colOff>9429750</xdr:colOff>
      <xdr:row>81</xdr:row>
      <xdr:rowOff>419100</xdr:rowOff>
    </xdr:to>
    <xdr:pic>
      <xdr:nvPicPr>
        <xdr:cNvPr id="25512" name="Picture 9" descr="IP_Letterhead_Black_non-bleed">
          <a:extLst>
            <a:ext uri="{FF2B5EF4-FFF2-40B4-BE49-F238E27FC236}">
              <a16:creationId xmlns:a16="http://schemas.microsoft.com/office/drawing/2014/main" id="{00000000-0008-0000-0200-0000A8630000}"/>
            </a:ext>
          </a:extLst>
        </xdr:cNvPr>
        <xdr:cNvPicPr>
          <a:picLocks noChangeAspect="1"/>
        </xdr:cNvPicPr>
      </xdr:nvPicPr>
      <xdr:blipFill>
        <a:blip xmlns:r="http://schemas.openxmlformats.org/officeDocument/2006/relationships" r:embed="rId2" cstate="print"/>
        <a:srcRect/>
        <a:stretch>
          <a:fillRect/>
        </a:stretch>
      </xdr:blipFill>
      <xdr:spPr bwMode="auto">
        <a:xfrm>
          <a:off x="24069675" y="11610975"/>
          <a:ext cx="9372600" cy="2105025"/>
        </a:xfrm>
        <a:prstGeom prst="rect">
          <a:avLst/>
        </a:prstGeom>
        <a:noFill/>
        <a:ln w="9525">
          <a:noFill/>
          <a:miter lim="800000"/>
          <a:headEnd/>
          <a:tailEnd/>
        </a:ln>
      </xdr:spPr>
    </xdr:pic>
    <xdr:clientData/>
  </xdr:twoCellAnchor>
  <xdr:twoCellAnchor editAs="oneCell">
    <xdr:from>
      <xdr:col>26</xdr:col>
      <xdr:colOff>217170</xdr:colOff>
      <xdr:row>79</xdr:row>
      <xdr:rowOff>19723</xdr:rowOff>
    </xdr:from>
    <xdr:to>
      <xdr:col>26</xdr:col>
      <xdr:colOff>4095750</xdr:colOff>
      <xdr:row>85</xdr:row>
      <xdr:rowOff>134620</xdr:rowOff>
    </xdr:to>
    <xdr:sp macro="" textlink="">
      <xdr:nvSpPr>
        <xdr:cNvPr id="11" name="Text Box 18">
          <a:extLst>
            <a:ext uri="{FF2B5EF4-FFF2-40B4-BE49-F238E27FC236}">
              <a16:creationId xmlns:a16="http://schemas.microsoft.com/office/drawing/2014/main" id="{00000000-0008-0000-0200-00000B000000}"/>
            </a:ext>
          </a:extLst>
        </xdr:cNvPr>
        <xdr:cNvSpPr txBox="1">
          <a:spLocks noChangeArrowheads="1"/>
        </xdr:cNvSpPr>
      </xdr:nvSpPr>
      <xdr:spPr bwMode="auto">
        <a:xfrm>
          <a:off x="24991695" y="13954798"/>
          <a:ext cx="3878580" cy="1438872"/>
        </a:xfrm>
        <a:prstGeom prst="rect">
          <a:avLst/>
        </a:prstGeom>
        <a:solidFill>
          <a:srgbClr val="FFFFFF">
            <a:alpha val="0"/>
          </a:srgbClr>
        </a:solidFill>
        <a:ln w="9525">
          <a:noFill/>
          <a:miter lim="800000"/>
          <a:headEnd/>
          <a:tailEnd/>
        </a:ln>
      </xdr:spPr>
      <xdr:txBody>
        <a:bodyPr vertOverflow="clip" wrap="square" lIns="36576" tIns="27432" rIns="0" bIns="0" anchor="t" upright="1"/>
        <a:lstStyle/>
        <a:p>
          <a:pPr algn="ctr" rtl="0">
            <a:defRPr sz="1000"/>
          </a:pPr>
          <a:r>
            <a:rPr lang="en-US" sz="1400" b="1" i="0" strike="noStrike">
              <a:solidFill>
                <a:sysClr val="windowText" lastClr="000000"/>
              </a:solidFill>
              <a:latin typeface="Arial"/>
              <a:cs typeface="Arial"/>
            </a:rPr>
            <a:t>Welcome to Idaho Power's</a:t>
          </a:r>
        </a:p>
        <a:p>
          <a:pPr algn="ctr" rtl="0">
            <a:lnSpc>
              <a:spcPts val="2900"/>
            </a:lnSpc>
            <a:defRPr sz="1000"/>
          </a:pPr>
          <a:r>
            <a:rPr lang="en-US" sz="2400" b="1" i="1" strike="noStrike">
              <a:solidFill>
                <a:sysClr val="windowText" lastClr="000000"/>
              </a:solidFill>
              <a:latin typeface="Arial"/>
              <a:cs typeface="Arial"/>
            </a:rPr>
            <a:t>Interactive Application </a:t>
          </a:r>
        </a:p>
        <a:p>
          <a:pPr algn="ctr" rtl="0">
            <a:lnSpc>
              <a:spcPts val="1600"/>
            </a:lnSpc>
            <a:defRPr sz="1000"/>
          </a:pPr>
          <a:r>
            <a:rPr lang="en-US" sz="1400" b="1" i="0" strike="noStrike">
              <a:solidFill>
                <a:sysClr val="windowText" lastClr="000000"/>
              </a:solidFill>
              <a:latin typeface="Arial"/>
              <a:cs typeface="Arial"/>
            </a:rPr>
            <a:t>for </a:t>
          </a:r>
          <a:r>
            <a:rPr lang="en-US" sz="1400" b="1" i="1" strike="noStrike">
              <a:solidFill>
                <a:sysClr val="windowText" lastClr="000000"/>
              </a:solidFill>
              <a:latin typeface="Arial"/>
              <a:cs typeface="Arial"/>
            </a:rPr>
            <a:t>Multifamil</a:t>
          </a:r>
          <a:r>
            <a:rPr lang="en-US" sz="1400" b="1" i="1" strike="noStrike" baseline="0">
              <a:solidFill>
                <a:sysClr val="windowText" lastClr="000000"/>
              </a:solidFill>
              <a:latin typeface="Arial"/>
              <a:cs typeface="Arial"/>
            </a:rPr>
            <a:t>y (5 units or more per building)</a:t>
          </a:r>
        </a:p>
        <a:p>
          <a:pPr algn="ctr" rtl="0">
            <a:lnSpc>
              <a:spcPts val="1600"/>
            </a:lnSpc>
            <a:defRPr sz="1000"/>
          </a:pPr>
          <a:r>
            <a:rPr lang="en-US" sz="1200" b="1" i="0" strike="noStrike" baseline="0">
              <a:solidFill>
                <a:sysClr val="windowText" lastClr="000000"/>
              </a:solidFill>
              <a:latin typeface="Arial"/>
              <a:cs typeface="Arial"/>
            </a:rPr>
            <a:t>Energy Efficiency Incentives</a:t>
          </a:r>
          <a:endParaRPr lang="en-US" sz="1200" b="1" i="0" strike="noStrike">
            <a:solidFill>
              <a:sysClr val="windowText" lastClr="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20955</xdr:colOff>
      <xdr:row>204</xdr:row>
      <xdr:rowOff>59055</xdr:rowOff>
    </xdr:from>
    <xdr:to>
      <xdr:col>27</xdr:col>
      <xdr:colOff>169545</xdr:colOff>
      <xdr:row>206</xdr:row>
      <xdr:rowOff>287655</xdr:rowOff>
    </xdr:to>
    <xdr:pic>
      <xdr:nvPicPr>
        <xdr:cNvPr id="17197" name="Picture 5" descr="Logo.emf">
          <a:extLst>
            <a:ext uri="{FF2B5EF4-FFF2-40B4-BE49-F238E27FC236}">
              <a16:creationId xmlns:a16="http://schemas.microsoft.com/office/drawing/2014/main" id="{00000000-0008-0000-0300-00002D430000}"/>
            </a:ext>
          </a:extLst>
        </xdr:cNvPr>
        <xdr:cNvPicPr>
          <a:picLocks noChangeAspect="1"/>
        </xdr:cNvPicPr>
      </xdr:nvPicPr>
      <xdr:blipFill>
        <a:blip xmlns:r="http://schemas.openxmlformats.org/officeDocument/2006/relationships" r:embed="rId1" cstate="print"/>
        <a:srcRect/>
        <a:stretch>
          <a:fillRect/>
        </a:stretch>
      </xdr:blipFill>
      <xdr:spPr bwMode="auto">
        <a:xfrm>
          <a:off x="4383405" y="34225230"/>
          <a:ext cx="2063115" cy="708660"/>
        </a:xfrm>
        <a:prstGeom prst="rect">
          <a:avLst/>
        </a:prstGeom>
        <a:noFill/>
        <a:ln w="9525">
          <a:noFill/>
          <a:miter lim="800000"/>
          <a:headEnd/>
          <a:tailEnd/>
        </a:ln>
      </xdr:spPr>
    </xdr:pic>
    <xdr:clientData/>
  </xdr:twoCellAnchor>
  <xdr:twoCellAnchor editAs="oneCell">
    <xdr:from>
      <xdr:col>19</xdr:col>
      <xdr:colOff>215900</xdr:colOff>
      <xdr:row>0</xdr:row>
      <xdr:rowOff>130175</xdr:rowOff>
    </xdr:from>
    <xdr:to>
      <xdr:col>27</xdr:col>
      <xdr:colOff>219075</xdr:colOff>
      <xdr:row>2</xdr:row>
      <xdr:rowOff>163830</xdr:rowOff>
    </xdr:to>
    <xdr:pic>
      <xdr:nvPicPr>
        <xdr:cNvPr id="17198" name="Picture 5" descr="Logo.emf">
          <a:extLst>
            <a:ext uri="{FF2B5EF4-FFF2-40B4-BE49-F238E27FC236}">
              <a16:creationId xmlns:a16="http://schemas.microsoft.com/office/drawing/2014/main" id="{00000000-0008-0000-0300-00002E430000}"/>
            </a:ext>
          </a:extLst>
        </xdr:cNvPr>
        <xdr:cNvPicPr>
          <a:picLocks noChangeAspect="1"/>
        </xdr:cNvPicPr>
      </xdr:nvPicPr>
      <xdr:blipFill>
        <a:blip xmlns:r="http://schemas.openxmlformats.org/officeDocument/2006/relationships" r:embed="rId1" cstate="print"/>
        <a:srcRect/>
        <a:stretch>
          <a:fillRect/>
        </a:stretch>
      </xdr:blipFill>
      <xdr:spPr bwMode="auto">
        <a:xfrm>
          <a:off x="4406900" y="130175"/>
          <a:ext cx="1831975" cy="7004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26</xdr:row>
          <xdr:rowOff>133350</xdr:rowOff>
        </xdr:from>
        <xdr:to>
          <xdr:col>4</xdr:col>
          <xdr:colOff>19050</xdr:colOff>
          <xdr:row>29</xdr:row>
          <xdr:rowOff>95250</xdr:rowOff>
        </xdr:to>
        <xdr:sp macro="" textlink="">
          <xdr:nvSpPr>
            <xdr:cNvPr id="43868" name="Check Box 1884" hidden="1">
              <a:extLst>
                <a:ext uri="{63B3BB69-23CF-44E3-9099-C40C66FF867C}">
                  <a14:compatExt spid="_x0000_s43868"/>
                </a:ext>
                <a:ext uri="{FF2B5EF4-FFF2-40B4-BE49-F238E27FC236}">
                  <a16:creationId xmlns:a16="http://schemas.microsoft.com/office/drawing/2014/main" id="{00000000-0008-0000-0300-00005CAB0000}"/>
                </a:ext>
              </a:extLst>
            </xdr:cNvPr>
            <xdr:cNvSpPr/>
          </xdr:nvSpPr>
          <xdr:spPr bwMode="auto">
            <a:xfrm>
              <a:off x="0" y="0"/>
              <a:ext cx="0" cy="0"/>
            </a:xfrm>
            <a:prstGeom prst="rect">
              <a:avLst/>
            </a:prstGeom>
            <a:noFill/>
            <a:ln>
              <a:noFill/>
            </a:ln>
            <a:extLst>
              <a:ext uri="{909E8E84-426E-40DD-AFC4-6F175D3DCCD1}">
                <a14:hiddenFill>
                  <a:solidFill>
                    <a:srgbClr val="C5D9F1"/>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231</xdr:row>
          <xdr:rowOff>104775</xdr:rowOff>
        </xdr:from>
        <xdr:to>
          <xdr:col>4</xdr:col>
          <xdr:colOff>171450</xdr:colOff>
          <xdr:row>233</xdr:row>
          <xdr:rowOff>114300</xdr:rowOff>
        </xdr:to>
        <xdr:sp macro="" textlink="">
          <xdr:nvSpPr>
            <xdr:cNvPr id="43871" name="Check Box 1887" hidden="1">
              <a:extLst>
                <a:ext uri="{63B3BB69-23CF-44E3-9099-C40C66FF867C}">
                  <a14:compatExt spid="_x0000_s43871"/>
                </a:ext>
                <a:ext uri="{FF2B5EF4-FFF2-40B4-BE49-F238E27FC236}">
                  <a16:creationId xmlns:a16="http://schemas.microsoft.com/office/drawing/2014/main" id="{00000000-0008-0000-0300-00005FAB0000}"/>
                </a:ext>
              </a:extLst>
            </xdr:cNvPr>
            <xdr:cNvSpPr/>
          </xdr:nvSpPr>
          <xdr:spPr bwMode="auto">
            <a:xfrm>
              <a:off x="0" y="0"/>
              <a:ext cx="0" cy="0"/>
            </a:xfrm>
            <a:prstGeom prst="rect">
              <a:avLst/>
            </a:prstGeom>
            <a:noFill/>
            <a:ln>
              <a:noFill/>
            </a:ln>
            <a:extLst>
              <a:ext uri="{909E8E84-426E-40DD-AFC4-6F175D3DCCD1}">
                <a14:hiddenFill>
                  <a:solidFill>
                    <a:srgbClr val="C5D9F1"/>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19</xdr:col>
      <xdr:colOff>123825</xdr:colOff>
      <xdr:row>0</xdr:row>
      <xdr:rowOff>47625</xdr:rowOff>
    </xdr:from>
    <xdr:to>
      <xdr:col>28</xdr:col>
      <xdr:colOff>132477</xdr:colOff>
      <xdr:row>2</xdr:row>
      <xdr:rowOff>266700</xdr:rowOff>
    </xdr:to>
    <xdr:pic>
      <xdr:nvPicPr>
        <xdr:cNvPr id="16254" name="Picture 8" descr="Logo.emf">
          <a:extLst>
            <a:ext uri="{FF2B5EF4-FFF2-40B4-BE49-F238E27FC236}">
              <a16:creationId xmlns:a16="http://schemas.microsoft.com/office/drawing/2014/main" id="{00000000-0008-0000-0400-00007E3F0000}"/>
            </a:ext>
          </a:extLst>
        </xdr:cNvPr>
        <xdr:cNvPicPr>
          <a:picLocks noChangeAspect="1"/>
        </xdr:cNvPicPr>
      </xdr:nvPicPr>
      <xdr:blipFill>
        <a:blip xmlns:r="http://schemas.openxmlformats.org/officeDocument/2006/relationships" r:embed="rId1" cstate="print"/>
        <a:srcRect/>
        <a:stretch>
          <a:fillRect/>
        </a:stretch>
      </xdr:blipFill>
      <xdr:spPr bwMode="auto">
        <a:xfrm>
          <a:off x="4558665" y="47625"/>
          <a:ext cx="2220357" cy="699135"/>
        </a:xfrm>
        <a:prstGeom prst="rect">
          <a:avLst/>
        </a:prstGeom>
        <a:noFill/>
        <a:ln w="9525">
          <a:noFill/>
          <a:miter lim="800000"/>
          <a:headEnd/>
          <a:tailEnd/>
        </a:ln>
      </xdr:spPr>
    </xdr:pic>
    <xdr:clientData/>
  </xdr:twoCellAnchor>
  <xdr:twoCellAnchor editAs="oneCell">
    <xdr:from>
      <xdr:col>19</xdr:col>
      <xdr:colOff>17145</xdr:colOff>
      <xdr:row>225</xdr:row>
      <xdr:rowOff>53341</xdr:rowOff>
    </xdr:from>
    <xdr:to>
      <xdr:col>28</xdr:col>
      <xdr:colOff>76200</xdr:colOff>
      <xdr:row>228</xdr:row>
      <xdr:rowOff>55705</xdr:rowOff>
    </xdr:to>
    <xdr:pic>
      <xdr:nvPicPr>
        <xdr:cNvPr id="6" name="Picture 5" descr="Logo.emf">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4484370" y="38743891"/>
          <a:ext cx="2278380" cy="787224"/>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20955</xdr:colOff>
      <xdr:row>0</xdr:row>
      <xdr:rowOff>20955</xdr:rowOff>
    </xdr:from>
    <xdr:to>
      <xdr:col>28</xdr:col>
      <xdr:colOff>178223</xdr:colOff>
      <xdr:row>2</xdr:row>
      <xdr:rowOff>169545</xdr:rowOff>
    </xdr:to>
    <xdr:pic>
      <xdr:nvPicPr>
        <xdr:cNvPr id="2" name="Picture 8" descr="Logo.emf">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726305" y="20955"/>
          <a:ext cx="2132753" cy="712470"/>
        </a:xfrm>
        <a:prstGeom prst="rect">
          <a:avLst/>
        </a:prstGeom>
        <a:noFill/>
        <a:ln w="9525">
          <a:noFill/>
          <a:miter lim="800000"/>
          <a:headEnd/>
          <a:tailEnd/>
        </a:ln>
      </xdr:spPr>
    </xdr:pic>
    <xdr:clientData/>
  </xdr:twoCellAnchor>
  <xdr:twoCellAnchor editAs="oneCell">
    <xdr:from>
      <xdr:col>20</xdr:col>
      <xdr:colOff>9525</xdr:colOff>
      <xdr:row>215</xdr:row>
      <xdr:rowOff>47625</xdr:rowOff>
    </xdr:from>
    <xdr:to>
      <xdr:col>28</xdr:col>
      <xdr:colOff>77258</xdr:colOff>
      <xdr:row>218</xdr:row>
      <xdr:rowOff>63502</xdr:rowOff>
    </xdr:to>
    <xdr:pic>
      <xdr:nvPicPr>
        <xdr:cNvPr id="3" name="Picture 2" descr="Logo.em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4711700" y="47688500"/>
          <a:ext cx="2099733" cy="73914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0</xdr:colOff>
          <xdr:row>60</xdr:row>
          <xdr:rowOff>190500</xdr:rowOff>
        </xdr:from>
        <xdr:to>
          <xdr:col>2</xdr:col>
          <xdr:colOff>57150</xdr:colOff>
          <xdr:row>61</xdr:row>
          <xdr:rowOff>152400</xdr:rowOff>
        </xdr:to>
        <xdr:sp macro="" textlink="">
          <xdr:nvSpPr>
            <xdr:cNvPr id="55301" name="B1" hidden="1">
              <a:extLst>
                <a:ext uri="{63B3BB69-23CF-44E3-9099-C40C66FF867C}">
                  <a14:compatExt spid="_x0000_s55301"/>
                </a:ext>
                <a:ext uri="{FF2B5EF4-FFF2-40B4-BE49-F238E27FC236}">
                  <a16:creationId xmlns:a16="http://schemas.microsoft.com/office/drawing/2014/main" id="{00000000-0008-0000-0600-00000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49</xdr:row>
          <xdr:rowOff>152400</xdr:rowOff>
        </xdr:from>
        <xdr:to>
          <xdr:col>2</xdr:col>
          <xdr:colOff>104775</xdr:colOff>
          <xdr:row>51</xdr:row>
          <xdr:rowOff>38100</xdr:rowOff>
        </xdr:to>
        <xdr:sp macro="" textlink="">
          <xdr:nvSpPr>
            <xdr:cNvPr id="55303" name="A3" hidden="1">
              <a:extLst>
                <a:ext uri="{63B3BB69-23CF-44E3-9099-C40C66FF867C}">
                  <a14:compatExt spid="_x0000_s55303"/>
                </a:ext>
                <a:ext uri="{FF2B5EF4-FFF2-40B4-BE49-F238E27FC236}">
                  <a16:creationId xmlns:a16="http://schemas.microsoft.com/office/drawing/2014/main" id="{00000000-0008-0000-0600-00000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142875</xdr:rowOff>
        </xdr:from>
        <xdr:to>
          <xdr:col>2</xdr:col>
          <xdr:colOff>104775</xdr:colOff>
          <xdr:row>50</xdr:row>
          <xdr:rowOff>57150</xdr:rowOff>
        </xdr:to>
        <xdr:sp macro="" textlink="">
          <xdr:nvSpPr>
            <xdr:cNvPr id="55305" name="A1" hidden="1">
              <a:extLst>
                <a:ext uri="{63B3BB69-23CF-44E3-9099-C40C66FF867C}">
                  <a14:compatExt spid="_x0000_s55305"/>
                </a:ext>
                <a:ext uri="{FF2B5EF4-FFF2-40B4-BE49-F238E27FC236}">
                  <a16:creationId xmlns:a16="http://schemas.microsoft.com/office/drawing/2014/main" id="{00000000-0008-0000-0600-00000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9525</xdr:rowOff>
        </xdr:from>
        <xdr:to>
          <xdr:col>2</xdr:col>
          <xdr:colOff>104775</xdr:colOff>
          <xdr:row>41</xdr:row>
          <xdr:rowOff>57150</xdr:rowOff>
        </xdr:to>
        <xdr:sp macro="" textlink="">
          <xdr:nvSpPr>
            <xdr:cNvPr id="55306" name="L5" hidden="1">
              <a:extLst>
                <a:ext uri="{63B3BB69-23CF-44E3-9099-C40C66FF867C}">
                  <a14:compatExt spid="_x0000_s55306"/>
                </a:ext>
                <a:ext uri="{FF2B5EF4-FFF2-40B4-BE49-F238E27FC236}">
                  <a16:creationId xmlns:a16="http://schemas.microsoft.com/office/drawing/2014/main" id="{00000000-0008-0000-0600-00000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33</xdr:row>
          <xdr:rowOff>133350</xdr:rowOff>
        </xdr:from>
        <xdr:to>
          <xdr:col>2</xdr:col>
          <xdr:colOff>85725</xdr:colOff>
          <xdr:row>40</xdr:row>
          <xdr:rowOff>28575</xdr:rowOff>
        </xdr:to>
        <xdr:sp macro="" textlink="">
          <xdr:nvSpPr>
            <xdr:cNvPr id="55309" name="L2" hidden="1">
              <a:extLst>
                <a:ext uri="{63B3BB69-23CF-44E3-9099-C40C66FF867C}">
                  <a14:compatExt spid="_x0000_s55309"/>
                </a:ext>
                <a:ext uri="{FF2B5EF4-FFF2-40B4-BE49-F238E27FC236}">
                  <a16:creationId xmlns:a16="http://schemas.microsoft.com/office/drawing/2014/main" id="{00000000-0008-0000-0600-00000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32</xdr:row>
          <xdr:rowOff>180975</xdr:rowOff>
        </xdr:from>
        <xdr:to>
          <xdr:col>2</xdr:col>
          <xdr:colOff>95250</xdr:colOff>
          <xdr:row>34</xdr:row>
          <xdr:rowOff>57150</xdr:rowOff>
        </xdr:to>
        <xdr:sp macro="" textlink="">
          <xdr:nvSpPr>
            <xdr:cNvPr id="55310" name="L1" hidden="1">
              <a:extLst>
                <a:ext uri="{63B3BB69-23CF-44E3-9099-C40C66FF867C}">
                  <a14:compatExt spid="_x0000_s55310"/>
                </a:ext>
                <a:ext uri="{FF2B5EF4-FFF2-40B4-BE49-F238E27FC236}">
                  <a16:creationId xmlns:a16="http://schemas.microsoft.com/office/drawing/2014/main" id="{00000000-0008-0000-0600-00000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76</xdr:row>
          <xdr:rowOff>152400</xdr:rowOff>
        </xdr:from>
        <xdr:to>
          <xdr:col>2</xdr:col>
          <xdr:colOff>114300</xdr:colOff>
          <xdr:row>110</xdr:row>
          <xdr:rowOff>47625</xdr:rowOff>
        </xdr:to>
        <xdr:sp macro="" textlink="">
          <xdr:nvSpPr>
            <xdr:cNvPr id="55313" name="Check Box 17" hidden="1">
              <a:extLst>
                <a:ext uri="{63B3BB69-23CF-44E3-9099-C40C66FF867C}">
                  <a14:compatExt spid="_x0000_s55313"/>
                </a:ext>
                <a:ext uri="{FF2B5EF4-FFF2-40B4-BE49-F238E27FC236}">
                  <a16:creationId xmlns:a16="http://schemas.microsoft.com/office/drawing/2014/main" id="{00000000-0008-0000-0600-00001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171450</xdr:rowOff>
        </xdr:from>
        <xdr:to>
          <xdr:col>2</xdr:col>
          <xdr:colOff>57150</xdr:colOff>
          <xdr:row>14</xdr:row>
          <xdr:rowOff>0</xdr:rowOff>
        </xdr:to>
        <xdr:sp macro="" textlink="">
          <xdr:nvSpPr>
            <xdr:cNvPr id="55398" name="A4" hidden="1">
              <a:extLst>
                <a:ext uri="{63B3BB69-23CF-44E3-9099-C40C66FF867C}">
                  <a14:compatExt spid="_x0000_s55398"/>
                </a:ext>
                <a:ext uri="{FF2B5EF4-FFF2-40B4-BE49-F238E27FC236}">
                  <a16:creationId xmlns:a16="http://schemas.microsoft.com/office/drawing/2014/main" id="{00000000-0008-0000-0600-00006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xdr:row>
          <xdr:rowOff>38100</xdr:rowOff>
        </xdr:from>
        <xdr:to>
          <xdr:col>2</xdr:col>
          <xdr:colOff>38100</xdr:colOff>
          <xdr:row>12</xdr:row>
          <xdr:rowOff>0</xdr:rowOff>
        </xdr:to>
        <xdr:sp macro="" textlink="">
          <xdr:nvSpPr>
            <xdr:cNvPr id="55399" name="A3" hidden="1">
              <a:extLst>
                <a:ext uri="{63B3BB69-23CF-44E3-9099-C40C66FF867C}">
                  <a14:compatExt spid="_x0000_s55399"/>
                </a:ext>
                <a:ext uri="{FF2B5EF4-FFF2-40B4-BE49-F238E27FC236}">
                  <a16:creationId xmlns:a16="http://schemas.microsoft.com/office/drawing/2014/main" id="{00000000-0008-0000-0600-00006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161925</xdr:rowOff>
        </xdr:from>
        <xdr:to>
          <xdr:col>2</xdr:col>
          <xdr:colOff>95250</xdr:colOff>
          <xdr:row>11</xdr:row>
          <xdr:rowOff>19050</xdr:rowOff>
        </xdr:to>
        <xdr:sp macro="" textlink="">
          <xdr:nvSpPr>
            <xdr:cNvPr id="55400" name="A2" hidden="1">
              <a:extLst>
                <a:ext uri="{63B3BB69-23CF-44E3-9099-C40C66FF867C}">
                  <a14:compatExt spid="_x0000_s55400"/>
                </a:ext>
                <a:ext uri="{FF2B5EF4-FFF2-40B4-BE49-F238E27FC236}">
                  <a16:creationId xmlns:a16="http://schemas.microsoft.com/office/drawing/2014/main" id="{00000000-0008-0000-0600-00006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9</xdr:row>
          <xdr:rowOff>9525</xdr:rowOff>
        </xdr:from>
        <xdr:to>
          <xdr:col>2</xdr:col>
          <xdr:colOff>38100</xdr:colOff>
          <xdr:row>10</xdr:row>
          <xdr:rowOff>28575</xdr:rowOff>
        </xdr:to>
        <xdr:sp macro="" textlink="">
          <xdr:nvSpPr>
            <xdr:cNvPr id="55401" name="A1" hidden="1">
              <a:extLst>
                <a:ext uri="{63B3BB69-23CF-44E3-9099-C40C66FF867C}">
                  <a14:compatExt spid="_x0000_s55401"/>
                </a:ext>
                <a:ext uri="{FF2B5EF4-FFF2-40B4-BE49-F238E27FC236}">
                  <a16:creationId xmlns:a16="http://schemas.microsoft.com/office/drawing/2014/main" id="{00000000-0008-0000-0600-00006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9525</xdr:rowOff>
        </xdr:from>
        <xdr:to>
          <xdr:col>2</xdr:col>
          <xdr:colOff>57150</xdr:colOff>
          <xdr:row>12</xdr:row>
          <xdr:rowOff>180975</xdr:rowOff>
        </xdr:to>
        <xdr:sp macro="" textlink="">
          <xdr:nvSpPr>
            <xdr:cNvPr id="55412" name="Check Box 116" hidden="1">
              <a:extLst>
                <a:ext uri="{63B3BB69-23CF-44E3-9099-C40C66FF867C}">
                  <a14:compatExt spid="_x0000_s55412"/>
                </a:ext>
                <a:ext uri="{FF2B5EF4-FFF2-40B4-BE49-F238E27FC236}">
                  <a16:creationId xmlns:a16="http://schemas.microsoft.com/office/drawing/2014/main" id="{00000000-0008-0000-0600-00007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171450</xdr:rowOff>
        </xdr:from>
        <xdr:to>
          <xdr:col>2</xdr:col>
          <xdr:colOff>57150</xdr:colOff>
          <xdr:row>15</xdr:row>
          <xdr:rowOff>19050</xdr:rowOff>
        </xdr:to>
        <xdr:sp macro="" textlink="">
          <xdr:nvSpPr>
            <xdr:cNvPr id="55413" name="Check Box 117" hidden="1">
              <a:extLst>
                <a:ext uri="{63B3BB69-23CF-44E3-9099-C40C66FF867C}">
                  <a14:compatExt spid="_x0000_s55413"/>
                </a:ext>
                <a:ext uri="{FF2B5EF4-FFF2-40B4-BE49-F238E27FC236}">
                  <a16:creationId xmlns:a16="http://schemas.microsoft.com/office/drawing/2014/main" id="{00000000-0008-0000-0600-00007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190500</xdr:rowOff>
        </xdr:from>
        <xdr:to>
          <xdr:col>2</xdr:col>
          <xdr:colOff>57150</xdr:colOff>
          <xdr:row>15</xdr:row>
          <xdr:rowOff>152400</xdr:rowOff>
        </xdr:to>
        <xdr:sp macro="" textlink="">
          <xdr:nvSpPr>
            <xdr:cNvPr id="55414" name="B1" hidden="1">
              <a:extLst>
                <a:ext uri="{63B3BB69-23CF-44E3-9099-C40C66FF867C}">
                  <a14:compatExt spid="_x0000_s55414"/>
                </a:ext>
                <a:ext uri="{FF2B5EF4-FFF2-40B4-BE49-F238E27FC236}">
                  <a16:creationId xmlns:a16="http://schemas.microsoft.com/office/drawing/2014/main" id="{00000000-0008-0000-0600-00007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171450</xdr:rowOff>
        </xdr:from>
        <xdr:to>
          <xdr:col>2</xdr:col>
          <xdr:colOff>57150</xdr:colOff>
          <xdr:row>17</xdr:row>
          <xdr:rowOff>19050</xdr:rowOff>
        </xdr:to>
        <xdr:sp macro="" textlink="">
          <xdr:nvSpPr>
            <xdr:cNvPr id="55415" name="Check Box 119" hidden="1">
              <a:extLst>
                <a:ext uri="{63B3BB69-23CF-44E3-9099-C40C66FF867C}">
                  <a14:compatExt spid="_x0000_s55415"/>
                </a:ext>
                <a:ext uri="{FF2B5EF4-FFF2-40B4-BE49-F238E27FC236}">
                  <a16:creationId xmlns:a16="http://schemas.microsoft.com/office/drawing/2014/main" id="{00000000-0008-0000-0600-00007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171450</xdr:rowOff>
        </xdr:from>
        <xdr:to>
          <xdr:col>2</xdr:col>
          <xdr:colOff>57150</xdr:colOff>
          <xdr:row>17</xdr:row>
          <xdr:rowOff>19050</xdr:rowOff>
        </xdr:to>
        <xdr:sp macro="" textlink="">
          <xdr:nvSpPr>
            <xdr:cNvPr id="55417" name="Check Box 121" hidden="1">
              <a:extLst>
                <a:ext uri="{63B3BB69-23CF-44E3-9099-C40C66FF867C}">
                  <a14:compatExt spid="_x0000_s55417"/>
                </a:ext>
                <a:ext uri="{FF2B5EF4-FFF2-40B4-BE49-F238E27FC236}">
                  <a16:creationId xmlns:a16="http://schemas.microsoft.com/office/drawing/2014/main" id="{00000000-0008-0000-0600-00007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19050</xdr:rowOff>
        </xdr:from>
        <xdr:to>
          <xdr:col>2</xdr:col>
          <xdr:colOff>57150</xdr:colOff>
          <xdr:row>19</xdr:row>
          <xdr:rowOff>9525</xdr:rowOff>
        </xdr:to>
        <xdr:sp macro="" textlink="">
          <xdr:nvSpPr>
            <xdr:cNvPr id="55418" name="Check Box 122" hidden="1">
              <a:extLst>
                <a:ext uri="{63B3BB69-23CF-44E3-9099-C40C66FF867C}">
                  <a14:compatExt spid="_x0000_s55418"/>
                </a:ext>
                <a:ext uri="{FF2B5EF4-FFF2-40B4-BE49-F238E27FC236}">
                  <a16:creationId xmlns:a16="http://schemas.microsoft.com/office/drawing/2014/main" id="{00000000-0008-0000-0600-00007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110</xdr:row>
          <xdr:rowOff>9525</xdr:rowOff>
        </xdr:from>
        <xdr:to>
          <xdr:col>2</xdr:col>
          <xdr:colOff>104775</xdr:colOff>
          <xdr:row>111</xdr:row>
          <xdr:rowOff>57150</xdr:rowOff>
        </xdr:to>
        <xdr:sp macro="" textlink="">
          <xdr:nvSpPr>
            <xdr:cNvPr id="55448" name="Check Box 152" hidden="1">
              <a:extLst>
                <a:ext uri="{63B3BB69-23CF-44E3-9099-C40C66FF867C}">
                  <a14:compatExt spid="_x0000_s55448"/>
                </a:ext>
                <a:ext uri="{FF2B5EF4-FFF2-40B4-BE49-F238E27FC236}">
                  <a16:creationId xmlns:a16="http://schemas.microsoft.com/office/drawing/2014/main" id="{00000000-0008-0000-0600-00009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50</xdr:row>
          <xdr:rowOff>152400</xdr:rowOff>
        </xdr:from>
        <xdr:to>
          <xdr:col>2</xdr:col>
          <xdr:colOff>85725</xdr:colOff>
          <xdr:row>55</xdr:row>
          <xdr:rowOff>28575</xdr:rowOff>
        </xdr:to>
        <xdr:sp macro="" textlink="">
          <xdr:nvSpPr>
            <xdr:cNvPr id="55455" name="A3" hidden="1">
              <a:extLst>
                <a:ext uri="{63B3BB69-23CF-44E3-9099-C40C66FF867C}">
                  <a14:compatExt spid="_x0000_s55455"/>
                </a:ext>
                <a:ext uri="{FF2B5EF4-FFF2-40B4-BE49-F238E27FC236}">
                  <a16:creationId xmlns:a16="http://schemas.microsoft.com/office/drawing/2014/main" id="{00000000-0008-0000-0600-00009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52</xdr:row>
          <xdr:rowOff>152400</xdr:rowOff>
        </xdr:from>
        <xdr:to>
          <xdr:col>2</xdr:col>
          <xdr:colOff>85725</xdr:colOff>
          <xdr:row>57</xdr:row>
          <xdr:rowOff>57150</xdr:rowOff>
        </xdr:to>
        <xdr:sp macro="" textlink="">
          <xdr:nvSpPr>
            <xdr:cNvPr id="55457" name="Check Box 161" hidden="1">
              <a:extLst>
                <a:ext uri="{63B3BB69-23CF-44E3-9099-C40C66FF867C}">
                  <a14:compatExt spid="_x0000_s55457"/>
                </a:ext>
                <a:ext uri="{FF2B5EF4-FFF2-40B4-BE49-F238E27FC236}">
                  <a16:creationId xmlns:a16="http://schemas.microsoft.com/office/drawing/2014/main" id="{00000000-0008-0000-0600-0000A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223</xdr:row>
          <xdr:rowOff>152400</xdr:rowOff>
        </xdr:from>
        <xdr:to>
          <xdr:col>2</xdr:col>
          <xdr:colOff>47625</xdr:colOff>
          <xdr:row>225</xdr:row>
          <xdr:rowOff>19050</xdr:rowOff>
        </xdr:to>
        <xdr:sp macro="" textlink="">
          <xdr:nvSpPr>
            <xdr:cNvPr id="55464" name="Check Box 168" hidden="1">
              <a:extLst>
                <a:ext uri="{63B3BB69-23CF-44E3-9099-C40C66FF867C}">
                  <a14:compatExt spid="_x0000_s55464"/>
                </a:ext>
                <a:ext uri="{FF2B5EF4-FFF2-40B4-BE49-F238E27FC236}">
                  <a16:creationId xmlns:a16="http://schemas.microsoft.com/office/drawing/2014/main" id="{00000000-0008-0000-0600-0000A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224</xdr:row>
          <xdr:rowOff>133350</xdr:rowOff>
        </xdr:from>
        <xdr:to>
          <xdr:col>2</xdr:col>
          <xdr:colOff>76200</xdr:colOff>
          <xdr:row>226</xdr:row>
          <xdr:rowOff>19050</xdr:rowOff>
        </xdr:to>
        <xdr:sp macro="" textlink="">
          <xdr:nvSpPr>
            <xdr:cNvPr id="55465" name="A2" hidden="1">
              <a:extLst>
                <a:ext uri="{63B3BB69-23CF-44E3-9099-C40C66FF867C}">
                  <a14:compatExt spid="_x0000_s55465"/>
                </a:ext>
                <a:ext uri="{FF2B5EF4-FFF2-40B4-BE49-F238E27FC236}">
                  <a16:creationId xmlns:a16="http://schemas.microsoft.com/office/drawing/2014/main" id="{00000000-0008-0000-0600-0000A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226</xdr:row>
          <xdr:rowOff>0</xdr:rowOff>
        </xdr:from>
        <xdr:to>
          <xdr:col>2</xdr:col>
          <xdr:colOff>47625</xdr:colOff>
          <xdr:row>226</xdr:row>
          <xdr:rowOff>152400</xdr:rowOff>
        </xdr:to>
        <xdr:sp macro="" textlink="">
          <xdr:nvSpPr>
            <xdr:cNvPr id="55466" name="Check Box 170" hidden="1">
              <a:extLst>
                <a:ext uri="{63B3BB69-23CF-44E3-9099-C40C66FF867C}">
                  <a14:compatExt spid="_x0000_s55466"/>
                </a:ext>
                <a:ext uri="{FF2B5EF4-FFF2-40B4-BE49-F238E27FC236}">
                  <a16:creationId xmlns:a16="http://schemas.microsoft.com/office/drawing/2014/main" id="{00000000-0008-0000-0600-0000A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226</xdr:row>
          <xdr:rowOff>152400</xdr:rowOff>
        </xdr:from>
        <xdr:to>
          <xdr:col>2</xdr:col>
          <xdr:colOff>66675</xdr:colOff>
          <xdr:row>228</xdr:row>
          <xdr:rowOff>0</xdr:rowOff>
        </xdr:to>
        <xdr:sp macro="" textlink="">
          <xdr:nvSpPr>
            <xdr:cNvPr id="55467" name="Check Box 171" hidden="1">
              <a:extLst>
                <a:ext uri="{63B3BB69-23CF-44E3-9099-C40C66FF867C}">
                  <a14:compatExt spid="_x0000_s55467"/>
                </a:ext>
                <a:ext uri="{FF2B5EF4-FFF2-40B4-BE49-F238E27FC236}">
                  <a16:creationId xmlns:a16="http://schemas.microsoft.com/office/drawing/2014/main" id="{00000000-0008-0000-0600-0000A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227</xdr:row>
          <xdr:rowOff>133350</xdr:rowOff>
        </xdr:from>
        <xdr:to>
          <xdr:col>2</xdr:col>
          <xdr:colOff>57150</xdr:colOff>
          <xdr:row>228</xdr:row>
          <xdr:rowOff>152400</xdr:rowOff>
        </xdr:to>
        <xdr:sp macro="" textlink="">
          <xdr:nvSpPr>
            <xdr:cNvPr id="55468" name="A4" hidden="1">
              <a:extLst>
                <a:ext uri="{63B3BB69-23CF-44E3-9099-C40C66FF867C}">
                  <a14:compatExt spid="_x0000_s55468"/>
                </a:ext>
                <a:ext uri="{FF2B5EF4-FFF2-40B4-BE49-F238E27FC236}">
                  <a16:creationId xmlns:a16="http://schemas.microsoft.com/office/drawing/2014/main" id="{00000000-0008-0000-0600-0000A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228</xdr:row>
          <xdr:rowOff>152400</xdr:rowOff>
        </xdr:from>
        <xdr:to>
          <xdr:col>2</xdr:col>
          <xdr:colOff>57150</xdr:colOff>
          <xdr:row>230</xdr:row>
          <xdr:rowOff>9525</xdr:rowOff>
        </xdr:to>
        <xdr:sp macro="" textlink="">
          <xdr:nvSpPr>
            <xdr:cNvPr id="55469" name="Check Box 173" hidden="1">
              <a:extLst>
                <a:ext uri="{63B3BB69-23CF-44E3-9099-C40C66FF867C}">
                  <a14:compatExt spid="_x0000_s55469"/>
                </a:ext>
                <a:ext uri="{FF2B5EF4-FFF2-40B4-BE49-F238E27FC236}">
                  <a16:creationId xmlns:a16="http://schemas.microsoft.com/office/drawing/2014/main" id="{00000000-0008-0000-0600-0000A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230</xdr:row>
          <xdr:rowOff>0</xdr:rowOff>
        </xdr:from>
        <xdr:to>
          <xdr:col>2</xdr:col>
          <xdr:colOff>57150</xdr:colOff>
          <xdr:row>230</xdr:row>
          <xdr:rowOff>152400</xdr:rowOff>
        </xdr:to>
        <xdr:sp macro="" textlink="">
          <xdr:nvSpPr>
            <xdr:cNvPr id="55470" name="Check Box 174" hidden="1">
              <a:extLst>
                <a:ext uri="{63B3BB69-23CF-44E3-9099-C40C66FF867C}">
                  <a14:compatExt spid="_x0000_s55470"/>
                </a:ext>
                <a:ext uri="{FF2B5EF4-FFF2-40B4-BE49-F238E27FC236}">
                  <a16:creationId xmlns:a16="http://schemas.microsoft.com/office/drawing/2014/main" id="{00000000-0008-0000-0600-0000A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230</xdr:row>
          <xdr:rowOff>142875</xdr:rowOff>
        </xdr:from>
        <xdr:to>
          <xdr:col>2</xdr:col>
          <xdr:colOff>57150</xdr:colOff>
          <xdr:row>232</xdr:row>
          <xdr:rowOff>0</xdr:rowOff>
        </xdr:to>
        <xdr:sp macro="" textlink="">
          <xdr:nvSpPr>
            <xdr:cNvPr id="55471" name="Check Box 175" hidden="1">
              <a:extLst>
                <a:ext uri="{63B3BB69-23CF-44E3-9099-C40C66FF867C}">
                  <a14:compatExt spid="_x0000_s55471"/>
                </a:ext>
                <a:ext uri="{FF2B5EF4-FFF2-40B4-BE49-F238E27FC236}">
                  <a16:creationId xmlns:a16="http://schemas.microsoft.com/office/drawing/2014/main" id="{00000000-0008-0000-0600-0000A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233</xdr:row>
          <xdr:rowOff>0</xdr:rowOff>
        </xdr:from>
        <xdr:to>
          <xdr:col>2</xdr:col>
          <xdr:colOff>38100</xdr:colOff>
          <xdr:row>233</xdr:row>
          <xdr:rowOff>152400</xdr:rowOff>
        </xdr:to>
        <xdr:sp macro="" textlink="">
          <xdr:nvSpPr>
            <xdr:cNvPr id="55472" name="Check Box 176" hidden="1">
              <a:extLst>
                <a:ext uri="{63B3BB69-23CF-44E3-9099-C40C66FF867C}">
                  <a14:compatExt spid="_x0000_s55472"/>
                </a:ext>
                <a:ext uri="{FF2B5EF4-FFF2-40B4-BE49-F238E27FC236}">
                  <a16:creationId xmlns:a16="http://schemas.microsoft.com/office/drawing/2014/main" id="{00000000-0008-0000-0600-0000B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247</xdr:row>
          <xdr:rowOff>152400</xdr:rowOff>
        </xdr:from>
        <xdr:to>
          <xdr:col>2</xdr:col>
          <xdr:colOff>114300</xdr:colOff>
          <xdr:row>249</xdr:row>
          <xdr:rowOff>38100</xdr:rowOff>
        </xdr:to>
        <xdr:sp macro="" textlink="">
          <xdr:nvSpPr>
            <xdr:cNvPr id="55474" name="L1" hidden="1">
              <a:extLst>
                <a:ext uri="{63B3BB69-23CF-44E3-9099-C40C66FF867C}">
                  <a14:compatExt spid="_x0000_s55474"/>
                </a:ext>
                <a:ext uri="{FF2B5EF4-FFF2-40B4-BE49-F238E27FC236}">
                  <a16:creationId xmlns:a16="http://schemas.microsoft.com/office/drawing/2014/main" id="{00000000-0008-0000-0600-0000B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248</xdr:row>
          <xdr:rowOff>104775</xdr:rowOff>
        </xdr:from>
        <xdr:to>
          <xdr:col>2</xdr:col>
          <xdr:colOff>123825</xdr:colOff>
          <xdr:row>255</xdr:row>
          <xdr:rowOff>28575</xdr:rowOff>
        </xdr:to>
        <xdr:sp macro="" textlink="">
          <xdr:nvSpPr>
            <xdr:cNvPr id="55475" name="L2" hidden="1">
              <a:extLst>
                <a:ext uri="{63B3BB69-23CF-44E3-9099-C40C66FF867C}">
                  <a14:compatExt spid="_x0000_s55475"/>
                </a:ext>
                <a:ext uri="{FF2B5EF4-FFF2-40B4-BE49-F238E27FC236}">
                  <a16:creationId xmlns:a16="http://schemas.microsoft.com/office/drawing/2014/main" id="{00000000-0008-0000-0600-0000B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249</xdr:row>
          <xdr:rowOff>133350</xdr:rowOff>
        </xdr:from>
        <xdr:to>
          <xdr:col>2</xdr:col>
          <xdr:colOff>95250</xdr:colOff>
          <xdr:row>256</xdr:row>
          <xdr:rowOff>38100</xdr:rowOff>
        </xdr:to>
        <xdr:sp macro="" textlink="">
          <xdr:nvSpPr>
            <xdr:cNvPr id="55476" name="L5" hidden="1">
              <a:extLst>
                <a:ext uri="{63B3BB69-23CF-44E3-9099-C40C66FF867C}">
                  <a14:compatExt spid="_x0000_s55476"/>
                </a:ext>
                <a:ext uri="{FF2B5EF4-FFF2-40B4-BE49-F238E27FC236}">
                  <a16:creationId xmlns:a16="http://schemas.microsoft.com/office/drawing/2014/main" id="{00000000-0008-0000-0600-0000B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262</xdr:row>
          <xdr:rowOff>114300</xdr:rowOff>
        </xdr:from>
        <xdr:to>
          <xdr:col>2</xdr:col>
          <xdr:colOff>95250</xdr:colOff>
          <xdr:row>265</xdr:row>
          <xdr:rowOff>47625</xdr:rowOff>
        </xdr:to>
        <xdr:sp macro="" textlink="">
          <xdr:nvSpPr>
            <xdr:cNvPr id="55477" name="A1" hidden="1">
              <a:extLst>
                <a:ext uri="{63B3BB69-23CF-44E3-9099-C40C66FF867C}">
                  <a14:compatExt spid="_x0000_s55477"/>
                </a:ext>
                <a:ext uri="{FF2B5EF4-FFF2-40B4-BE49-F238E27FC236}">
                  <a16:creationId xmlns:a16="http://schemas.microsoft.com/office/drawing/2014/main" id="{00000000-0008-0000-0600-0000B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263</xdr:row>
          <xdr:rowOff>133350</xdr:rowOff>
        </xdr:from>
        <xdr:to>
          <xdr:col>2</xdr:col>
          <xdr:colOff>95250</xdr:colOff>
          <xdr:row>266</xdr:row>
          <xdr:rowOff>38100</xdr:rowOff>
        </xdr:to>
        <xdr:sp macro="" textlink="">
          <xdr:nvSpPr>
            <xdr:cNvPr id="55478" name="A3" hidden="1">
              <a:extLst>
                <a:ext uri="{63B3BB69-23CF-44E3-9099-C40C66FF867C}">
                  <a14:compatExt spid="_x0000_s55478"/>
                </a:ext>
                <a:ext uri="{FF2B5EF4-FFF2-40B4-BE49-F238E27FC236}">
                  <a16:creationId xmlns:a16="http://schemas.microsoft.com/office/drawing/2014/main" id="{00000000-0008-0000-0600-0000B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265</xdr:row>
          <xdr:rowOff>142875</xdr:rowOff>
        </xdr:from>
        <xdr:to>
          <xdr:col>2</xdr:col>
          <xdr:colOff>123825</xdr:colOff>
          <xdr:row>270</xdr:row>
          <xdr:rowOff>47625</xdr:rowOff>
        </xdr:to>
        <xdr:sp macro="" textlink="">
          <xdr:nvSpPr>
            <xdr:cNvPr id="55479" name="Check Box 183" hidden="1">
              <a:extLst>
                <a:ext uri="{63B3BB69-23CF-44E3-9099-C40C66FF867C}">
                  <a14:compatExt spid="_x0000_s55479"/>
                </a:ext>
                <a:ext uri="{FF2B5EF4-FFF2-40B4-BE49-F238E27FC236}">
                  <a16:creationId xmlns:a16="http://schemas.microsoft.com/office/drawing/2014/main" id="{00000000-0008-0000-0600-0000B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266</xdr:row>
          <xdr:rowOff>142875</xdr:rowOff>
        </xdr:from>
        <xdr:to>
          <xdr:col>2</xdr:col>
          <xdr:colOff>95250</xdr:colOff>
          <xdr:row>272</xdr:row>
          <xdr:rowOff>38100</xdr:rowOff>
        </xdr:to>
        <xdr:sp macro="" textlink="">
          <xdr:nvSpPr>
            <xdr:cNvPr id="55480" name="Check Box 184" hidden="1">
              <a:extLst>
                <a:ext uri="{63B3BB69-23CF-44E3-9099-C40C66FF867C}">
                  <a14:compatExt spid="_x0000_s55480"/>
                </a:ext>
                <a:ext uri="{FF2B5EF4-FFF2-40B4-BE49-F238E27FC236}">
                  <a16:creationId xmlns:a16="http://schemas.microsoft.com/office/drawing/2014/main" id="{00000000-0008-0000-0600-0000B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276</xdr:row>
          <xdr:rowOff>0</xdr:rowOff>
        </xdr:from>
        <xdr:to>
          <xdr:col>2</xdr:col>
          <xdr:colOff>57150</xdr:colOff>
          <xdr:row>276</xdr:row>
          <xdr:rowOff>152400</xdr:rowOff>
        </xdr:to>
        <xdr:sp macro="" textlink="">
          <xdr:nvSpPr>
            <xdr:cNvPr id="55481" name="B1" hidden="1">
              <a:extLst>
                <a:ext uri="{63B3BB69-23CF-44E3-9099-C40C66FF867C}">
                  <a14:compatExt spid="_x0000_s55481"/>
                </a:ext>
                <a:ext uri="{FF2B5EF4-FFF2-40B4-BE49-F238E27FC236}">
                  <a16:creationId xmlns:a16="http://schemas.microsoft.com/office/drawing/2014/main" id="{00000000-0008-0000-0600-0000B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291</xdr:row>
          <xdr:rowOff>133350</xdr:rowOff>
        </xdr:from>
        <xdr:to>
          <xdr:col>2</xdr:col>
          <xdr:colOff>95250</xdr:colOff>
          <xdr:row>325</xdr:row>
          <xdr:rowOff>28575</xdr:rowOff>
        </xdr:to>
        <xdr:sp macro="" textlink="">
          <xdr:nvSpPr>
            <xdr:cNvPr id="55482" name="Check Box 186" hidden="1">
              <a:extLst>
                <a:ext uri="{63B3BB69-23CF-44E3-9099-C40C66FF867C}">
                  <a14:compatExt spid="_x0000_s55482"/>
                </a:ext>
                <a:ext uri="{FF2B5EF4-FFF2-40B4-BE49-F238E27FC236}">
                  <a16:creationId xmlns:a16="http://schemas.microsoft.com/office/drawing/2014/main" id="{00000000-0008-0000-0600-0000B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292</xdr:row>
          <xdr:rowOff>133350</xdr:rowOff>
        </xdr:from>
        <xdr:to>
          <xdr:col>2</xdr:col>
          <xdr:colOff>76200</xdr:colOff>
          <xdr:row>326</xdr:row>
          <xdr:rowOff>47625</xdr:rowOff>
        </xdr:to>
        <xdr:sp macro="" textlink="">
          <xdr:nvSpPr>
            <xdr:cNvPr id="55483" name="Check Box 187" hidden="1">
              <a:extLst>
                <a:ext uri="{63B3BB69-23CF-44E3-9099-C40C66FF867C}">
                  <a14:compatExt spid="_x0000_s55483"/>
                </a:ext>
                <a:ext uri="{FF2B5EF4-FFF2-40B4-BE49-F238E27FC236}">
                  <a16:creationId xmlns:a16="http://schemas.microsoft.com/office/drawing/2014/main" id="{00000000-0008-0000-0600-0000B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35</xdr:col>
      <xdr:colOff>291465</xdr:colOff>
      <xdr:row>270</xdr:row>
      <xdr:rowOff>148590</xdr:rowOff>
    </xdr:from>
    <xdr:to>
      <xdr:col>41</xdr:col>
      <xdr:colOff>98213</xdr:colOff>
      <xdr:row>273</xdr:row>
      <xdr:rowOff>97792</xdr:rowOff>
    </xdr:to>
    <xdr:pic>
      <xdr:nvPicPr>
        <xdr:cNvPr id="2" name="Picture 1" descr="Logo.em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920990" y="42010965"/>
          <a:ext cx="2058458" cy="734062"/>
        </a:xfrm>
        <a:prstGeom prst="rect">
          <a:avLst/>
        </a:prstGeom>
        <a:noFill/>
        <a:ln w="9525">
          <a:noFill/>
          <a:miter lim="800000"/>
          <a:headEnd/>
          <a:tailEnd/>
        </a:ln>
      </xdr:spPr>
    </xdr:pic>
    <xdr:clientData/>
  </xdr:twoCellAnchor>
  <xdr:twoCellAnchor editAs="oneCell">
    <xdr:from>
      <xdr:col>37</xdr:col>
      <xdr:colOff>312420</xdr:colOff>
      <xdr:row>0</xdr:row>
      <xdr:rowOff>53340</xdr:rowOff>
    </xdr:from>
    <xdr:to>
      <xdr:col>43</xdr:col>
      <xdr:colOff>248708</xdr:colOff>
      <xdr:row>2</xdr:row>
      <xdr:rowOff>206377</xdr:rowOff>
    </xdr:to>
    <xdr:pic>
      <xdr:nvPicPr>
        <xdr:cNvPr id="3" name="Picture 2" descr="Logo.emf">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9768840" y="53340"/>
          <a:ext cx="2064173" cy="724537"/>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20955</xdr:colOff>
      <xdr:row>0</xdr:row>
      <xdr:rowOff>20955</xdr:rowOff>
    </xdr:from>
    <xdr:to>
      <xdr:col>27</xdr:col>
      <xdr:colOff>1058</xdr:colOff>
      <xdr:row>2</xdr:row>
      <xdr:rowOff>38100</xdr:rowOff>
    </xdr:to>
    <xdr:pic>
      <xdr:nvPicPr>
        <xdr:cNvPr id="2" name="Picture 8" descr="Logo.emf">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012055" y="20955"/>
          <a:ext cx="1725083" cy="588645"/>
        </a:xfrm>
        <a:prstGeom prst="rect">
          <a:avLst/>
        </a:prstGeom>
        <a:noFill/>
        <a:ln w="9525">
          <a:noFill/>
          <a:miter lim="800000"/>
          <a:headEnd/>
          <a:tailEnd/>
        </a:ln>
      </xdr:spPr>
    </xdr:pic>
    <xdr:clientData/>
  </xdr:twoCellAnchor>
  <xdr:twoCellAnchor editAs="oneCell">
    <xdr:from>
      <xdr:col>20</xdr:col>
      <xdr:colOff>9525</xdr:colOff>
      <xdr:row>216</xdr:row>
      <xdr:rowOff>47625</xdr:rowOff>
    </xdr:from>
    <xdr:to>
      <xdr:col>26</xdr:col>
      <xdr:colOff>206798</xdr:colOff>
      <xdr:row>218</xdr:row>
      <xdr:rowOff>172087</xdr:rowOff>
    </xdr:to>
    <xdr:pic>
      <xdr:nvPicPr>
        <xdr:cNvPr id="3" name="Picture 2" descr="Logo.emf">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000625" y="27456765"/>
          <a:ext cx="1694603" cy="60071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0</xdr:colOff>
          <xdr:row>60</xdr:row>
          <xdr:rowOff>190500</xdr:rowOff>
        </xdr:from>
        <xdr:to>
          <xdr:col>2</xdr:col>
          <xdr:colOff>57150</xdr:colOff>
          <xdr:row>61</xdr:row>
          <xdr:rowOff>152400</xdr:rowOff>
        </xdr:to>
        <xdr:sp macro="" textlink="">
          <xdr:nvSpPr>
            <xdr:cNvPr id="63489" name="B1" hidden="1">
              <a:extLst>
                <a:ext uri="{63B3BB69-23CF-44E3-9099-C40C66FF867C}">
                  <a14:compatExt spid="_x0000_s63489"/>
                </a:ext>
                <a:ext uri="{FF2B5EF4-FFF2-40B4-BE49-F238E27FC236}">
                  <a16:creationId xmlns:a16="http://schemas.microsoft.com/office/drawing/2014/main" id="{00000000-0008-0000-08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49</xdr:row>
          <xdr:rowOff>152400</xdr:rowOff>
        </xdr:from>
        <xdr:to>
          <xdr:col>2</xdr:col>
          <xdr:colOff>95250</xdr:colOff>
          <xdr:row>51</xdr:row>
          <xdr:rowOff>38100</xdr:rowOff>
        </xdr:to>
        <xdr:sp macro="" textlink="">
          <xdr:nvSpPr>
            <xdr:cNvPr id="63490" name="A3" hidden="1">
              <a:extLst>
                <a:ext uri="{63B3BB69-23CF-44E3-9099-C40C66FF867C}">
                  <a14:compatExt spid="_x0000_s63490"/>
                </a:ext>
                <a:ext uri="{FF2B5EF4-FFF2-40B4-BE49-F238E27FC236}">
                  <a16:creationId xmlns:a16="http://schemas.microsoft.com/office/drawing/2014/main" id="{00000000-0008-0000-08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142875</xdr:rowOff>
        </xdr:from>
        <xdr:to>
          <xdr:col>2</xdr:col>
          <xdr:colOff>95250</xdr:colOff>
          <xdr:row>50</xdr:row>
          <xdr:rowOff>57150</xdr:rowOff>
        </xdr:to>
        <xdr:sp macro="" textlink="">
          <xdr:nvSpPr>
            <xdr:cNvPr id="63491" name="A1" hidden="1">
              <a:extLst>
                <a:ext uri="{63B3BB69-23CF-44E3-9099-C40C66FF867C}">
                  <a14:compatExt spid="_x0000_s63491"/>
                </a:ext>
                <a:ext uri="{FF2B5EF4-FFF2-40B4-BE49-F238E27FC236}">
                  <a16:creationId xmlns:a16="http://schemas.microsoft.com/office/drawing/2014/main" id="{00000000-0008-0000-08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76</xdr:row>
          <xdr:rowOff>152400</xdr:rowOff>
        </xdr:from>
        <xdr:to>
          <xdr:col>2</xdr:col>
          <xdr:colOff>114300</xdr:colOff>
          <xdr:row>110</xdr:row>
          <xdr:rowOff>57150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08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171450</xdr:rowOff>
        </xdr:from>
        <xdr:to>
          <xdr:col>2</xdr:col>
          <xdr:colOff>57150</xdr:colOff>
          <xdr:row>14</xdr:row>
          <xdr:rowOff>0</xdr:rowOff>
        </xdr:to>
        <xdr:sp macro="" textlink="">
          <xdr:nvSpPr>
            <xdr:cNvPr id="63496" name="A4" hidden="1">
              <a:extLst>
                <a:ext uri="{63B3BB69-23CF-44E3-9099-C40C66FF867C}">
                  <a14:compatExt spid="_x0000_s63496"/>
                </a:ext>
                <a:ext uri="{FF2B5EF4-FFF2-40B4-BE49-F238E27FC236}">
                  <a16:creationId xmlns:a16="http://schemas.microsoft.com/office/drawing/2014/main" id="{00000000-0008-0000-08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38100</xdr:rowOff>
        </xdr:from>
        <xdr:to>
          <xdr:col>1</xdr:col>
          <xdr:colOff>180975</xdr:colOff>
          <xdr:row>11</xdr:row>
          <xdr:rowOff>171450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08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161925</xdr:rowOff>
        </xdr:from>
        <xdr:to>
          <xdr:col>2</xdr:col>
          <xdr:colOff>95250</xdr:colOff>
          <xdr:row>11</xdr:row>
          <xdr:rowOff>19050</xdr:rowOff>
        </xdr:to>
        <xdr:sp macro="" textlink="">
          <xdr:nvSpPr>
            <xdr:cNvPr id="63498" name="A2" hidden="1">
              <a:extLst>
                <a:ext uri="{63B3BB69-23CF-44E3-9099-C40C66FF867C}">
                  <a14:compatExt spid="_x0000_s63498"/>
                </a:ext>
                <a:ext uri="{FF2B5EF4-FFF2-40B4-BE49-F238E27FC236}">
                  <a16:creationId xmlns:a16="http://schemas.microsoft.com/office/drawing/2014/main" id="{00000000-0008-0000-08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9525</xdr:rowOff>
        </xdr:from>
        <xdr:to>
          <xdr:col>1</xdr:col>
          <xdr:colOff>209550</xdr:colOff>
          <xdr:row>10</xdr:row>
          <xdr:rowOff>9525</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08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9525</xdr:rowOff>
        </xdr:from>
        <xdr:to>
          <xdr:col>2</xdr:col>
          <xdr:colOff>57150</xdr:colOff>
          <xdr:row>12</xdr:row>
          <xdr:rowOff>171450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08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171450</xdr:rowOff>
        </xdr:from>
        <xdr:to>
          <xdr:col>2</xdr:col>
          <xdr:colOff>57150</xdr:colOff>
          <xdr:row>15</xdr:row>
          <xdr:rowOff>19050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08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190500</xdr:rowOff>
        </xdr:from>
        <xdr:to>
          <xdr:col>2</xdr:col>
          <xdr:colOff>57150</xdr:colOff>
          <xdr:row>15</xdr:row>
          <xdr:rowOff>152400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08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171450</xdr:rowOff>
        </xdr:from>
        <xdr:to>
          <xdr:col>2</xdr:col>
          <xdr:colOff>57150</xdr:colOff>
          <xdr:row>17</xdr:row>
          <xdr:rowOff>19050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08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171450</xdr:rowOff>
        </xdr:from>
        <xdr:to>
          <xdr:col>2</xdr:col>
          <xdr:colOff>57150</xdr:colOff>
          <xdr:row>17</xdr:row>
          <xdr:rowOff>19050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08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19050</xdr:rowOff>
        </xdr:from>
        <xdr:to>
          <xdr:col>2</xdr:col>
          <xdr:colOff>57150</xdr:colOff>
          <xdr:row>19</xdr:row>
          <xdr:rowOff>19050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08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19050</xdr:rowOff>
        </xdr:from>
        <xdr:to>
          <xdr:col>2</xdr:col>
          <xdr:colOff>57150</xdr:colOff>
          <xdr:row>23</xdr:row>
          <xdr:rowOff>19050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08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110</xdr:row>
          <xdr:rowOff>9525</xdr:rowOff>
        </xdr:from>
        <xdr:to>
          <xdr:col>2</xdr:col>
          <xdr:colOff>95250</xdr:colOff>
          <xdr:row>111</xdr:row>
          <xdr:rowOff>57150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08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50</xdr:row>
          <xdr:rowOff>152400</xdr:rowOff>
        </xdr:from>
        <xdr:to>
          <xdr:col>2</xdr:col>
          <xdr:colOff>95250</xdr:colOff>
          <xdr:row>55</xdr:row>
          <xdr:rowOff>19050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08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1</xdr:col>
          <xdr:colOff>200025</xdr:colOff>
          <xdr:row>56</xdr:row>
          <xdr:rowOff>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08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224</xdr:row>
          <xdr:rowOff>152400</xdr:rowOff>
        </xdr:from>
        <xdr:to>
          <xdr:col>2</xdr:col>
          <xdr:colOff>57150</xdr:colOff>
          <xdr:row>226</xdr:row>
          <xdr:rowOff>19050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08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225</xdr:row>
          <xdr:rowOff>133350</xdr:rowOff>
        </xdr:from>
        <xdr:to>
          <xdr:col>2</xdr:col>
          <xdr:colOff>76200</xdr:colOff>
          <xdr:row>227</xdr:row>
          <xdr:rowOff>19050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08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227</xdr:row>
          <xdr:rowOff>0</xdr:rowOff>
        </xdr:from>
        <xdr:to>
          <xdr:col>2</xdr:col>
          <xdr:colOff>57150</xdr:colOff>
          <xdr:row>227</xdr:row>
          <xdr:rowOff>152400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08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227</xdr:row>
          <xdr:rowOff>152400</xdr:rowOff>
        </xdr:from>
        <xdr:to>
          <xdr:col>2</xdr:col>
          <xdr:colOff>57150</xdr:colOff>
          <xdr:row>229</xdr:row>
          <xdr:rowOff>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08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228</xdr:row>
          <xdr:rowOff>133350</xdr:rowOff>
        </xdr:from>
        <xdr:to>
          <xdr:col>2</xdr:col>
          <xdr:colOff>57150</xdr:colOff>
          <xdr:row>229</xdr:row>
          <xdr:rowOff>152400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08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229</xdr:row>
          <xdr:rowOff>152400</xdr:rowOff>
        </xdr:from>
        <xdr:to>
          <xdr:col>2</xdr:col>
          <xdr:colOff>57150</xdr:colOff>
          <xdr:row>231</xdr:row>
          <xdr:rowOff>19050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08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231</xdr:row>
          <xdr:rowOff>0</xdr:rowOff>
        </xdr:from>
        <xdr:to>
          <xdr:col>2</xdr:col>
          <xdr:colOff>57150</xdr:colOff>
          <xdr:row>231</xdr:row>
          <xdr:rowOff>152400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08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231</xdr:row>
          <xdr:rowOff>142875</xdr:rowOff>
        </xdr:from>
        <xdr:to>
          <xdr:col>2</xdr:col>
          <xdr:colOff>57150</xdr:colOff>
          <xdr:row>233</xdr:row>
          <xdr:rowOff>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08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234</xdr:row>
          <xdr:rowOff>0</xdr:rowOff>
        </xdr:from>
        <xdr:to>
          <xdr:col>2</xdr:col>
          <xdr:colOff>38100</xdr:colOff>
          <xdr:row>234</xdr:row>
          <xdr:rowOff>152400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08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238</xdr:row>
          <xdr:rowOff>19050</xdr:rowOff>
        </xdr:from>
        <xdr:to>
          <xdr:col>2</xdr:col>
          <xdr:colOff>57150</xdr:colOff>
          <xdr:row>239</xdr:row>
          <xdr:rowOff>19050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08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263</xdr:row>
          <xdr:rowOff>114300</xdr:rowOff>
        </xdr:from>
        <xdr:to>
          <xdr:col>2</xdr:col>
          <xdr:colOff>95250</xdr:colOff>
          <xdr:row>266</xdr:row>
          <xdr:rowOff>57150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08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264</xdr:row>
          <xdr:rowOff>133350</xdr:rowOff>
        </xdr:from>
        <xdr:to>
          <xdr:col>2</xdr:col>
          <xdr:colOff>95250</xdr:colOff>
          <xdr:row>267</xdr:row>
          <xdr:rowOff>38100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08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266</xdr:row>
          <xdr:rowOff>142875</xdr:rowOff>
        </xdr:from>
        <xdr:to>
          <xdr:col>2</xdr:col>
          <xdr:colOff>133350</xdr:colOff>
          <xdr:row>271</xdr:row>
          <xdr:rowOff>57150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08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267</xdr:row>
          <xdr:rowOff>142875</xdr:rowOff>
        </xdr:from>
        <xdr:to>
          <xdr:col>2</xdr:col>
          <xdr:colOff>95250</xdr:colOff>
          <xdr:row>273</xdr:row>
          <xdr:rowOff>38100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08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277</xdr:row>
          <xdr:rowOff>0</xdr:rowOff>
        </xdr:from>
        <xdr:to>
          <xdr:col>2</xdr:col>
          <xdr:colOff>57150</xdr:colOff>
          <xdr:row>277</xdr:row>
          <xdr:rowOff>152400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08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292</xdr:row>
          <xdr:rowOff>133350</xdr:rowOff>
        </xdr:from>
        <xdr:to>
          <xdr:col>2</xdr:col>
          <xdr:colOff>95250</xdr:colOff>
          <xdr:row>326</xdr:row>
          <xdr:rowOff>19050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08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293</xdr:row>
          <xdr:rowOff>133350</xdr:rowOff>
        </xdr:from>
        <xdr:to>
          <xdr:col>2</xdr:col>
          <xdr:colOff>76200</xdr:colOff>
          <xdr:row>327</xdr:row>
          <xdr:rowOff>57150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08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31</xdr:col>
      <xdr:colOff>234950</xdr:colOff>
      <xdr:row>269</xdr:row>
      <xdr:rowOff>133350</xdr:rowOff>
    </xdr:from>
    <xdr:to>
      <xdr:col>39</xdr:col>
      <xdr:colOff>135679</xdr:colOff>
      <xdr:row>273</xdr:row>
      <xdr:rowOff>98004</xdr:rowOff>
    </xdr:to>
    <xdr:pic>
      <xdr:nvPicPr>
        <xdr:cNvPr id="2" name="Picture 1" descr="Logo.emf">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812617" y="41840150"/>
          <a:ext cx="2655782" cy="921387"/>
        </a:xfrm>
        <a:prstGeom prst="rect">
          <a:avLst/>
        </a:prstGeom>
        <a:noFill/>
        <a:ln w="9525">
          <a:noFill/>
          <a:miter lim="800000"/>
          <a:headEnd/>
          <a:tailEnd/>
        </a:ln>
      </xdr:spPr>
    </xdr:pic>
    <xdr:clientData/>
  </xdr:twoCellAnchor>
  <xdr:twoCellAnchor editAs="oneCell">
    <xdr:from>
      <xdr:col>35</xdr:col>
      <xdr:colOff>207169</xdr:colOff>
      <xdr:row>0</xdr:row>
      <xdr:rowOff>92869</xdr:rowOff>
    </xdr:from>
    <xdr:to>
      <xdr:col>42</xdr:col>
      <xdr:colOff>231087</xdr:colOff>
      <xdr:row>4</xdr:row>
      <xdr:rowOff>3019</xdr:rowOff>
    </xdr:to>
    <xdr:pic>
      <xdr:nvPicPr>
        <xdr:cNvPr id="3" name="Picture 2" descr="Logo.emf">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8839200" y="92869"/>
          <a:ext cx="2627577" cy="8626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790575</xdr:colOff>
      <xdr:row>13</xdr:row>
      <xdr:rowOff>53975</xdr:rowOff>
    </xdr:from>
    <xdr:to>
      <xdr:col>6</xdr:col>
      <xdr:colOff>52900</xdr:colOff>
      <xdr:row>14</xdr:row>
      <xdr:rowOff>92075</xdr:rowOff>
    </xdr:to>
    <xdr:sp macro="" textlink="">
      <xdr:nvSpPr>
        <xdr:cNvPr id="2" name="Right Brace 1">
          <a:extLst>
            <a:ext uri="{FF2B5EF4-FFF2-40B4-BE49-F238E27FC236}">
              <a16:creationId xmlns:a16="http://schemas.microsoft.com/office/drawing/2014/main" id="{00000000-0008-0000-0A00-000002000000}"/>
            </a:ext>
          </a:extLst>
        </xdr:cNvPr>
        <xdr:cNvSpPr/>
      </xdr:nvSpPr>
      <xdr:spPr>
        <a:xfrm>
          <a:off x="5257800" y="1514475"/>
          <a:ext cx="45719" cy="2000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en-US"/>
        </a:p>
      </xdr:txBody>
    </xdr:sp>
    <xdr:clientData/>
  </xdr:twoCellAnchor>
  <xdr:twoCellAnchor>
    <xdr:from>
      <xdr:col>6</xdr:col>
      <xdr:colOff>0</xdr:colOff>
      <xdr:row>2</xdr:row>
      <xdr:rowOff>66675</xdr:rowOff>
    </xdr:from>
    <xdr:to>
      <xdr:col>6</xdr:col>
      <xdr:colOff>45719</xdr:colOff>
      <xdr:row>3</xdr:row>
      <xdr:rowOff>104775</xdr:rowOff>
    </xdr:to>
    <xdr:sp macro="" textlink="">
      <xdr:nvSpPr>
        <xdr:cNvPr id="3" name="Right Brace 2">
          <a:extLst>
            <a:ext uri="{FF2B5EF4-FFF2-40B4-BE49-F238E27FC236}">
              <a16:creationId xmlns:a16="http://schemas.microsoft.com/office/drawing/2014/main" id="{00000000-0008-0000-0A00-000003000000}"/>
            </a:ext>
          </a:extLst>
        </xdr:cNvPr>
        <xdr:cNvSpPr/>
      </xdr:nvSpPr>
      <xdr:spPr>
        <a:xfrm>
          <a:off x="5267325" y="390525"/>
          <a:ext cx="45719" cy="2000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en-US"/>
        </a:p>
      </xdr:txBody>
    </xdr:sp>
    <xdr:clientData/>
  </xdr:twoCellAnchor>
  <xdr:twoCellAnchor>
    <xdr:from>
      <xdr:col>6</xdr:col>
      <xdr:colOff>47625</xdr:colOff>
      <xdr:row>3</xdr:row>
      <xdr:rowOff>66675</xdr:rowOff>
    </xdr:from>
    <xdr:to>
      <xdr:col>7</xdr:col>
      <xdr:colOff>22859</xdr:colOff>
      <xdr:row>4</xdr:row>
      <xdr:rowOff>104775</xdr:rowOff>
    </xdr:to>
    <xdr:sp macro="" textlink="">
      <xdr:nvSpPr>
        <xdr:cNvPr id="4" name="Right Brace 3">
          <a:extLst>
            <a:ext uri="{FF2B5EF4-FFF2-40B4-BE49-F238E27FC236}">
              <a16:creationId xmlns:a16="http://schemas.microsoft.com/office/drawing/2014/main" id="{00000000-0008-0000-0A00-000004000000}"/>
            </a:ext>
          </a:extLst>
        </xdr:cNvPr>
        <xdr:cNvSpPr/>
      </xdr:nvSpPr>
      <xdr:spPr>
        <a:xfrm>
          <a:off x="5324475" y="552450"/>
          <a:ext cx="45719" cy="2000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en-US"/>
        </a:p>
      </xdr:txBody>
    </xdr:sp>
    <xdr:clientData/>
  </xdr:twoCellAnchor>
  <xdr:twoCellAnchor>
    <xdr:from>
      <xdr:col>7</xdr:col>
      <xdr:colOff>31750</xdr:colOff>
      <xdr:row>4</xdr:row>
      <xdr:rowOff>66675</xdr:rowOff>
    </xdr:from>
    <xdr:to>
      <xdr:col>7</xdr:col>
      <xdr:colOff>77469</xdr:colOff>
      <xdr:row>5</xdr:row>
      <xdr:rowOff>104775</xdr:rowOff>
    </xdr:to>
    <xdr:sp macro="" textlink="">
      <xdr:nvSpPr>
        <xdr:cNvPr id="5" name="Right Brace 4">
          <a:extLst>
            <a:ext uri="{FF2B5EF4-FFF2-40B4-BE49-F238E27FC236}">
              <a16:creationId xmlns:a16="http://schemas.microsoft.com/office/drawing/2014/main" id="{00000000-0008-0000-0A00-000005000000}"/>
            </a:ext>
          </a:extLst>
        </xdr:cNvPr>
        <xdr:cNvSpPr/>
      </xdr:nvSpPr>
      <xdr:spPr>
        <a:xfrm>
          <a:off x="5381625" y="714375"/>
          <a:ext cx="45719" cy="2000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en-US"/>
        </a:p>
      </xdr:txBody>
    </xdr:sp>
    <xdr:clientData/>
  </xdr:twoCellAnchor>
  <xdr:twoCellAnchor>
    <xdr:from>
      <xdr:col>7</xdr:col>
      <xdr:colOff>88900</xdr:colOff>
      <xdr:row>5</xdr:row>
      <xdr:rowOff>85725</xdr:rowOff>
    </xdr:from>
    <xdr:to>
      <xdr:col>7</xdr:col>
      <xdr:colOff>149859</xdr:colOff>
      <xdr:row>6</xdr:row>
      <xdr:rowOff>101759</xdr:rowOff>
    </xdr:to>
    <xdr:sp macro="" textlink="">
      <xdr:nvSpPr>
        <xdr:cNvPr id="6" name="Right Brace 5">
          <a:extLst>
            <a:ext uri="{FF2B5EF4-FFF2-40B4-BE49-F238E27FC236}">
              <a16:creationId xmlns:a16="http://schemas.microsoft.com/office/drawing/2014/main" id="{00000000-0008-0000-0A00-000006000000}"/>
            </a:ext>
          </a:extLst>
        </xdr:cNvPr>
        <xdr:cNvSpPr/>
      </xdr:nvSpPr>
      <xdr:spPr>
        <a:xfrm>
          <a:off x="5448300" y="885825"/>
          <a:ext cx="45719" cy="2000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en-US"/>
        </a:p>
      </xdr:txBody>
    </xdr:sp>
    <xdr:clientData/>
  </xdr:twoCellAnchor>
  <xdr:twoCellAnchor>
    <xdr:from>
      <xdr:col>6</xdr:col>
      <xdr:colOff>47625</xdr:colOff>
      <xdr:row>14</xdr:row>
      <xdr:rowOff>85725</xdr:rowOff>
    </xdr:from>
    <xdr:to>
      <xdr:col>7</xdr:col>
      <xdr:colOff>7619</xdr:colOff>
      <xdr:row>15</xdr:row>
      <xdr:rowOff>101759</xdr:rowOff>
    </xdr:to>
    <xdr:sp macro="" textlink="">
      <xdr:nvSpPr>
        <xdr:cNvPr id="7" name="Right Brace 6">
          <a:extLst>
            <a:ext uri="{FF2B5EF4-FFF2-40B4-BE49-F238E27FC236}">
              <a16:creationId xmlns:a16="http://schemas.microsoft.com/office/drawing/2014/main" id="{00000000-0008-0000-0A00-000007000000}"/>
            </a:ext>
          </a:extLst>
        </xdr:cNvPr>
        <xdr:cNvSpPr/>
      </xdr:nvSpPr>
      <xdr:spPr>
        <a:xfrm>
          <a:off x="5314950" y="1695450"/>
          <a:ext cx="45719" cy="2000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en-US"/>
        </a:p>
      </xdr:txBody>
    </xdr:sp>
    <xdr:clientData/>
  </xdr:twoCellAnchor>
  <xdr:twoCellAnchor>
    <xdr:from>
      <xdr:col>7</xdr:col>
      <xdr:colOff>9525</xdr:colOff>
      <xdr:row>15</xdr:row>
      <xdr:rowOff>66675</xdr:rowOff>
    </xdr:from>
    <xdr:to>
      <xdr:col>7</xdr:col>
      <xdr:colOff>70484</xdr:colOff>
      <xdr:row>16</xdr:row>
      <xdr:rowOff>104775</xdr:rowOff>
    </xdr:to>
    <xdr:sp macro="" textlink="">
      <xdr:nvSpPr>
        <xdr:cNvPr id="8" name="Right Brace 7">
          <a:extLst>
            <a:ext uri="{FF2B5EF4-FFF2-40B4-BE49-F238E27FC236}">
              <a16:creationId xmlns:a16="http://schemas.microsoft.com/office/drawing/2014/main" id="{00000000-0008-0000-0A00-000008000000}"/>
            </a:ext>
          </a:extLst>
        </xdr:cNvPr>
        <xdr:cNvSpPr/>
      </xdr:nvSpPr>
      <xdr:spPr>
        <a:xfrm>
          <a:off x="5372100" y="1847850"/>
          <a:ext cx="45719" cy="2000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en-US"/>
        </a:p>
      </xdr:txBody>
    </xdr:sp>
    <xdr:clientData/>
  </xdr:twoCellAnchor>
  <xdr:twoCellAnchor>
    <xdr:from>
      <xdr:col>7</xdr:col>
      <xdr:colOff>88900</xdr:colOff>
      <xdr:row>16</xdr:row>
      <xdr:rowOff>6350</xdr:rowOff>
    </xdr:from>
    <xdr:to>
      <xdr:col>7</xdr:col>
      <xdr:colOff>149859</xdr:colOff>
      <xdr:row>17</xdr:row>
      <xdr:rowOff>53975</xdr:rowOff>
    </xdr:to>
    <xdr:sp macro="" textlink="">
      <xdr:nvSpPr>
        <xdr:cNvPr id="9" name="Right Brace 8">
          <a:extLst>
            <a:ext uri="{FF2B5EF4-FFF2-40B4-BE49-F238E27FC236}">
              <a16:creationId xmlns:a16="http://schemas.microsoft.com/office/drawing/2014/main" id="{00000000-0008-0000-0A00-000009000000}"/>
            </a:ext>
          </a:extLst>
        </xdr:cNvPr>
        <xdr:cNvSpPr/>
      </xdr:nvSpPr>
      <xdr:spPr>
        <a:xfrm>
          <a:off x="5448300" y="1962150"/>
          <a:ext cx="45719" cy="2000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en-US"/>
        </a:p>
      </xdr:txBody>
    </xdr:sp>
    <xdr:clientData/>
  </xdr:twoCellAnchor>
  <xdr:twoCellAnchor>
    <xdr:from>
      <xdr:col>6</xdr:col>
      <xdr:colOff>45718</xdr:colOff>
      <xdr:row>2</xdr:row>
      <xdr:rowOff>66676</xdr:rowOff>
    </xdr:from>
    <xdr:to>
      <xdr:col>7</xdr:col>
      <xdr:colOff>257870</xdr:colOff>
      <xdr:row>3</xdr:row>
      <xdr:rowOff>4764</xdr:rowOff>
    </xdr:to>
    <xdr:cxnSp macro="">
      <xdr:nvCxnSpPr>
        <xdr:cNvPr id="11" name="Straight Arrow Connector 10">
          <a:extLst>
            <a:ext uri="{FF2B5EF4-FFF2-40B4-BE49-F238E27FC236}">
              <a16:creationId xmlns:a16="http://schemas.microsoft.com/office/drawing/2014/main" id="{00000000-0008-0000-0A00-00000B000000}"/>
            </a:ext>
          </a:extLst>
        </xdr:cNvPr>
        <xdr:cNvCxnSpPr>
          <a:stCxn id="3" idx="1"/>
        </xdr:cNvCxnSpPr>
      </xdr:nvCxnSpPr>
      <xdr:spPr>
        <a:xfrm rot="10800000" flipH="1">
          <a:off x="5313043" y="390526"/>
          <a:ext cx="297181" cy="10001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45718</xdr:colOff>
      <xdr:row>3</xdr:row>
      <xdr:rowOff>104775</xdr:rowOff>
    </xdr:from>
    <xdr:to>
      <xdr:col>7</xdr:col>
      <xdr:colOff>308038</xdr:colOff>
      <xdr:row>4</xdr:row>
      <xdr:rowOff>4765</xdr:rowOff>
    </xdr:to>
    <xdr:cxnSp macro="">
      <xdr:nvCxnSpPr>
        <xdr:cNvPr id="12" name="Straight Arrow Connector 11">
          <a:extLst>
            <a:ext uri="{FF2B5EF4-FFF2-40B4-BE49-F238E27FC236}">
              <a16:creationId xmlns:a16="http://schemas.microsoft.com/office/drawing/2014/main" id="{00000000-0008-0000-0A00-00000C000000}"/>
            </a:ext>
          </a:extLst>
        </xdr:cNvPr>
        <xdr:cNvCxnSpPr/>
      </xdr:nvCxnSpPr>
      <xdr:spPr>
        <a:xfrm flipV="1">
          <a:off x="5398768" y="590550"/>
          <a:ext cx="259082" cy="6191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77468</xdr:colOff>
      <xdr:row>4</xdr:row>
      <xdr:rowOff>104775</xdr:rowOff>
    </xdr:from>
    <xdr:to>
      <xdr:col>7</xdr:col>
      <xdr:colOff>266570</xdr:colOff>
      <xdr:row>5</xdr:row>
      <xdr:rowOff>4765</xdr:rowOff>
    </xdr:to>
    <xdr:cxnSp macro="">
      <xdr:nvCxnSpPr>
        <xdr:cNvPr id="13" name="Straight Arrow Connector 12">
          <a:extLst>
            <a:ext uri="{FF2B5EF4-FFF2-40B4-BE49-F238E27FC236}">
              <a16:creationId xmlns:a16="http://schemas.microsoft.com/office/drawing/2014/main" id="{00000000-0008-0000-0A00-00000D000000}"/>
            </a:ext>
          </a:extLst>
        </xdr:cNvPr>
        <xdr:cNvCxnSpPr/>
      </xdr:nvCxnSpPr>
      <xdr:spPr>
        <a:xfrm flipV="1">
          <a:off x="5436868" y="752475"/>
          <a:ext cx="182882" cy="5239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147318</xdr:colOff>
      <xdr:row>5</xdr:row>
      <xdr:rowOff>92075</xdr:rowOff>
    </xdr:from>
    <xdr:to>
      <xdr:col>7</xdr:col>
      <xdr:colOff>267182</xdr:colOff>
      <xdr:row>6</xdr:row>
      <xdr:rowOff>42022</xdr:rowOff>
    </xdr:to>
    <xdr:cxnSp macro="">
      <xdr:nvCxnSpPr>
        <xdr:cNvPr id="14" name="Straight Arrow Connector 13">
          <a:extLst>
            <a:ext uri="{FF2B5EF4-FFF2-40B4-BE49-F238E27FC236}">
              <a16:creationId xmlns:a16="http://schemas.microsoft.com/office/drawing/2014/main" id="{00000000-0008-0000-0A00-00000E000000}"/>
            </a:ext>
          </a:extLst>
        </xdr:cNvPr>
        <xdr:cNvCxnSpPr/>
      </xdr:nvCxnSpPr>
      <xdr:spPr>
        <a:xfrm flipV="1">
          <a:off x="5494018" y="904875"/>
          <a:ext cx="125732" cy="10954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55243</xdr:colOff>
      <xdr:row>13</xdr:row>
      <xdr:rowOff>92075</xdr:rowOff>
    </xdr:from>
    <xdr:to>
      <xdr:col>7</xdr:col>
      <xdr:colOff>221552</xdr:colOff>
      <xdr:row>13</xdr:row>
      <xdr:rowOff>125415</xdr:rowOff>
    </xdr:to>
    <xdr:cxnSp macro="">
      <xdr:nvCxnSpPr>
        <xdr:cNvPr id="15" name="Straight Arrow Connector 14">
          <a:extLst>
            <a:ext uri="{FF2B5EF4-FFF2-40B4-BE49-F238E27FC236}">
              <a16:creationId xmlns:a16="http://schemas.microsoft.com/office/drawing/2014/main" id="{00000000-0008-0000-0A00-00000F000000}"/>
            </a:ext>
          </a:extLst>
        </xdr:cNvPr>
        <xdr:cNvCxnSpPr/>
      </xdr:nvCxnSpPr>
      <xdr:spPr>
        <a:xfrm flipV="1">
          <a:off x="5322568" y="1552575"/>
          <a:ext cx="249557" cy="3334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29843</xdr:colOff>
      <xdr:row>14</xdr:row>
      <xdr:rowOff>66675</xdr:rowOff>
    </xdr:from>
    <xdr:to>
      <xdr:col>7</xdr:col>
      <xdr:colOff>228620</xdr:colOff>
      <xdr:row>14</xdr:row>
      <xdr:rowOff>147045</xdr:rowOff>
    </xdr:to>
    <xdr:cxnSp macro="">
      <xdr:nvCxnSpPr>
        <xdr:cNvPr id="16" name="Straight Arrow Connector 15">
          <a:extLst>
            <a:ext uri="{FF2B5EF4-FFF2-40B4-BE49-F238E27FC236}">
              <a16:creationId xmlns:a16="http://schemas.microsoft.com/office/drawing/2014/main" id="{00000000-0008-0000-0A00-000010000000}"/>
            </a:ext>
          </a:extLst>
        </xdr:cNvPr>
        <xdr:cNvCxnSpPr/>
      </xdr:nvCxnSpPr>
      <xdr:spPr>
        <a:xfrm flipV="1">
          <a:off x="5379718" y="1685925"/>
          <a:ext cx="201932" cy="7144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67944</xdr:colOff>
      <xdr:row>15</xdr:row>
      <xdr:rowOff>66676</xdr:rowOff>
    </xdr:from>
    <xdr:to>
      <xdr:col>7</xdr:col>
      <xdr:colOff>275917</xdr:colOff>
      <xdr:row>16</xdr:row>
      <xdr:rowOff>4763</xdr:rowOff>
    </xdr:to>
    <xdr:cxnSp macro="">
      <xdr:nvCxnSpPr>
        <xdr:cNvPr id="22" name="Straight Arrow Connector 21">
          <a:extLst>
            <a:ext uri="{FF2B5EF4-FFF2-40B4-BE49-F238E27FC236}">
              <a16:creationId xmlns:a16="http://schemas.microsoft.com/office/drawing/2014/main" id="{00000000-0008-0000-0A00-000016000000}"/>
            </a:ext>
          </a:extLst>
        </xdr:cNvPr>
        <xdr:cNvCxnSpPr>
          <a:stCxn id="8" idx="1"/>
        </xdr:cNvCxnSpPr>
      </xdr:nvCxnSpPr>
      <xdr:spPr>
        <a:xfrm rot="10800000" flipH="1">
          <a:off x="5417819" y="1847851"/>
          <a:ext cx="211456" cy="10001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125093</xdr:colOff>
      <xdr:row>16</xdr:row>
      <xdr:rowOff>82550</xdr:rowOff>
    </xdr:from>
    <xdr:to>
      <xdr:col>7</xdr:col>
      <xdr:colOff>244989</xdr:colOff>
      <xdr:row>16</xdr:row>
      <xdr:rowOff>106365</xdr:rowOff>
    </xdr:to>
    <xdr:cxnSp macro="">
      <xdr:nvCxnSpPr>
        <xdr:cNvPr id="23" name="Straight Arrow Connector 22">
          <a:extLst>
            <a:ext uri="{FF2B5EF4-FFF2-40B4-BE49-F238E27FC236}">
              <a16:creationId xmlns:a16="http://schemas.microsoft.com/office/drawing/2014/main" id="{00000000-0008-0000-0A00-000017000000}"/>
            </a:ext>
          </a:extLst>
        </xdr:cNvPr>
        <xdr:cNvCxnSpPr/>
      </xdr:nvCxnSpPr>
      <xdr:spPr>
        <a:xfrm flipV="1">
          <a:off x="5484493" y="2028825"/>
          <a:ext cx="116207" cy="2381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790575</xdr:colOff>
      <xdr:row>26</xdr:row>
      <xdr:rowOff>53975</xdr:rowOff>
    </xdr:from>
    <xdr:to>
      <xdr:col>6</xdr:col>
      <xdr:colOff>52900</xdr:colOff>
      <xdr:row>27</xdr:row>
      <xdr:rowOff>92075</xdr:rowOff>
    </xdr:to>
    <xdr:sp macro="" textlink="">
      <xdr:nvSpPr>
        <xdr:cNvPr id="27" name="Right Brace 26">
          <a:extLst>
            <a:ext uri="{FF2B5EF4-FFF2-40B4-BE49-F238E27FC236}">
              <a16:creationId xmlns:a16="http://schemas.microsoft.com/office/drawing/2014/main" id="{00000000-0008-0000-0A00-00001B000000}"/>
            </a:ext>
          </a:extLst>
        </xdr:cNvPr>
        <xdr:cNvSpPr/>
      </xdr:nvSpPr>
      <xdr:spPr>
        <a:xfrm>
          <a:off x="5257800" y="3638550"/>
          <a:ext cx="45719" cy="2000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en-US"/>
        </a:p>
      </xdr:txBody>
    </xdr:sp>
    <xdr:clientData/>
  </xdr:twoCellAnchor>
  <xdr:twoCellAnchor>
    <xdr:from>
      <xdr:col>5</xdr:col>
      <xdr:colOff>790575</xdr:colOff>
      <xdr:row>32</xdr:row>
      <xdr:rowOff>53975</xdr:rowOff>
    </xdr:from>
    <xdr:to>
      <xdr:col>6</xdr:col>
      <xdr:colOff>53340</xdr:colOff>
      <xdr:row>33</xdr:row>
      <xdr:rowOff>92075</xdr:rowOff>
    </xdr:to>
    <xdr:sp macro="" textlink="">
      <xdr:nvSpPr>
        <xdr:cNvPr id="28" name="Right Brace 27">
          <a:extLst>
            <a:ext uri="{FF2B5EF4-FFF2-40B4-BE49-F238E27FC236}">
              <a16:creationId xmlns:a16="http://schemas.microsoft.com/office/drawing/2014/main" id="{00000000-0008-0000-0A00-00001C000000}"/>
            </a:ext>
          </a:extLst>
        </xdr:cNvPr>
        <xdr:cNvSpPr/>
      </xdr:nvSpPr>
      <xdr:spPr>
        <a:xfrm>
          <a:off x="5257800" y="4448175"/>
          <a:ext cx="66675" cy="2000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en-US"/>
        </a:p>
      </xdr:txBody>
    </xdr:sp>
    <xdr:clientData/>
  </xdr:twoCellAnchor>
  <xdr:twoCellAnchor>
    <xdr:from>
      <xdr:col>6</xdr:col>
      <xdr:colOff>48893</xdr:colOff>
      <xdr:row>26</xdr:row>
      <xdr:rowOff>120650</xdr:rowOff>
    </xdr:from>
    <xdr:to>
      <xdr:col>7</xdr:col>
      <xdr:colOff>127762</xdr:colOff>
      <xdr:row>27</xdr:row>
      <xdr:rowOff>8338</xdr:rowOff>
    </xdr:to>
    <xdr:cxnSp macro="">
      <xdr:nvCxnSpPr>
        <xdr:cNvPr id="29" name="Straight Arrow Connector 28">
          <a:extLst>
            <a:ext uri="{FF2B5EF4-FFF2-40B4-BE49-F238E27FC236}">
              <a16:creationId xmlns:a16="http://schemas.microsoft.com/office/drawing/2014/main" id="{00000000-0008-0000-0A00-00001D000000}"/>
            </a:ext>
          </a:extLst>
        </xdr:cNvPr>
        <xdr:cNvCxnSpPr/>
      </xdr:nvCxnSpPr>
      <xdr:spPr>
        <a:xfrm flipV="1">
          <a:off x="5303518" y="3381375"/>
          <a:ext cx="182882" cy="3334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55243</xdr:colOff>
      <xdr:row>32</xdr:row>
      <xdr:rowOff>92075</xdr:rowOff>
    </xdr:from>
    <xdr:to>
      <xdr:col>7</xdr:col>
      <xdr:colOff>150823</xdr:colOff>
      <xdr:row>33</xdr:row>
      <xdr:rowOff>7411</xdr:rowOff>
    </xdr:to>
    <xdr:cxnSp macro="">
      <xdr:nvCxnSpPr>
        <xdr:cNvPr id="31" name="Straight Arrow Connector 30">
          <a:extLst>
            <a:ext uri="{FF2B5EF4-FFF2-40B4-BE49-F238E27FC236}">
              <a16:creationId xmlns:a16="http://schemas.microsoft.com/office/drawing/2014/main" id="{00000000-0008-0000-0A00-00001F000000}"/>
            </a:ext>
          </a:extLst>
        </xdr:cNvPr>
        <xdr:cNvCxnSpPr/>
      </xdr:nvCxnSpPr>
      <xdr:spPr>
        <a:xfrm flipV="1">
          <a:off x="5322568" y="3838575"/>
          <a:ext cx="173357" cy="6191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790575</xdr:colOff>
      <xdr:row>23</xdr:row>
      <xdr:rowOff>53975</xdr:rowOff>
    </xdr:from>
    <xdr:to>
      <xdr:col>6</xdr:col>
      <xdr:colOff>52900</xdr:colOff>
      <xdr:row>24</xdr:row>
      <xdr:rowOff>92075</xdr:rowOff>
    </xdr:to>
    <xdr:sp macro="" textlink="">
      <xdr:nvSpPr>
        <xdr:cNvPr id="24" name="Right Brace 23">
          <a:extLst>
            <a:ext uri="{FF2B5EF4-FFF2-40B4-BE49-F238E27FC236}">
              <a16:creationId xmlns:a16="http://schemas.microsoft.com/office/drawing/2014/main" id="{00000000-0008-0000-0A00-000018000000}"/>
            </a:ext>
          </a:extLst>
        </xdr:cNvPr>
        <xdr:cNvSpPr/>
      </xdr:nvSpPr>
      <xdr:spPr>
        <a:xfrm>
          <a:off x="5257800" y="3638550"/>
          <a:ext cx="45719" cy="2000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en-US"/>
        </a:p>
      </xdr:txBody>
    </xdr:sp>
    <xdr:clientData/>
  </xdr:twoCellAnchor>
  <xdr:twoCellAnchor>
    <xdr:from>
      <xdr:col>6</xdr:col>
      <xdr:colOff>0</xdr:colOff>
      <xdr:row>7</xdr:row>
      <xdr:rowOff>66675</xdr:rowOff>
    </xdr:from>
    <xdr:to>
      <xdr:col>6</xdr:col>
      <xdr:colOff>45719</xdr:colOff>
      <xdr:row>8</xdr:row>
      <xdr:rowOff>104775</xdr:rowOff>
    </xdr:to>
    <xdr:sp macro="" textlink="">
      <xdr:nvSpPr>
        <xdr:cNvPr id="25" name="Right Brace 24">
          <a:extLst>
            <a:ext uri="{FF2B5EF4-FFF2-40B4-BE49-F238E27FC236}">
              <a16:creationId xmlns:a16="http://schemas.microsoft.com/office/drawing/2014/main" id="{00000000-0008-0000-0A00-000019000000}"/>
            </a:ext>
          </a:extLst>
        </xdr:cNvPr>
        <xdr:cNvSpPr/>
      </xdr:nvSpPr>
      <xdr:spPr>
        <a:xfrm>
          <a:off x="5267325" y="390525"/>
          <a:ext cx="45719" cy="2000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en-US"/>
        </a:p>
      </xdr:txBody>
    </xdr:sp>
    <xdr:clientData/>
  </xdr:twoCellAnchor>
  <xdr:twoCellAnchor>
    <xdr:from>
      <xdr:col>6</xdr:col>
      <xdr:colOff>47625</xdr:colOff>
      <xdr:row>8</xdr:row>
      <xdr:rowOff>66675</xdr:rowOff>
    </xdr:from>
    <xdr:to>
      <xdr:col>7</xdr:col>
      <xdr:colOff>22859</xdr:colOff>
      <xdr:row>9</xdr:row>
      <xdr:rowOff>104775</xdr:rowOff>
    </xdr:to>
    <xdr:sp macro="" textlink="">
      <xdr:nvSpPr>
        <xdr:cNvPr id="26" name="Right Brace 25">
          <a:extLst>
            <a:ext uri="{FF2B5EF4-FFF2-40B4-BE49-F238E27FC236}">
              <a16:creationId xmlns:a16="http://schemas.microsoft.com/office/drawing/2014/main" id="{00000000-0008-0000-0A00-00001A000000}"/>
            </a:ext>
          </a:extLst>
        </xdr:cNvPr>
        <xdr:cNvSpPr/>
      </xdr:nvSpPr>
      <xdr:spPr>
        <a:xfrm>
          <a:off x="5324475" y="552450"/>
          <a:ext cx="45719" cy="2000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en-US"/>
        </a:p>
      </xdr:txBody>
    </xdr:sp>
    <xdr:clientData/>
  </xdr:twoCellAnchor>
  <xdr:twoCellAnchor>
    <xdr:from>
      <xdr:col>7</xdr:col>
      <xdr:colOff>31750</xdr:colOff>
      <xdr:row>9</xdr:row>
      <xdr:rowOff>66675</xdr:rowOff>
    </xdr:from>
    <xdr:to>
      <xdr:col>7</xdr:col>
      <xdr:colOff>77469</xdr:colOff>
      <xdr:row>10</xdr:row>
      <xdr:rowOff>104775</xdr:rowOff>
    </xdr:to>
    <xdr:sp macro="" textlink="">
      <xdr:nvSpPr>
        <xdr:cNvPr id="30" name="Right Brace 29">
          <a:extLst>
            <a:ext uri="{FF2B5EF4-FFF2-40B4-BE49-F238E27FC236}">
              <a16:creationId xmlns:a16="http://schemas.microsoft.com/office/drawing/2014/main" id="{00000000-0008-0000-0A00-00001E000000}"/>
            </a:ext>
          </a:extLst>
        </xdr:cNvPr>
        <xdr:cNvSpPr/>
      </xdr:nvSpPr>
      <xdr:spPr>
        <a:xfrm>
          <a:off x="5381625" y="714375"/>
          <a:ext cx="45719" cy="2000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en-US"/>
        </a:p>
      </xdr:txBody>
    </xdr:sp>
    <xdr:clientData/>
  </xdr:twoCellAnchor>
  <xdr:twoCellAnchor>
    <xdr:from>
      <xdr:col>7</xdr:col>
      <xdr:colOff>88900</xdr:colOff>
      <xdr:row>10</xdr:row>
      <xdr:rowOff>85725</xdr:rowOff>
    </xdr:from>
    <xdr:to>
      <xdr:col>7</xdr:col>
      <xdr:colOff>149859</xdr:colOff>
      <xdr:row>11</xdr:row>
      <xdr:rowOff>101759</xdr:rowOff>
    </xdr:to>
    <xdr:sp macro="" textlink="">
      <xdr:nvSpPr>
        <xdr:cNvPr id="32" name="Right Brace 31">
          <a:extLst>
            <a:ext uri="{FF2B5EF4-FFF2-40B4-BE49-F238E27FC236}">
              <a16:creationId xmlns:a16="http://schemas.microsoft.com/office/drawing/2014/main" id="{00000000-0008-0000-0A00-000020000000}"/>
            </a:ext>
          </a:extLst>
        </xdr:cNvPr>
        <xdr:cNvSpPr/>
      </xdr:nvSpPr>
      <xdr:spPr>
        <a:xfrm>
          <a:off x="5448300" y="885825"/>
          <a:ext cx="45719" cy="2000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en-US"/>
        </a:p>
      </xdr:txBody>
    </xdr:sp>
    <xdr:clientData/>
  </xdr:twoCellAnchor>
  <xdr:twoCellAnchor>
    <xdr:from>
      <xdr:col>6</xdr:col>
      <xdr:colOff>45718</xdr:colOff>
      <xdr:row>7</xdr:row>
      <xdr:rowOff>66676</xdr:rowOff>
    </xdr:from>
    <xdr:to>
      <xdr:col>7</xdr:col>
      <xdr:colOff>257870</xdr:colOff>
      <xdr:row>8</xdr:row>
      <xdr:rowOff>4764</xdr:rowOff>
    </xdr:to>
    <xdr:cxnSp macro="">
      <xdr:nvCxnSpPr>
        <xdr:cNvPr id="33" name="Straight Arrow Connector 32">
          <a:extLst>
            <a:ext uri="{FF2B5EF4-FFF2-40B4-BE49-F238E27FC236}">
              <a16:creationId xmlns:a16="http://schemas.microsoft.com/office/drawing/2014/main" id="{00000000-0008-0000-0A00-000021000000}"/>
            </a:ext>
          </a:extLst>
        </xdr:cNvPr>
        <xdr:cNvCxnSpPr>
          <a:stCxn id="25" idx="1"/>
        </xdr:cNvCxnSpPr>
      </xdr:nvCxnSpPr>
      <xdr:spPr>
        <a:xfrm rot="10800000" flipH="1">
          <a:off x="5313043" y="390526"/>
          <a:ext cx="297181" cy="10001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45718</xdr:colOff>
      <xdr:row>8</xdr:row>
      <xdr:rowOff>104775</xdr:rowOff>
    </xdr:from>
    <xdr:to>
      <xdr:col>7</xdr:col>
      <xdr:colOff>308038</xdr:colOff>
      <xdr:row>9</xdr:row>
      <xdr:rowOff>4765</xdr:rowOff>
    </xdr:to>
    <xdr:cxnSp macro="">
      <xdr:nvCxnSpPr>
        <xdr:cNvPr id="34" name="Straight Arrow Connector 33">
          <a:extLst>
            <a:ext uri="{FF2B5EF4-FFF2-40B4-BE49-F238E27FC236}">
              <a16:creationId xmlns:a16="http://schemas.microsoft.com/office/drawing/2014/main" id="{00000000-0008-0000-0A00-000022000000}"/>
            </a:ext>
          </a:extLst>
        </xdr:cNvPr>
        <xdr:cNvCxnSpPr/>
      </xdr:nvCxnSpPr>
      <xdr:spPr>
        <a:xfrm flipV="1">
          <a:off x="5398768" y="590550"/>
          <a:ext cx="259082" cy="6191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77468</xdr:colOff>
      <xdr:row>9</xdr:row>
      <xdr:rowOff>104775</xdr:rowOff>
    </xdr:from>
    <xdr:to>
      <xdr:col>7</xdr:col>
      <xdr:colOff>266570</xdr:colOff>
      <xdr:row>10</xdr:row>
      <xdr:rowOff>4765</xdr:rowOff>
    </xdr:to>
    <xdr:cxnSp macro="">
      <xdr:nvCxnSpPr>
        <xdr:cNvPr id="35" name="Straight Arrow Connector 34">
          <a:extLst>
            <a:ext uri="{FF2B5EF4-FFF2-40B4-BE49-F238E27FC236}">
              <a16:creationId xmlns:a16="http://schemas.microsoft.com/office/drawing/2014/main" id="{00000000-0008-0000-0A00-000023000000}"/>
            </a:ext>
          </a:extLst>
        </xdr:cNvPr>
        <xdr:cNvCxnSpPr/>
      </xdr:nvCxnSpPr>
      <xdr:spPr>
        <a:xfrm flipV="1">
          <a:off x="5436868" y="752475"/>
          <a:ext cx="182882" cy="5239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147318</xdr:colOff>
      <xdr:row>10</xdr:row>
      <xdr:rowOff>92075</xdr:rowOff>
    </xdr:from>
    <xdr:to>
      <xdr:col>7</xdr:col>
      <xdr:colOff>267182</xdr:colOff>
      <xdr:row>11</xdr:row>
      <xdr:rowOff>42022</xdr:rowOff>
    </xdr:to>
    <xdr:cxnSp macro="">
      <xdr:nvCxnSpPr>
        <xdr:cNvPr id="36" name="Straight Arrow Connector 35">
          <a:extLst>
            <a:ext uri="{FF2B5EF4-FFF2-40B4-BE49-F238E27FC236}">
              <a16:creationId xmlns:a16="http://schemas.microsoft.com/office/drawing/2014/main" id="{00000000-0008-0000-0A00-000024000000}"/>
            </a:ext>
          </a:extLst>
        </xdr:cNvPr>
        <xdr:cNvCxnSpPr/>
      </xdr:nvCxnSpPr>
      <xdr:spPr>
        <a:xfrm flipV="1">
          <a:off x="5494018" y="904875"/>
          <a:ext cx="125732" cy="10954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dahopower.com/pdfs/energycenter/Building%20Efficiency%202007%20Electronic%20Application-test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Final Checklist"/>
      <sheetName val="Print-PreApp"/>
      <sheetName val="Print-FinalApp"/>
      <sheetName val="Print-A1 A2 A3 Worksheets"/>
      <sheetName val="Print-Terms&amp;Conditions"/>
      <sheetName val="Incent Calc Table"/>
      <sheetName val="Check Request"/>
      <sheetName val="Letter"/>
      <sheetName val="Checklist Print-Off"/>
      <sheetName val="Letter_Background"/>
      <sheetName val="Data"/>
      <sheetName val="Measures"/>
      <sheetName val="A_Worksheet"/>
      <sheetName val="C-5 (S)EER Table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uildingefficiency@idahopower.com" TargetMode="External"/><Relationship Id="rId1" Type="http://schemas.openxmlformats.org/officeDocument/2006/relationships/hyperlink" Target="mailto:cnichols@idahopower.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s://www.idahopower.com/multifamily"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www.idahopower.com/ways-to-save/savings-for-your-business/terms-condition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idahopower.com/energy-environment/ways-to-save/savings-for-your-home/"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7" Type="http://schemas.openxmlformats.org/officeDocument/2006/relationships/ctrlProp" Target="../ctrlProps/ctrlProp6.xml"/><Relationship Id="rId2" Type="http://schemas.openxmlformats.org/officeDocument/2006/relationships/drawing" Target="../drawings/drawing5.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ctrlProp" Target="../ctrlProps/ctrlProp28.xml"/><Relationship Id="rId41" Type="http://schemas.openxmlformats.org/officeDocument/2006/relationships/ctrlProp" Target="../ctrlProps/ctrlProp40.xml"/><Relationship Id="rId1" Type="http://schemas.openxmlformats.org/officeDocument/2006/relationships/printerSettings" Target="../printerSettings/printerSettings7.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omments" Target="../comments1.xml"/><Relationship Id="rId8" Type="http://schemas.openxmlformats.org/officeDocument/2006/relationships/ctrlProp" Target="../ctrlProps/ctrlProp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51.xml"/><Relationship Id="rId18" Type="http://schemas.openxmlformats.org/officeDocument/2006/relationships/ctrlProp" Target="../ctrlProps/ctrlProp56.xml"/><Relationship Id="rId26" Type="http://schemas.openxmlformats.org/officeDocument/2006/relationships/ctrlProp" Target="../ctrlProps/ctrlProp64.xml"/><Relationship Id="rId39" Type="http://schemas.openxmlformats.org/officeDocument/2006/relationships/comments" Target="../comments3.xml"/><Relationship Id="rId21" Type="http://schemas.openxmlformats.org/officeDocument/2006/relationships/ctrlProp" Target="../ctrlProps/ctrlProp59.xml"/><Relationship Id="rId34" Type="http://schemas.openxmlformats.org/officeDocument/2006/relationships/ctrlProp" Target="../ctrlProps/ctrlProp72.xml"/><Relationship Id="rId7" Type="http://schemas.openxmlformats.org/officeDocument/2006/relationships/ctrlProp" Target="../ctrlProps/ctrlProp45.xml"/><Relationship Id="rId12" Type="http://schemas.openxmlformats.org/officeDocument/2006/relationships/ctrlProp" Target="../ctrlProps/ctrlProp50.xml"/><Relationship Id="rId17" Type="http://schemas.openxmlformats.org/officeDocument/2006/relationships/ctrlProp" Target="../ctrlProps/ctrlProp55.xml"/><Relationship Id="rId25" Type="http://schemas.openxmlformats.org/officeDocument/2006/relationships/ctrlProp" Target="../ctrlProps/ctrlProp63.xml"/><Relationship Id="rId33" Type="http://schemas.openxmlformats.org/officeDocument/2006/relationships/ctrlProp" Target="../ctrlProps/ctrlProp71.xml"/><Relationship Id="rId38" Type="http://schemas.openxmlformats.org/officeDocument/2006/relationships/ctrlProp" Target="../ctrlProps/ctrlProp76.xml"/><Relationship Id="rId2" Type="http://schemas.openxmlformats.org/officeDocument/2006/relationships/drawing" Target="../drawings/drawing7.xml"/><Relationship Id="rId16" Type="http://schemas.openxmlformats.org/officeDocument/2006/relationships/ctrlProp" Target="../ctrlProps/ctrlProp54.xml"/><Relationship Id="rId20" Type="http://schemas.openxmlformats.org/officeDocument/2006/relationships/ctrlProp" Target="../ctrlProps/ctrlProp58.xml"/><Relationship Id="rId29" Type="http://schemas.openxmlformats.org/officeDocument/2006/relationships/ctrlProp" Target="../ctrlProps/ctrlProp67.xml"/><Relationship Id="rId1" Type="http://schemas.openxmlformats.org/officeDocument/2006/relationships/printerSettings" Target="../printerSettings/printerSettings9.bin"/><Relationship Id="rId6" Type="http://schemas.openxmlformats.org/officeDocument/2006/relationships/ctrlProp" Target="../ctrlProps/ctrlProp44.xml"/><Relationship Id="rId11" Type="http://schemas.openxmlformats.org/officeDocument/2006/relationships/ctrlProp" Target="../ctrlProps/ctrlProp49.xml"/><Relationship Id="rId24" Type="http://schemas.openxmlformats.org/officeDocument/2006/relationships/ctrlProp" Target="../ctrlProps/ctrlProp62.xml"/><Relationship Id="rId32" Type="http://schemas.openxmlformats.org/officeDocument/2006/relationships/ctrlProp" Target="../ctrlProps/ctrlProp70.xml"/><Relationship Id="rId37" Type="http://schemas.openxmlformats.org/officeDocument/2006/relationships/ctrlProp" Target="../ctrlProps/ctrlProp75.xml"/><Relationship Id="rId5" Type="http://schemas.openxmlformats.org/officeDocument/2006/relationships/ctrlProp" Target="../ctrlProps/ctrlProp43.xml"/><Relationship Id="rId15" Type="http://schemas.openxmlformats.org/officeDocument/2006/relationships/ctrlProp" Target="../ctrlProps/ctrlProp53.xml"/><Relationship Id="rId23" Type="http://schemas.openxmlformats.org/officeDocument/2006/relationships/ctrlProp" Target="../ctrlProps/ctrlProp61.xml"/><Relationship Id="rId28" Type="http://schemas.openxmlformats.org/officeDocument/2006/relationships/ctrlProp" Target="../ctrlProps/ctrlProp66.xml"/><Relationship Id="rId36" Type="http://schemas.openxmlformats.org/officeDocument/2006/relationships/ctrlProp" Target="../ctrlProps/ctrlProp74.xml"/><Relationship Id="rId10" Type="http://schemas.openxmlformats.org/officeDocument/2006/relationships/ctrlProp" Target="../ctrlProps/ctrlProp48.xml"/><Relationship Id="rId19" Type="http://schemas.openxmlformats.org/officeDocument/2006/relationships/ctrlProp" Target="../ctrlProps/ctrlProp57.xml"/><Relationship Id="rId31" Type="http://schemas.openxmlformats.org/officeDocument/2006/relationships/ctrlProp" Target="../ctrlProps/ctrlProp69.xml"/><Relationship Id="rId4" Type="http://schemas.openxmlformats.org/officeDocument/2006/relationships/ctrlProp" Target="../ctrlProps/ctrlProp42.xml"/><Relationship Id="rId9" Type="http://schemas.openxmlformats.org/officeDocument/2006/relationships/ctrlProp" Target="../ctrlProps/ctrlProp47.xml"/><Relationship Id="rId14" Type="http://schemas.openxmlformats.org/officeDocument/2006/relationships/ctrlProp" Target="../ctrlProps/ctrlProp52.xml"/><Relationship Id="rId22" Type="http://schemas.openxmlformats.org/officeDocument/2006/relationships/ctrlProp" Target="../ctrlProps/ctrlProp60.xml"/><Relationship Id="rId27" Type="http://schemas.openxmlformats.org/officeDocument/2006/relationships/ctrlProp" Target="../ctrlProps/ctrlProp65.xml"/><Relationship Id="rId30" Type="http://schemas.openxmlformats.org/officeDocument/2006/relationships/ctrlProp" Target="../ctrlProps/ctrlProp68.xml"/><Relationship Id="rId35" Type="http://schemas.openxmlformats.org/officeDocument/2006/relationships/ctrlProp" Target="../ctrlProps/ctrlProp73.xml"/><Relationship Id="rId8" Type="http://schemas.openxmlformats.org/officeDocument/2006/relationships/ctrlProp" Target="../ctrlProps/ctrlProp46.xml"/><Relationship Id="rId3"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9">
    <pageSetUpPr fitToPage="1"/>
  </sheetPr>
  <dimension ref="A1:F35"/>
  <sheetViews>
    <sheetView workbookViewId="0"/>
  </sheetViews>
  <sheetFormatPr defaultColWidth="8.85546875" defaultRowHeight="12.75" customHeight="1" zeroHeight="1"/>
  <cols>
    <col min="1" max="1" width="2.5703125" style="336" customWidth="1"/>
    <col min="2" max="2" width="10" style="335" customWidth="1"/>
    <col min="3" max="3" width="3.140625" style="335" customWidth="1"/>
    <col min="4" max="4" width="83.5703125" style="335" customWidth="1"/>
    <col min="5" max="5" width="8.5703125" style="335" customWidth="1"/>
    <col min="6" max="6" width="19.85546875" style="336" customWidth="1"/>
    <col min="7" max="7" width="8.85546875" style="335"/>
    <col min="8" max="8" width="9.140625" style="335" bestFit="1" customWidth="1"/>
    <col min="9" max="16384" width="8.85546875" style="335"/>
  </cols>
  <sheetData>
    <row r="1" spans="3:4" ht="156.75" customHeight="1"/>
    <row r="2" spans="3:4" ht="13.5">
      <c r="C2" s="729">
        <f ca="1">TODAY()+7-WEEKDAY(TODAY()+7-4)</f>
        <v>45238</v>
      </c>
      <c r="D2" s="728"/>
    </row>
    <row r="3" spans="3:4">
      <c r="C3" s="728"/>
      <c r="D3" s="728"/>
    </row>
    <row r="4" spans="3:4">
      <c r="C4" s="728"/>
      <c r="D4" s="728"/>
    </row>
    <row r="5" spans="3:4" ht="13.5">
      <c r="C5" s="727" t="str">
        <f>CONCATENATE('Final Application'!B40,", ",'Final Application'!M40)</f>
        <v xml:space="preserve">, </v>
      </c>
      <c r="D5" s="728"/>
    </row>
    <row r="6" spans="3:4" ht="13.5">
      <c r="C6" s="730">
        <f>'Final Application'!B36</f>
        <v>0</v>
      </c>
      <c r="D6" s="731"/>
    </row>
    <row r="7" spans="3:4" ht="13.5">
      <c r="C7" s="727" t="e">
        <f>Letter_Background!D10</f>
        <v>#REF!</v>
      </c>
      <c r="D7" s="728"/>
    </row>
    <row r="8" spans="3:4" ht="13.5">
      <c r="C8" s="727" t="e">
        <f>Letter_Background!D11</f>
        <v>#REF!</v>
      </c>
      <c r="D8" s="728"/>
    </row>
    <row r="9" spans="3:4">
      <c r="C9" s="728"/>
      <c r="D9" s="728"/>
    </row>
    <row r="10" spans="3:4" ht="13.5">
      <c r="C10" s="727" t="str">
        <f>"Dear " &amp;Letter_Background!C8&amp;" "&amp;Letter_Background!D8&amp;":"</f>
        <v>Dear test legal :</v>
      </c>
      <c r="D10" s="728"/>
    </row>
    <row r="11" spans="3:4">
      <c r="C11" s="728"/>
      <c r="D11" s="728"/>
    </row>
    <row r="12" spans="3:4" ht="13.5">
      <c r="C12" s="732" t="str">
        <f>IF('Final Application'!AL34=TRUE,Letter_Background!D4,IF('Final Application'!AK34=TRUE,Letter_Background!C4,"?????????"))</f>
        <v>?????????</v>
      </c>
      <c r="D12" s="728"/>
    </row>
    <row r="13" spans="3:4">
      <c r="C13" s="728"/>
      <c r="D13" s="728"/>
    </row>
    <row r="14" spans="3:4" ht="72" customHeight="1">
      <c r="C14" s="732" t="str">
        <f>IF('Final Application'!AL34=TRUE,Letter_Background!D5,IF('Final Application'!AK34=TRUE,Letter_Background!C5,"?????????"))</f>
        <v>?????????</v>
      </c>
      <c r="D14" s="728"/>
    </row>
    <row r="15" spans="3:4">
      <c r="C15" s="728"/>
      <c r="D15" s="728"/>
    </row>
    <row r="16" spans="3:4" ht="33" customHeight="1">
      <c r="C16" s="732" t="str">
        <f>IF('Final Application'!AL34=TRUE,Letter_Background!D6,IF('Final Application'!AK34=TRUE,Letter_Background!C6,"?????????"))</f>
        <v>?????????</v>
      </c>
      <c r="D16" s="728"/>
    </row>
    <row r="17" spans="3:4">
      <c r="C17" s="728"/>
      <c r="D17" s="728"/>
    </row>
    <row r="18" spans="3:4" ht="45" customHeight="1">
      <c r="C18" s="732" t="str">
        <f>IF('Final Application'!AL34=TRUE,Letter_Background!D7,IF('Final Application'!AK34=TRUE,Letter_Background!C7,"?????????"))</f>
        <v>?????????</v>
      </c>
      <c r="D18" s="728"/>
    </row>
    <row r="19" spans="3:4">
      <c r="C19" s="728"/>
      <c r="D19" s="728"/>
    </row>
    <row r="20" spans="3:4" ht="13.5">
      <c r="C20" s="732" t="s">
        <v>0</v>
      </c>
      <c r="D20" s="728"/>
    </row>
    <row r="21" spans="3:4">
      <c r="C21" s="728"/>
      <c r="D21" s="728"/>
    </row>
    <row r="22" spans="3:4">
      <c r="C22" s="728"/>
      <c r="D22" s="728"/>
    </row>
    <row r="23" spans="3:4">
      <c r="C23" s="728"/>
      <c r="D23" s="728"/>
    </row>
    <row r="24" spans="3:4">
      <c r="C24" s="728"/>
      <c r="D24" s="728"/>
    </row>
    <row r="25" spans="3:4">
      <c r="C25" s="728"/>
      <c r="D25" s="728"/>
    </row>
    <row r="26" spans="3:4" ht="13.5">
      <c r="C26" s="732" t="s">
        <v>1</v>
      </c>
      <c r="D26" s="728"/>
    </row>
    <row r="27" spans="3:4" ht="13.5">
      <c r="C27" s="732" t="s">
        <v>2</v>
      </c>
      <c r="D27" s="728"/>
    </row>
    <row r="28" spans="3:4">
      <c r="C28" s="733" t="s">
        <v>3</v>
      </c>
      <c r="D28" s="734"/>
    </row>
    <row r="29" spans="3:4">
      <c r="C29" s="728"/>
      <c r="D29" s="728"/>
    </row>
    <row r="30" spans="3:4"/>
    <row r="31" spans="3:4"/>
    <row r="32" spans="3:4">
      <c r="C32" s="335" t="str">
        <f>IF(D32="","","cc:")</f>
        <v>cc:</v>
      </c>
      <c r="D32" s="335" t="s">
        <v>4</v>
      </c>
    </row>
    <row r="33" spans="3:3">
      <c r="C33" s="335" t="str">
        <f>IF(D33="","",IF(C32="","cc:",""))</f>
        <v/>
      </c>
    </row>
    <row r="34" spans="3:3">
      <c r="C34" s="335" t="str">
        <f>IF(D34="","",IF(AND(C33="",C32=""),"cc:",""))</f>
        <v/>
      </c>
    </row>
    <row r="35" spans="3:3"/>
  </sheetData>
  <mergeCells count="28">
    <mergeCell ref="C26:D26"/>
    <mergeCell ref="C27:D27"/>
    <mergeCell ref="C28:D28"/>
    <mergeCell ref="C29:D29"/>
    <mergeCell ref="C20:D20"/>
    <mergeCell ref="C21:D21"/>
    <mergeCell ref="C22:D22"/>
    <mergeCell ref="C23:D23"/>
    <mergeCell ref="C24:D24"/>
    <mergeCell ref="C25:D25"/>
    <mergeCell ref="C19:D19"/>
    <mergeCell ref="C8:D8"/>
    <mergeCell ref="C9:D9"/>
    <mergeCell ref="C10:D10"/>
    <mergeCell ref="C11:D11"/>
    <mergeCell ref="C12:D12"/>
    <mergeCell ref="C13:D13"/>
    <mergeCell ref="C14:D14"/>
    <mergeCell ref="C15:D15"/>
    <mergeCell ref="C16:D16"/>
    <mergeCell ref="C17:D17"/>
    <mergeCell ref="C18:D18"/>
    <mergeCell ref="C7:D7"/>
    <mergeCell ref="C2:D2"/>
    <mergeCell ref="C3:D3"/>
    <mergeCell ref="C4:D4"/>
    <mergeCell ref="C5:D5"/>
    <mergeCell ref="C6:D6"/>
  </mergeCells>
  <hyperlinks>
    <hyperlink ref="C28" r:id="rId1" display="mailto:cnichols@idahopower.com" xr:uid="{00000000-0004-0000-0000-000000000000}"/>
    <hyperlink ref="C28:D28" r:id="rId2" display="mailto:buildingefficiency@idahopower.com" xr:uid="{00000000-0004-0000-0000-000001000000}"/>
  </hyperlinks>
  <pageMargins left="0" right="0" top="0" bottom="0" header="0.5" footer="0.5"/>
  <pageSetup scale="98" fitToHeight="0"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522C4-EE7B-46CF-A826-B77C8978FEA6}">
  <sheetPr codeName="Sheet06">
    <tabColor theme="5" tint="0.79998168889431442"/>
  </sheetPr>
  <dimension ref="A1:FV456"/>
  <sheetViews>
    <sheetView showGridLines="0" showRowColHeaders="0" zoomScaleNormal="100" workbookViewId="0">
      <selection activeCell="B1" sqref="B1:T1"/>
    </sheetView>
  </sheetViews>
  <sheetFormatPr defaultColWidth="8.85546875" defaultRowHeight="0" customHeight="1" zeroHeight="1"/>
  <cols>
    <col min="1" max="1" width="1.42578125" style="1" customWidth="1"/>
    <col min="2" max="2" width="3.140625" style="1" customWidth="1"/>
    <col min="3" max="3" width="0.42578125" style="1" customWidth="1"/>
    <col min="4" max="4" width="4.42578125" style="1" customWidth="1"/>
    <col min="5" max="5" width="0.5703125" style="1" customWidth="1"/>
    <col min="6" max="16" width="4.42578125" style="1" customWidth="1"/>
    <col min="17" max="17" width="1.140625" style="1" customWidth="1"/>
    <col min="18" max="18" width="4.7109375" style="1" customWidth="1"/>
    <col min="19" max="19" width="4.42578125" style="1" customWidth="1"/>
    <col min="20" max="20" width="2.5703125" style="1" customWidth="1"/>
    <col min="21" max="21" width="5.5703125" style="1" customWidth="1"/>
    <col min="22" max="22" width="1.140625" style="1" customWidth="1"/>
    <col min="23" max="28" width="4.42578125" style="1" customWidth="1"/>
    <col min="29" max="29" width="1.140625" style="1" customWidth="1"/>
    <col min="30" max="33" width="4.42578125" style="1" customWidth="1"/>
    <col min="34" max="34" width="1.140625" style="1" customWidth="1"/>
    <col min="35" max="35" width="4.42578125" style="1" customWidth="1"/>
    <col min="36" max="36" width="6.140625" style="1" customWidth="1"/>
    <col min="37" max="37" width="7" style="1" customWidth="1"/>
    <col min="38" max="40" width="6.140625" style="1" customWidth="1"/>
    <col min="41" max="41" width="1.42578125" style="1" customWidth="1"/>
    <col min="42" max="42" width="5.28515625" style="1" customWidth="1"/>
    <col min="43" max="43" width="6.140625" style="1" customWidth="1"/>
    <col min="44" max="44" width="6.85546875" style="1" customWidth="1"/>
    <col min="45" max="47" width="6.140625" style="1" customWidth="1"/>
    <col min="48" max="48" width="1.42578125" style="1" customWidth="1"/>
    <col min="49" max="50" width="7" style="1" customWidth="1"/>
    <col min="51" max="51" width="4.42578125" style="1" customWidth="1"/>
    <col min="52" max="52" width="5.140625" style="1" customWidth="1"/>
    <col min="53" max="56" width="5.42578125" style="1" customWidth="1"/>
    <col min="57" max="58" width="6" style="1" customWidth="1"/>
    <col min="59" max="59" width="4.42578125" style="1" customWidth="1"/>
    <col min="60" max="61" width="4.85546875" style="1" customWidth="1"/>
    <col min="62" max="62" width="1.42578125" style="1" customWidth="1"/>
    <col min="63" max="63" width="4.42578125" style="1" hidden="1" customWidth="1"/>
    <col min="64" max="64" width="5.140625" style="1" hidden="1" customWidth="1"/>
    <col min="65" max="68" width="4.42578125" style="1" hidden="1" customWidth="1"/>
    <col min="69" max="71" width="10.42578125" style="1" hidden="1" customWidth="1"/>
    <col min="72" max="72" width="11.85546875" style="1" hidden="1" customWidth="1"/>
    <col min="73" max="73" width="10.42578125" style="1" hidden="1" customWidth="1"/>
    <col min="74" max="74" width="15.42578125" style="1" hidden="1" customWidth="1"/>
    <col min="75" max="75" width="17.5703125" style="1" hidden="1" customWidth="1"/>
    <col min="76" max="81" width="10.42578125" style="1" hidden="1" customWidth="1"/>
    <col min="82" max="83" width="11.140625" style="1" hidden="1" customWidth="1"/>
    <col min="84" max="84" width="10.42578125" style="1" hidden="1" customWidth="1"/>
    <col min="85" max="85" width="11.140625" style="1" hidden="1" customWidth="1"/>
    <col min="86" max="86" width="7.42578125" style="1" hidden="1" customWidth="1"/>
    <col min="87" max="87" width="5.5703125" style="1" hidden="1" customWidth="1"/>
    <col min="88" max="88" width="8.42578125" style="1" hidden="1" customWidth="1"/>
    <col min="89" max="91" width="5" style="1" hidden="1" customWidth="1"/>
    <col min="92" max="135" width="9.140625" style="1" customWidth="1"/>
    <col min="136" max="136" width="1.42578125" style="1" customWidth="1"/>
    <col min="137" max="137" width="3.140625" style="1" customWidth="1"/>
    <col min="138" max="138" width="0.42578125" style="1" customWidth="1"/>
    <col min="139" max="139" width="54.42578125" style="1" bestFit="1" customWidth="1"/>
    <col min="140" max="140" width="0.42578125" style="1" customWidth="1"/>
    <col min="141" max="141" width="13.140625" style="1" customWidth="1"/>
    <col min="142" max="142" width="0.42578125" style="1" customWidth="1"/>
    <col min="143" max="143" width="4.42578125" style="1" bestFit="1" customWidth="1"/>
    <col min="144" max="144" width="0.42578125" style="1" customWidth="1"/>
    <col min="145" max="145" width="5.42578125" style="1" bestFit="1" customWidth="1"/>
    <col min="146" max="146" width="5.5703125" style="1" bestFit="1" customWidth="1"/>
    <col min="147" max="147" width="0.42578125" style="1" customWidth="1"/>
    <col min="148" max="148" width="5.42578125" style="1" bestFit="1" customWidth="1"/>
    <col min="149" max="149" width="5.5703125" style="1" bestFit="1" customWidth="1"/>
    <col min="150" max="150" width="0.42578125" style="1" customWidth="1"/>
    <col min="151" max="151" width="10.42578125" style="1" bestFit="1" customWidth="1"/>
    <col min="152" max="152" width="1.42578125" style="1" customWidth="1"/>
    <col min="153" max="153" width="8.85546875" style="1" customWidth="1"/>
    <col min="154" max="154" width="0.42578125" style="1" customWidth="1"/>
    <col min="155" max="155" width="1.42578125" style="1" customWidth="1"/>
    <col min="156" max="156" width="0.42578125" style="1" customWidth="1"/>
    <col min="157" max="157" width="5.42578125" style="1" bestFit="1" customWidth="1"/>
    <col min="158" max="158" width="4.42578125" style="1" customWidth="1"/>
    <col min="159" max="159" width="0.42578125" style="1" customWidth="1"/>
    <col min="160" max="160" width="10.42578125" style="1" bestFit="1" customWidth="1"/>
    <col min="161" max="161" width="1.42578125" style="1" customWidth="1"/>
    <col min="162" max="162" width="8" style="1" customWidth="1"/>
    <col min="163" max="163" width="0.42578125" style="1" customWidth="1"/>
    <col min="164" max="16384" width="8.85546875" style="1"/>
  </cols>
  <sheetData>
    <row r="1" spans="1:178" ht="27" customHeight="1">
      <c r="B1" s="766" t="s">
        <v>66</v>
      </c>
      <c r="C1" s="766"/>
      <c r="D1" s="766"/>
      <c r="E1" s="766"/>
      <c r="F1" s="766"/>
      <c r="G1" s="766"/>
      <c r="H1" s="766"/>
      <c r="I1" s="767"/>
      <c r="J1" s="767"/>
      <c r="K1" s="767"/>
      <c r="L1" s="767"/>
      <c r="M1" s="767"/>
      <c r="N1" s="767"/>
      <c r="O1" s="767"/>
      <c r="P1" s="767"/>
      <c r="Q1" s="767"/>
      <c r="R1" s="767"/>
      <c r="S1" s="767"/>
      <c r="T1" s="767"/>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43" t="str">
        <f>'Preliminary Application'!AJ1</f>
        <v>Effective November 1, 2023</v>
      </c>
      <c r="BI1" s="16"/>
      <c r="BJ1" s="16"/>
      <c r="BK1" s="16"/>
      <c r="BL1" s="16"/>
      <c r="BN1" s="66"/>
      <c r="BQ1" s="17" t="s">
        <v>2473</v>
      </c>
      <c r="BR1" s="1" t="str">
        <f>IF('Preliminary Application'!$AD$11="","",'Preliminary Application'!$AD$11)</f>
        <v/>
      </c>
      <c r="BS1" s="393" t="s">
        <v>2474</v>
      </c>
      <c r="BT1" s="1" t="str">
        <f>IF('Final Application'!$AK$60=TRUE,"Electric",IF('Final Application'!$AL$60=TRUE,"Gas",IF('Final Application'!$AM$60=TRUE,"Other","")))</f>
        <v/>
      </c>
      <c r="BU1" s="393" t="s">
        <v>2475</v>
      </c>
      <c r="BV1" s="1" t="str">
        <f>IF('Final Application'!$AK$62=TRUE,"Electric",IF('Final Application'!$AL$62=TRUE,"Gas",IF('Final Application'!$AM$62=TRUE,"Other","")))</f>
        <v/>
      </c>
      <c r="BW1" s="3" t="s">
        <v>226</v>
      </c>
      <c r="BX1" s="3" t="s">
        <v>2476</v>
      </c>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row>
    <row r="2" spans="1:178" ht="18" customHeight="1">
      <c r="B2" s="18" t="s">
        <v>68</v>
      </c>
      <c r="C2" s="67"/>
      <c r="D2" s="67"/>
      <c r="E2" s="67"/>
      <c r="F2" s="67"/>
      <c r="G2" s="67"/>
      <c r="H2" s="67"/>
      <c r="I2" s="67"/>
      <c r="J2" s="67"/>
      <c r="K2" s="67"/>
      <c r="L2" s="67"/>
      <c r="M2" s="67"/>
      <c r="N2" s="67"/>
      <c r="O2" s="67"/>
      <c r="P2" s="67"/>
      <c r="Q2" s="67"/>
      <c r="BG2" s="67"/>
      <c r="BH2" s="67"/>
      <c r="BI2" s="67"/>
      <c r="BJ2" s="67"/>
      <c r="BK2" s="67"/>
      <c r="BL2" s="67"/>
      <c r="BM2" s="67"/>
      <c r="BN2" s="67"/>
      <c r="BQ2" s="913" t="s">
        <v>2651</v>
      </c>
      <c r="BR2" s="913"/>
      <c r="BS2" s="913"/>
      <c r="BT2" s="913"/>
      <c r="BU2" s="913"/>
      <c r="BV2" s="913"/>
      <c r="BW2" s="913"/>
      <c r="BX2" s="913"/>
      <c r="BY2" s="94"/>
      <c r="BZ2" s="94"/>
      <c r="CA2" s="94"/>
      <c r="CB2" s="913" t="s">
        <v>3334</v>
      </c>
      <c r="CC2" s="913"/>
      <c r="CD2" s="913"/>
      <c r="CE2" s="913"/>
      <c r="CF2" s="913"/>
      <c r="CG2" s="913"/>
      <c r="CH2" s="913"/>
      <c r="CI2" s="913"/>
      <c r="CJ2" s="913"/>
      <c r="CK2" s="913"/>
      <c r="CL2" s="913"/>
      <c r="CM2" s="94"/>
      <c r="CN2" s="94"/>
      <c r="CO2" s="94"/>
      <c r="CP2" s="94"/>
      <c r="CQ2" s="94"/>
      <c r="CR2" s="94"/>
      <c r="CS2" s="94"/>
      <c r="CT2" s="94"/>
      <c r="CU2" s="94"/>
      <c r="CV2" s="94"/>
      <c r="CW2" s="94"/>
      <c r="CX2" s="94"/>
      <c r="CY2" s="94"/>
      <c r="CZ2" s="94"/>
    </row>
    <row r="3" spans="1:178" ht="18">
      <c r="B3" s="82" t="s">
        <v>2771</v>
      </c>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81" t="s">
        <v>152</v>
      </c>
      <c r="AY3" s="920" t="str">
        <f>IF('Final Application'!AF7="","",'Final Application'!AF7)</f>
        <v/>
      </c>
      <c r="AZ3" s="920"/>
      <c r="BA3" s="920"/>
      <c r="BB3" s="920"/>
      <c r="BC3" s="920"/>
      <c r="BD3" s="920"/>
      <c r="BE3" s="920"/>
      <c r="BF3" s="920"/>
      <c r="BG3" s="920"/>
      <c r="BH3" s="920"/>
      <c r="BI3" s="920"/>
      <c r="BN3" s="294"/>
      <c r="BQ3" s="913"/>
      <c r="BR3" s="913"/>
      <c r="BS3" s="913"/>
      <c r="BT3" s="913"/>
      <c r="BU3" s="913"/>
      <c r="BV3" s="913"/>
      <c r="BW3" s="913"/>
      <c r="BX3" s="913"/>
      <c r="BY3" s="94"/>
      <c r="BZ3" s="94"/>
      <c r="CA3" s="94"/>
      <c r="CB3" s="913"/>
      <c r="CC3" s="913"/>
      <c r="CD3" s="913"/>
      <c r="CE3" s="913"/>
      <c r="CF3" s="913"/>
      <c r="CG3" s="913"/>
      <c r="CH3" s="913"/>
      <c r="CI3" s="913"/>
      <c r="CJ3" s="913"/>
      <c r="CK3" s="913"/>
      <c r="CL3" s="913"/>
      <c r="CM3" s="94"/>
      <c r="CN3" s="94"/>
      <c r="CO3" s="94"/>
      <c r="CP3" s="94"/>
      <c r="CQ3" s="94"/>
      <c r="CR3" s="94"/>
      <c r="CS3" s="94"/>
      <c r="CT3" s="94"/>
      <c r="CU3" s="94"/>
      <c r="CV3" s="94"/>
      <c r="CW3" s="94"/>
      <c r="CX3" s="94"/>
      <c r="CY3" s="94"/>
      <c r="CZ3" s="94"/>
    </row>
    <row r="4" spans="1:178" ht="12.6" customHeight="1">
      <c r="B4" s="9" t="s">
        <v>2479</v>
      </c>
      <c r="C4" s="68"/>
      <c r="D4" s="68"/>
      <c r="E4" s="68"/>
      <c r="F4" s="68"/>
      <c r="G4" s="68"/>
      <c r="H4" s="68"/>
      <c r="I4" s="68"/>
      <c r="J4" s="68"/>
      <c r="K4" s="68"/>
      <c r="L4" s="68"/>
      <c r="M4" s="68"/>
      <c r="N4" s="68"/>
      <c r="O4" s="68"/>
      <c r="P4" s="68"/>
      <c r="Q4" s="68"/>
      <c r="S4" s="378"/>
      <c r="Y4" s="378"/>
      <c r="AI4" s="68"/>
      <c r="AJ4" s="68"/>
      <c r="AK4" s="68"/>
      <c r="AL4" s="68"/>
      <c r="AM4" s="68"/>
      <c r="AN4" s="68"/>
      <c r="AO4" s="68"/>
      <c r="AP4" s="68"/>
      <c r="AQ4" s="68"/>
      <c r="AR4" s="68"/>
      <c r="AS4" s="68"/>
      <c r="AT4" s="68"/>
      <c r="AU4" s="68"/>
      <c r="AV4" s="68"/>
      <c r="AW4" s="68"/>
      <c r="AX4" s="81" t="s">
        <v>2653</v>
      </c>
      <c r="AY4" s="929" t="str">
        <f>'Final Application'!B7</f>
        <v/>
      </c>
      <c r="AZ4" s="929"/>
      <c r="BA4" s="929"/>
      <c r="BB4" s="929"/>
      <c r="BC4" s="929"/>
      <c r="BD4" s="929"/>
      <c r="BE4" s="929"/>
      <c r="BF4" s="929"/>
      <c r="BG4" s="929"/>
      <c r="BH4" s="929"/>
      <c r="BI4" s="929"/>
      <c r="BN4" s="2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row>
    <row r="5" spans="1:178" ht="6.75" customHeight="1">
      <c r="A5" s="35"/>
      <c r="B5" s="65"/>
      <c r="C5" s="65"/>
      <c r="D5" s="65"/>
      <c r="E5" s="65"/>
      <c r="F5" s="65"/>
      <c r="G5" s="65"/>
      <c r="H5" s="65"/>
      <c r="I5" s="65"/>
      <c r="J5" s="65"/>
      <c r="K5" s="65"/>
      <c r="L5" s="65"/>
      <c r="M5" s="65"/>
      <c r="N5" s="65"/>
      <c r="O5" s="65"/>
      <c r="P5" s="65"/>
      <c r="Q5" s="65"/>
      <c r="R5" s="35"/>
      <c r="S5" s="35"/>
      <c r="T5" s="35"/>
      <c r="U5" s="35"/>
      <c r="V5" s="35"/>
      <c r="W5" s="35"/>
      <c r="X5" s="35"/>
      <c r="Y5" s="35"/>
      <c r="Z5" s="35"/>
      <c r="AA5" s="35"/>
      <c r="AB5" s="35"/>
      <c r="AC5" s="35"/>
      <c r="AD5" s="35"/>
      <c r="AE5" s="35"/>
      <c r="AF5" s="35"/>
      <c r="AG5" s="35"/>
      <c r="AH5" s="3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N5" s="2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row>
    <row r="6" spans="1:178" ht="15.75">
      <c r="A6" s="153" t="s">
        <v>2756</v>
      </c>
      <c r="B6" s="62"/>
      <c r="C6" s="62"/>
      <c r="D6" s="62"/>
      <c r="E6" s="62"/>
      <c r="F6" s="62"/>
      <c r="G6" s="62"/>
      <c r="H6" s="62"/>
      <c r="I6" s="62"/>
      <c r="J6" s="62"/>
      <c r="K6" s="62"/>
      <c r="L6" s="62"/>
      <c r="M6" s="62"/>
      <c r="N6" s="62"/>
      <c r="O6" s="62"/>
      <c r="P6" s="62"/>
      <c r="Q6" s="62"/>
      <c r="R6" s="62"/>
      <c r="S6" s="62"/>
      <c r="T6" s="62"/>
      <c r="U6" s="62"/>
      <c r="V6" s="62"/>
      <c r="W6" s="62"/>
      <c r="X6" s="62"/>
      <c r="Y6" s="62"/>
      <c r="Z6" s="62"/>
      <c r="AA6" s="664"/>
      <c r="AB6" s="664" t="s">
        <v>2772</v>
      </c>
      <c r="AC6" s="62"/>
      <c r="AD6" s="934" t="s">
        <v>120</v>
      </c>
      <c r="AE6" s="935"/>
      <c r="AF6" s="935"/>
      <c r="AG6" s="936"/>
      <c r="AH6" s="62"/>
      <c r="AI6" s="665" t="s">
        <v>2774</v>
      </c>
      <c r="AJ6" s="62"/>
      <c r="AK6" s="62"/>
      <c r="AL6" s="62"/>
      <c r="AM6" s="62"/>
      <c r="AN6" s="62"/>
      <c r="AO6" s="62"/>
      <c r="AP6" s="62"/>
      <c r="AQ6" s="62"/>
      <c r="AR6" s="62"/>
      <c r="AS6" s="62"/>
      <c r="AT6" s="62"/>
      <c r="AU6" s="62"/>
      <c r="AV6" s="62"/>
      <c r="AW6" s="62"/>
      <c r="AX6" s="62"/>
      <c r="AY6" s="62"/>
      <c r="AZ6" s="62"/>
      <c r="BA6" s="62"/>
      <c r="BB6" s="62"/>
      <c r="BC6" s="62"/>
      <c r="BD6" s="62"/>
      <c r="BE6" s="62"/>
      <c r="BF6" s="62"/>
      <c r="BG6" s="34"/>
      <c r="BH6" s="34"/>
      <c r="BI6" s="25"/>
      <c r="BJ6" s="25"/>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row>
    <row r="7" spans="1:178" ht="16.5" thickBot="1">
      <c r="A7" s="62" t="s">
        <v>2654</v>
      </c>
      <c r="B7" s="62"/>
      <c r="C7" s="62"/>
      <c r="D7" s="62"/>
      <c r="E7" s="62"/>
      <c r="F7" s="62"/>
      <c r="G7" s="62"/>
      <c r="H7" s="62"/>
      <c r="I7" s="62"/>
      <c r="J7" s="62"/>
      <c r="K7" s="62"/>
      <c r="L7" s="62"/>
      <c r="M7" s="62"/>
      <c r="N7" s="62"/>
      <c r="O7" s="62"/>
      <c r="P7" s="62"/>
      <c r="Q7" s="62"/>
      <c r="R7" s="62"/>
      <c r="S7" s="62"/>
      <c r="T7" s="62"/>
      <c r="U7" s="62"/>
      <c r="V7" s="62"/>
      <c r="W7" s="62"/>
      <c r="X7" s="62"/>
      <c r="Y7" s="62"/>
      <c r="Z7" s="62"/>
      <c r="AA7" s="62"/>
      <c r="AB7" s="666" t="s">
        <v>2775</v>
      </c>
      <c r="AC7" s="62"/>
      <c r="AD7" s="937"/>
      <c r="AE7" s="937"/>
      <c r="AF7" s="937"/>
      <c r="AG7" s="937"/>
      <c r="AH7" s="62"/>
      <c r="AI7" s="667" t="s">
        <v>2776</v>
      </c>
      <c r="AJ7" s="62"/>
      <c r="AK7" s="62"/>
      <c r="AL7" s="62"/>
      <c r="AM7" s="62"/>
      <c r="AN7" s="62"/>
      <c r="AO7" s="62"/>
      <c r="AP7" s="62"/>
      <c r="AQ7" s="62"/>
      <c r="AR7" s="62"/>
      <c r="AS7" s="62"/>
      <c r="AT7" s="62"/>
      <c r="AU7" s="62"/>
      <c r="AV7" s="62"/>
      <c r="AW7" s="62"/>
      <c r="AX7" s="62"/>
      <c r="AY7" s="62"/>
      <c r="AZ7" s="62"/>
      <c r="BA7" s="62"/>
      <c r="BB7" s="62"/>
      <c r="BC7" s="62"/>
      <c r="BD7" s="62"/>
      <c r="BE7" s="62"/>
      <c r="BF7" s="62"/>
      <c r="BG7" s="34"/>
      <c r="BH7" s="34"/>
      <c r="BI7" s="25"/>
      <c r="BJ7" s="25"/>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row>
    <row r="8" spans="1:178" s="22" customFormat="1" ht="15.6" customHeight="1">
      <c r="A8" s="581"/>
      <c r="B8" s="381"/>
      <c r="C8" s="381"/>
      <c r="D8" s="381"/>
      <c r="E8" s="381"/>
      <c r="F8" s="381"/>
      <c r="G8" s="381"/>
      <c r="H8" s="381"/>
      <c r="I8" s="381"/>
      <c r="J8" s="381"/>
      <c r="K8" s="381"/>
      <c r="L8" s="381"/>
      <c r="M8" s="381"/>
      <c r="N8" s="381"/>
      <c r="O8" s="381"/>
      <c r="P8" s="381"/>
      <c r="Q8" s="381"/>
      <c r="R8" s="381"/>
      <c r="S8" s="381"/>
      <c r="T8" s="381"/>
      <c r="U8" s="381"/>
      <c r="V8" s="381"/>
      <c r="W8" s="381"/>
      <c r="X8" s="381"/>
      <c r="Y8" s="381"/>
      <c r="Z8" s="381"/>
      <c r="AA8" s="381"/>
      <c r="AB8" s="381"/>
      <c r="AC8" s="381"/>
      <c r="AD8" s="208"/>
      <c r="AE8" s="208"/>
      <c r="AF8" s="208"/>
      <c r="AG8" s="208"/>
      <c r="AH8" s="381"/>
      <c r="AI8" s="381"/>
      <c r="AJ8" s="381"/>
      <c r="AK8" s="381"/>
      <c r="AL8" s="381"/>
      <c r="AM8" s="710"/>
      <c r="AN8" s="710"/>
      <c r="AO8" s="381"/>
      <c r="AP8" s="905" t="s">
        <v>2655</v>
      </c>
      <c r="AQ8" s="905"/>
      <c r="AR8" s="905"/>
      <c r="AS8" s="905"/>
      <c r="AT8" s="905"/>
      <c r="AU8" s="905"/>
      <c r="AV8" s="905"/>
      <c r="AW8" s="905"/>
      <c r="AX8" s="905"/>
      <c r="AY8" s="905"/>
      <c r="AZ8" s="905"/>
      <c r="BA8" s="905"/>
      <c r="BB8" s="905"/>
      <c r="BC8" s="905"/>
      <c r="BD8" s="905"/>
      <c r="BE8" s="905"/>
      <c r="BF8" s="905"/>
      <c r="BG8" s="881" t="s">
        <v>2656</v>
      </c>
      <c r="BH8" s="881"/>
      <c r="BI8" s="881"/>
      <c r="BJ8" s="225"/>
      <c r="BK8" s="1"/>
      <c r="BL8" s="1"/>
      <c r="BM8" s="1"/>
      <c r="BN8" s="1"/>
      <c r="BQ8" s="906" t="s">
        <v>2657</v>
      </c>
      <c r="BR8" s="907"/>
      <c r="BS8" s="907"/>
      <c r="BT8" s="907"/>
      <c r="BU8" s="907"/>
      <c r="BV8" s="907"/>
      <c r="BW8" s="908"/>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row>
    <row r="9" spans="1:178" s="22" customFormat="1" ht="24" customHeight="1">
      <c r="A9" s="519"/>
      <c r="B9" s="208"/>
      <c r="C9" s="49"/>
      <c r="D9" s="208"/>
      <c r="E9" s="208"/>
      <c r="F9" s="50"/>
      <c r="G9" s="50"/>
      <c r="H9" s="50"/>
      <c r="I9" s="50"/>
      <c r="J9" s="50"/>
      <c r="K9" s="50"/>
      <c r="L9" s="50"/>
      <c r="M9" s="50"/>
      <c r="N9" s="50"/>
      <c r="O9" s="50"/>
      <c r="P9" s="50"/>
      <c r="Q9" s="208"/>
      <c r="R9" s="909"/>
      <c r="S9" s="909"/>
      <c r="T9" s="909"/>
      <c r="U9" s="909"/>
      <c r="V9" s="204"/>
      <c r="W9" s="909"/>
      <c r="X9" s="909"/>
      <c r="Y9" s="909"/>
      <c r="Z9" s="909"/>
      <c r="AA9" s="909"/>
      <c r="AB9" s="909"/>
      <c r="AC9" s="204"/>
      <c r="AD9" s="204"/>
      <c r="AE9" s="204"/>
      <c r="AF9" s="204"/>
      <c r="AG9" s="204"/>
      <c r="AH9" s="51"/>
      <c r="AI9" s="51" t="s">
        <v>2658</v>
      </c>
      <c r="AJ9" s="204"/>
      <c r="AK9" s="52" t="s">
        <v>2659</v>
      </c>
      <c r="AL9" s="204"/>
      <c r="AM9" s="712"/>
      <c r="AN9" s="712"/>
      <c r="AO9" s="204"/>
      <c r="AP9" s="910" t="s">
        <v>2660</v>
      </c>
      <c r="AQ9" s="910"/>
      <c r="AR9" s="910"/>
      <c r="AS9" s="910"/>
      <c r="AT9" s="910"/>
      <c r="AU9" s="910"/>
      <c r="AV9" s="910"/>
      <c r="AW9" s="910"/>
      <c r="AX9" s="910"/>
      <c r="AY9" s="921"/>
      <c r="AZ9" s="921"/>
      <c r="BA9" s="921"/>
      <c r="BB9" s="921"/>
      <c r="BC9" s="921"/>
      <c r="BD9" s="921"/>
      <c r="BE9" s="921"/>
      <c r="BF9" s="921"/>
      <c r="BG9" s="882"/>
      <c r="BH9" s="882"/>
      <c r="BI9" s="882"/>
      <c r="BJ9" s="53"/>
      <c r="BK9" s="1"/>
      <c r="BL9" s="1"/>
      <c r="BM9" s="1"/>
      <c r="BN9" s="1"/>
      <c r="BQ9" s="84"/>
      <c r="BR9" s="84"/>
      <c r="BS9" s="84"/>
      <c r="BT9" s="84"/>
      <c r="BU9" s="84"/>
      <c r="BV9" s="84"/>
      <c r="BW9" s="84"/>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row>
    <row r="10" spans="1:178" s="22" customFormat="1" ht="26.45" customHeight="1">
      <c r="A10" s="48"/>
      <c r="B10" s="159" t="s">
        <v>2661</v>
      </c>
      <c r="C10" s="411"/>
      <c r="D10" s="159" t="s">
        <v>2662</v>
      </c>
      <c r="E10" s="159"/>
      <c r="F10" s="159" t="s">
        <v>2663</v>
      </c>
      <c r="G10" s="50"/>
      <c r="H10" s="50"/>
      <c r="I10" s="50"/>
      <c r="J10" s="50"/>
      <c r="K10" s="50"/>
      <c r="L10" s="50"/>
      <c r="M10" s="50"/>
      <c r="N10" s="50"/>
      <c r="O10" s="50"/>
      <c r="P10" s="50"/>
      <c r="Q10" s="208"/>
      <c r="R10" s="909"/>
      <c r="S10" s="909"/>
      <c r="T10" s="909"/>
      <c r="U10" s="909"/>
      <c r="V10" s="204"/>
      <c r="W10" s="909"/>
      <c r="X10" s="909"/>
      <c r="Y10" s="909"/>
      <c r="Z10" s="909"/>
      <c r="AA10" s="909"/>
      <c r="AB10" s="909"/>
      <c r="AC10" s="204"/>
      <c r="AD10" s="159" t="s">
        <v>2664</v>
      </c>
      <c r="AE10" s="197"/>
      <c r="AF10" s="159"/>
      <c r="AG10" s="159"/>
      <c r="AH10" s="410"/>
      <c r="AI10" s="159" t="s">
        <v>2665</v>
      </c>
      <c r="AJ10" s="197"/>
      <c r="AK10" s="159" t="s">
        <v>2665</v>
      </c>
      <c r="AL10" s="204"/>
      <c r="AM10" s="712"/>
      <c r="AN10" s="712"/>
      <c r="AO10" s="204"/>
      <c r="AP10" s="911" t="s">
        <v>2666</v>
      </c>
      <c r="AQ10" s="911"/>
      <c r="AR10" s="911"/>
      <c r="AS10" s="911"/>
      <c r="AT10" s="911"/>
      <c r="AU10" s="911"/>
      <c r="AV10" s="911"/>
      <c r="AW10" s="911"/>
      <c r="AX10" s="50"/>
      <c r="AY10" s="779"/>
      <c r="AZ10" s="779"/>
      <c r="BA10" s="779"/>
      <c r="BB10" s="779"/>
      <c r="BC10" s="779"/>
      <c r="BD10" s="779"/>
      <c r="BE10" s="779"/>
      <c r="BF10" s="50"/>
      <c r="BG10" s="882"/>
      <c r="BH10" s="882"/>
      <c r="BI10" s="882"/>
      <c r="BJ10" s="53"/>
      <c r="BK10" s="1"/>
      <c r="BL10" s="1"/>
      <c r="BM10" s="1"/>
      <c r="BN10" s="1"/>
      <c r="BQ10" s="542" t="s">
        <v>2667</v>
      </c>
      <c r="BR10" s="542" t="s">
        <v>2668</v>
      </c>
      <c r="BS10" s="542"/>
      <c r="BT10" s="542" t="s">
        <v>2670</v>
      </c>
      <c r="BU10" s="542" t="s">
        <v>2671</v>
      </c>
      <c r="BV10" s="306" t="s">
        <v>2672</v>
      </c>
      <c r="BW10" s="307" t="s">
        <v>2673</v>
      </c>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row>
    <row r="11" spans="1:178" ht="14.1" customHeight="1">
      <c r="A11" s="54"/>
      <c r="B11" s="64"/>
      <c r="C11" s="333"/>
      <c r="D11" s="64"/>
      <c r="E11" s="231"/>
      <c r="F11" s="890"/>
      <c r="G11" s="890"/>
      <c r="H11" s="890"/>
      <c r="I11" s="890"/>
      <c r="J11" s="890"/>
      <c r="K11" s="890"/>
      <c r="L11" s="890"/>
      <c r="M11" s="890"/>
      <c r="N11" s="890"/>
      <c r="O11" s="890"/>
      <c r="P11" s="890"/>
      <c r="Q11" s="890"/>
      <c r="R11" s="890"/>
      <c r="S11" s="890"/>
      <c r="T11" s="890"/>
      <c r="U11" s="890"/>
      <c r="V11" s="890"/>
      <c r="W11" s="890"/>
      <c r="X11" s="890"/>
      <c r="Y11" s="890"/>
      <c r="Z11" s="890"/>
      <c r="AA11" s="890"/>
      <c r="AB11" s="208"/>
      <c r="AC11" s="204"/>
      <c r="AD11" s="891"/>
      <c r="AE11" s="892"/>
      <c r="AF11" s="892"/>
      <c r="AG11" s="893"/>
      <c r="AH11" s="333"/>
      <c r="AI11" s="64"/>
      <c r="AJ11" s="43" t="str">
        <f>IF(AND($B11&gt;0,$D11&gt;0),"SEER2","")</f>
        <v/>
      </c>
      <c r="AK11" s="64"/>
      <c r="AL11" s="43" t="str">
        <f>IF(AND($B11&gt;0,$D11&gt;0),"HSPF2","")</f>
        <v/>
      </c>
      <c r="AM11" s="43"/>
      <c r="AN11" s="43"/>
      <c r="AO11" s="204"/>
      <c r="AP11" s="55" t="str">
        <f t="shared" ref="AP11:AP20" si="0">IF(AND(B11="",AI11="",AK11=""),"",15.2)</f>
        <v/>
      </c>
      <c r="AQ11" s="43" t="str">
        <f>IF(OR(AP11="N/A",AP11=""),"","SEER2")</f>
        <v/>
      </c>
      <c r="AR11" s="55" t="str">
        <f t="shared" ref="AR11:AR20" si="1">IF(AND(B11="",AI11="",AK11=""),"",7.8)</f>
        <v/>
      </c>
      <c r="AS11" s="43" t="str">
        <f>IF(OR(AR11="N/A",AR11=""),"","HSPF2")</f>
        <v/>
      </c>
      <c r="AT11" s="43"/>
      <c r="AU11" s="43"/>
      <c r="AV11" s="43"/>
      <c r="AW11" s="894" t="str">
        <f t="shared" ref="AW11:AW20" si="2">IF(AR11="N/A",IF($AP11&lt;=AI11,"Qualified","Not Qualified"),IF(AND($AP11="",$AR11=""),"",IF(AND($AP11&lt;=$AI11,$AR11&lt;=$AK11),"Qualified","Not Qualified")))</f>
        <v/>
      </c>
      <c r="AX11" s="894"/>
      <c r="AY11" s="532"/>
      <c r="AZ11" s="43"/>
      <c r="BA11" s="532"/>
      <c r="BB11" s="43"/>
      <c r="BC11" s="43"/>
      <c r="BD11" s="43"/>
      <c r="BE11" s="894"/>
      <c r="BF11" s="894"/>
      <c r="BG11" s="157" t="s">
        <v>142</v>
      </c>
      <c r="BH11" s="895" t="str">
        <f t="shared" ref="BH11:BH20" si="3">IF(AND($BT$1&lt;&gt;"Electric",B11&gt;0),$BT$1,IF(AW11="Qualified",IF($AD$7="","Exist System",D11*B11*125),""))</f>
        <v/>
      </c>
      <c r="BI11" s="895"/>
      <c r="BJ11" s="582"/>
      <c r="BM11" s="296">
        <f>COUNTIF(AW10:AW20,"Qualified")</f>
        <v>0</v>
      </c>
      <c r="BQ11" s="298" t="str">
        <f>IF($BR$1="ID",812.14, IF($BR$1="OR",1071.03,""))</f>
        <v/>
      </c>
      <c r="BR11" s="298" t="str">
        <f>IF($BR$1="ID",252.07, IF($BR$1="OR",275.13,""))</f>
        <v/>
      </c>
      <c r="BS11" s="298"/>
      <c r="BT11" s="298" t="str">
        <f>IF($BR$1="ID",252.07, IF($BR$1="OR",275.13,""))</f>
        <v/>
      </c>
      <c r="BU11" s="298" t="str">
        <f>IF($BR$1="ID",234/1000, IF($BR$1="OR",234/1000,""))</f>
        <v/>
      </c>
      <c r="BV11" s="617">
        <f t="shared" ref="BV11:BV20" si="4">IF($BT$1&lt;&gt;"Electric",0,IF(AW11="Qualified",IF($AD$6="Electric",IF($AD$7="Electric resistance",BQ11,IF($AD$7="Electric Heat Pump",BR11,0)),BT11)*(B11*D11),0))</f>
        <v>0</v>
      </c>
      <c r="BW11" s="301">
        <f t="shared" ref="BW11:BW20" si="5">IF($BT$1&lt;&gt;"Electric",0,IF(AW11="Qualified",BU11*(B11*D11),0))</f>
        <v>0</v>
      </c>
      <c r="BY11" s="94"/>
      <c r="BZ11" s="94"/>
      <c r="CA11" s="94"/>
      <c r="CB11" s="102"/>
      <c r="CC11" s="102"/>
      <c r="CD11" s="102"/>
      <c r="CE11" s="102"/>
      <c r="CF11" s="102"/>
      <c r="CG11" s="102"/>
      <c r="CH11" s="102"/>
      <c r="CI11" s="102"/>
      <c r="CJ11" s="102"/>
      <c r="CK11" s="102"/>
      <c r="CL11" s="102"/>
      <c r="CM11" s="102"/>
      <c r="CN11" s="94"/>
      <c r="CO11" s="94"/>
      <c r="CP11" s="94"/>
      <c r="CQ11" s="94"/>
      <c r="CR11" s="94"/>
      <c r="CS11" s="94"/>
      <c r="CT11" s="94"/>
      <c r="CU11" s="94"/>
      <c r="CV11" s="94"/>
      <c r="CW11" s="94"/>
      <c r="CX11" s="94"/>
      <c r="CY11" s="94"/>
      <c r="CZ11" s="94"/>
    </row>
    <row r="12" spans="1:178" ht="14.1" customHeight="1">
      <c r="A12" s="54"/>
      <c r="B12" s="64"/>
      <c r="C12" s="333"/>
      <c r="D12" s="64"/>
      <c r="E12" s="231"/>
      <c r="F12" s="890"/>
      <c r="G12" s="890"/>
      <c r="H12" s="890"/>
      <c r="I12" s="890"/>
      <c r="J12" s="890"/>
      <c r="K12" s="890"/>
      <c r="L12" s="890"/>
      <c r="M12" s="890"/>
      <c r="N12" s="890"/>
      <c r="O12" s="890"/>
      <c r="P12" s="890"/>
      <c r="Q12" s="890"/>
      <c r="R12" s="890"/>
      <c r="S12" s="890"/>
      <c r="T12" s="890"/>
      <c r="U12" s="890"/>
      <c r="V12" s="890"/>
      <c r="W12" s="890"/>
      <c r="X12" s="890"/>
      <c r="Y12" s="890"/>
      <c r="Z12" s="890"/>
      <c r="AA12" s="890"/>
      <c r="AB12" s="208"/>
      <c r="AC12" s="204"/>
      <c r="AD12" s="891"/>
      <c r="AE12" s="892"/>
      <c r="AF12" s="892"/>
      <c r="AG12" s="893"/>
      <c r="AH12" s="333"/>
      <c r="AI12" s="64"/>
      <c r="AJ12" s="43" t="str">
        <f t="shared" ref="AJ12:AJ20" si="6">IF(AND($B12&gt;0,$D12&gt;0),"SEER2","")</f>
        <v/>
      </c>
      <c r="AK12" s="64"/>
      <c r="AL12" s="43" t="str">
        <f t="shared" ref="AL12:AL20" si="7">IF(AND($B12&gt;0,$D12&gt;0),"HSPF2","")</f>
        <v/>
      </c>
      <c r="AM12" s="43"/>
      <c r="AN12" s="43"/>
      <c r="AO12" s="204"/>
      <c r="AP12" s="55" t="str">
        <f t="shared" si="0"/>
        <v/>
      </c>
      <c r="AQ12" s="43" t="str">
        <f t="shared" ref="AQ12:AQ20" si="8">IF(OR(AP12="N/A",AP12=""),"","SEER2")</f>
        <v/>
      </c>
      <c r="AR12" s="55" t="str">
        <f t="shared" si="1"/>
        <v/>
      </c>
      <c r="AS12" s="43" t="str">
        <f t="shared" ref="AS12:AS20" si="9">IF(OR(AR12="N/A",AR12=""),"","HSPF2")</f>
        <v/>
      </c>
      <c r="AT12" s="43"/>
      <c r="AU12" s="43"/>
      <c r="AV12" s="43"/>
      <c r="AW12" s="894" t="str">
        <f t="shared" si="2"/>
        <v/>
      </c>
      <c r="AX12" s="894"/>
      <c r="AY12" s="532"/>
      <c r="AZ12" s="43"/>
      <c r="BA12" s="532"/>
      <c r="BB12" s="43"/>
      <c r="BC12" s="43"/>
      <c r="BD12" s="43"/>
      <c r="BE12" s="894"/>
      <c r="BF12" s="894"/>
      <c r="BG12" s="157" t="s">
        <v>142</v>
      </c>
      <c r="BH12" s="895" t="str">
        <f t="shared" si="3"/>
        <v/>
      </c>
      <c r="BI12" s="895"/>
      <c r="BJ12" s="582"/>
      <c r="BQ12" s="298" t="str">
        <f t="shared" ref="BQ12:BQ20" si="10">IF($BR$1="ID",812.14, IF($BR$1="OR",1071.03,""))</f>
        <v/>
      </c>
      <c r="BR12" s="298" t="str">
        <f t="shared" ref="BR12:BR20" si="11">IF($BR$1="ID",252.07, IF($BR$1="OR",275.13,""))</f>
        <v/>
      </c>
      <c r="BS12" s="298"/>
      <c r="BT12" s="298" t="str">
        <f t="shared" ref="BT12:BT20" si="12">IF($BR$1="ID",252.07, IF($BR$1="OR",275.13,""))</f>
        <v/>
      </c>
      <c r="BU12" s="298" t="str">
        <f t="shared" ref="BU12:BU20" si="13">IF($BR$1="ID",234/1000, IF($BR$1="OR",234/1000,""))</f>
        <v/>
      </c>
      <c r="BV12" s="617">
        <f t="shared" si="4"/>
        <v>0</v>
      </c>
      <c r="BW12" s="301">
        <f t="shared" si="5"/>
        <v>0</v>
      </c>
      <c r="BY12" s="94"/>
      <c r="BZ12" s="94"/>
      <c r="CA12" s="94"/>
      <c r="CB12" s="102"/>
      <c r="CC12" s="102"/>
      <c r="CD12" s="102"/>
      <c r="CE12" s="102"/>
      <c r="CF12" s="102"/>
      <c r="CG12" s="102"/>
      <c r="CH12" s="102"/>
      <c r="CI12" s="102"/>
      <c r="CJ12" s="102"/>
      <c r="CK12" s="102"/>
      <c r="CL12" s="102"/>
      <c r="CM12" s="102"/>
      <c r="CN12" s="94"/>
      <c r="CO12" s="94"/>
      <c r="CP12" s="94"/>
      <c r="CQ12" s="94"/>
      <c r="CR12" s="94"/>
      <c r="CS12" s="94"/>
      <c r="CT12" s="94"/>
      <c r="CU12" s="94"/>
      <c r="CV12" s="94"/>
      <c r="CW12" s="94"/>
      <c r="CX12" s="94"/>
      <c r="CY12" s="94"/>
      <c r="CZ12" s="94"/>
    </row>
    <row r="13" spans="1:178" ht="14.1" customHeight="1">
      <c r="A13" s="54"/>
      <c r="B13" s="64"/>
      <c r="C13" s="333"/>
      <c r="D13" s="64"/>
      <c r="E13" s="231"/>
      <c r="F13" s="890"/>
      <c r="G13" s="890"/>
      <c r="H13" s="890"/>
      <c r="I13" s="890"/>
      <c r="J13" s="890"/>
      <c r="K13" s="890"/>
      <c r="L13" s="890"/>
      <c r="M13" s="890"/>
      <c r="N13" s="890"/>
      <c r="O13" s="890"/>
      <c r="P13" s="890"/>
      <c r="Q13" s="890"/>
      <c r="R13" s="890"/>
      <c r="S13" s="890"/>
      <c r="T13" s="890"/>
      <c r="U13" s="890"/>
      <c r="V13" s="890"/>
      <c r="W13" s="890"/>
      <c r="X13" s="890"/>
      <c r="Y13" s="890"/>
      <c r="Z13" s="890"/>
      <c r="AA13" s="890"/>
      <c r="AB13" s="208"/>
      <c r="AC13" s="204"/>
      <c r="AD13" s="891"/>
      <c r="AE13" s="892"/>
      <c r="AF13" s="892"/>
      <c r="AG13" s="893"/>
      <c r="AH13" s="333"/>
      <c r="AI13" s="64"/>
      <c r="AJ13" s="43" t="str">
        <f t="shared" si="6"/>
        <v/>
      </c>
      <c r="AK13" s="64"/>
      <c r="AL13" s="43" t="str">
        <f t="shared" si="7"/>
        <v/>
      </c>
      <c r="AM13" s="43"/>
      <c r="AN13" s="43"/>
      <c r="AO13" s="204"/>
      <c r="AP13" s="55" t="str">
        <f t="shared" si="0"/>
        <v/>
      </c>
      <c r="AQ13" s="43" t="str">
        <f t="shared" si="8"/>
        <v/>
      </c>
      <c r="AR13" s="55" t="str">
        <f t="shared" si="1"/>
        <v/>
      </c>
      <c r="AS13" s="43" t="str">
        <f t="shared" si="9"/>
        <v/>
      </c>
      <c r="AT13" s="43"/>
      <c r="AU13" s="43"/>
      <c r="AV13" s="43"/>
      <c r="AW13" s="894" t="str">
        <f t="shared" si="2"/>
        <v/>
      </c>
      <c r="AX13" s="894"/>
      <c r="AY13" s="532"/>
      <c r="AZ13" s="43"/>
      <c r="BA13" s="532"/>
      <c r="BB13" s="43"/>
      <c r="BC13" s="43"/>
      <c r="BD13" s="43"/>
      <c r="BE13" s="894"/>
      <c r="BF13" s="894"/>
      <c r="BG13" s="157" t="s">
        <v>142</v>
      </c>
      <c r="BH13" s="895" t="str">
        <f t="shared" si="3"/>
        <v/>
      </c>
      <c r="BI13" s="895"/>
      <c r="BJ13" s="582"/>
      <c r="BQ13" s="298" t="str">
        <f t="shared" si="10"/>
        <v/>
      </c>
      <c r="BR13" s="298" t="str">
        <f t="shared" si="11"/>
        <v/>
      </c>
      <c r="BS13" s="298"/>
      <c r="BT13" s="298" t="str">
        <f t="shared" si="12"/>
        <v/>
      </c>
      <c r="BU13" s="298" t="str">
        <f t="shared" si="13"/>
        <v/>
      </c>
      <c r="BV13" s="617">
        <f t="shared" si="4"/>
        <v>0</v>
      </c>
      <c r="BW13" s="301">
        <f t="shared" si="5"/>
        <v>0</v>
      </c>
      <c r="BY13" s="94"/>
      <c r="BZ13" s="94"/>
      <c r="CA13" s="94"/>
      <c r="CB13" s="102"/>
      <c r="CC13" s="102"/>
      <c r="CD13" s="102"/>
      <c r="CE13" s="102"/>
      <c r="CF13" s="102"/>
      <c r="CG13" s="102"/>
      <c r="CH13" s="102"/>
      <c r="CI13" s="102"/>
      <c r="CJ13" s="102"/>
      <c r="CK13" s="102"/>
      <c r="CL13" s="102"/>
      <c r="CM13" s="102"/>
      <c r="CN13" s="94"/>
      <c r="CO13" s="94"/>
      <c r="CP13" s="94"/>
      <c r="CQ13" s="94"/>
      <c r="CR13" s="94"/>
      <c r="CS13" s="94"/>
      <c r="CT13" s="94"/>
      <c r="CU13" s="94"/>
      <c r="CV13" s="94"/>
      <c r="CW13" s="94"/>
      <c r="CX13" s="94"/>
      <c r="CY13" s="94"/>
      <c r="CZ13" s="94"/>
    </row>
    <row r="14" spans="1:178" ht="14.1" customHeight="1">
      <c r="A14" s="54"/>
      <c r="B14" s="64"/>
      <c r="C14" s="333"/>
      <c r="D14" s="64"/>
      <c r="E14" s="231"/>
      <c r="F14" s="890"/>
      <c r="G14" s="890"/>
      <c r="H14" s="890"/>
      <c r="I14" s="890"/>
      <c r="J14" s="890"/>
      <c r="K14" s="890"/>
      <c r="L14" s="890"/>
      <c r="M14" s="890"/>
      <c r="N14" s="890"/>
      <c r="O14" s="890"/>
      <c r="P14" s="890"/>
      <c r="Q14" s="890"/>
      <c r="R14" s="890"/>
      <c r="S14" s="890"/>
      <c r="T14" s="890"/>
      <c r="U14" s="890"/>
      <c r="V14" s="890"/>
      <c r="W14" s="890"/>
      <c r="X14" s="890"/>
      <c r="Y14" s="890"/>
      <c r="Z14" s="890"/>
      <c r="AA14" s="890"/>
      <c r="AB14" s="208"/>
      <c r="AC14" s="204"/>
      <c r="AD14" s="891"/>
      <c r="AE14" s="892"/>
      <c r="AF14" s="892"/>
      <c r="AG14" s="893"/>
      <c r="AH14" s="333"/>
      <c r="AI14" s="64"/>
      <c r="AJ14" s="43" t="str">
        <f t="shared" si="6"/>
        <v/>
      </c>
      <c r="AK14" s="64"/>
      <c r="AL14" s="43" t="str">
        <f t="shared" si="7"/>
        <v/>
      </c>
      <c r="AM14" s="43"/>
      <c r="AN14" s="43"/>
      <c r="AO14" s="204"/>
      <c r="AP14" s="55" t="str">
        <f t="shared" si="0"/>
        <v/>
      </c>
      <c r="AQ14" s="43" t="str">
        <f t="shared" si="8"/>
        <v/>
      </c>
      <c r="AR14" s="55" t="str">
        <f t="shared" si="1"/>
        <v/>
      </c>
      <c r="AS14" s="43" t="str">
        <f t="shared" si="9"/>
        <v/>
      </c>
      <c r="AT14" s="43"/>
      <c r="AU14" s="43"/>
      <c r="AV14" s="43"/>
      <c r="AW14" s="894" t="str">
        <f t="shared" si="2"/>
        <v/>
      </c>
      <c r="AX14" s="894"/>
      <c r="AY14" s="532"/>
      <c r="AZ14" s="43"/>
      <c r="BA14" s="532"/>
      <c r="BB14" s="43"/>
      <c r="BC14" s="43"/>
      <c r="BD14" s="43"/>
      <c r="BE14" s="894"/>
      <c r="BF14" s="894"/>
      <c r="BG14" s="157" t="s">
        <v>142</v>
      </c>
      <c r="BH14" s="895" t="str">
        <f t="shared" si="3"/>
        <v/>
      </c>
      <c r="BI14" s="895"/>
      <c r="BJ14" s="582"/>
      <c r="BQ14" s="298" t="str">
        <f t="shared" si="10"/>
        <v/>
      </c>
      <c r="BR14" s="298" t="str">
        <f t="shared" si="11"/>
        <v/>
      </c>
      <c r="BS14" s="298"/>
      <c r="BT14" s="298" t="str">
        <f t="shared" si="12"/>
        <v/>
      </c>
      <c r="BU14" s="298" t="str">
        <f t="shared" si="13"/>
        <v/>
      </c>
      <c r="BV14" s="617">
        <f t="shared" si="4"/>
        <v>0</v>
      </c>
      <c r="BW14" s="301">
        <f t="shared" si="5"/>
        <v>0</v>
      </c>
      <c r="BY14" s="94"/>
      <c r="BZ14" s="94"/>
      <c r="CA14" s="94"/>
      <c r="CB14" s="102"/>
      <c r="CC14" s="102"/>
      <c r="CD14" s="102"/>
      <c r="CE14" s="102"/>
      <c r="CF14" s="102"/>
      <c r="CG14" s="102"/>
      <c r="CH14" s="102"/>
      <c r="CI14" s="102"/>
      <c r="CJ14" s="102"/>
      <c r="CK14" s="102"/>
      <c r="CL14" s="102"/>
      <c r="CM14" s="102"/>
      <c r="CN14" s="94"/>
      <c r="CO14" s="94"/>
      <c r="CP14" s="94"/>
      <c r="CQ14" s="94"/>
      <c r="CR14" s="94"/>
      <c r="CS14" s="94"/>
      <c r="CT14" s="94"/>
      <c r="CU14" s="94"/>
      <c r="CV14" s="94"/>
      <c r="CW14" s="94"/>
      <c r="CX14" s="94"/>
      <c r="CY14" s="94"/>
      <c r="CZ14" s="94"/>
    </row>
    <row r="15" spans="1:178" ht="14.1" customHeight="1">
      <c r="A15" s="54"/>
      <c r="B15" s="64"/>
      <c r="C15" s="333"/>
      <c r="D15" s="64"/>
      <c r="E15" s="231"/>
      <c r="F15" s="890"/>
      <c r="G15" s="890"/>
      <c r="H15" s="890"/>
      <c r="I15" s="890"/>
      <c r="J15" s="890"/>
      <c r="K15" s="890"/>
      <c r="L15" s="890"/>
      <c r="M15" s="890"/>
      <c r="N15" s="890"/>
      <c r="O15" s="890"/>
      <c r="P15" s="890"/>
      <c r="Q15" s="890"/>
      <c r="R15" s="890"/>
      <c r="S15" s="890"/>
      <c r="T15" s="890"/>
      <c r="U15" s="890"/>
      <c r="V15" s="890"/>
      <c r="W15" s="890"/>
      <c r="X15" s="890"/>
      <c r="Y15" s="890"/>
      <c r="Z15" s="890"/>
      <c r="AA15" s="890"/>
      <c r="AB15" s="208"/>
      <c r="AC15" s="204"/>
      <c r="AD15" s="891"/>
      <c r="AE15" s="892"/>
      <c r="AF15" s="892"/>
      <c r="AG15" s="893"/>
      <c r="AH15" s="333"/>
      <c r="AI15" s="64"/>
      <c r="AJ15" s="43" t="str">
        <f t="shared" si="6"/>
        <v/>
      </c>
      <c r="AK15" s="64"/>
      <c r="AL15" s="43" t="str">
        <f t="shared" si="7"/>
        <v/>
      </c>
      <c r="AM15" s="43"/>
      <c r="AN15" s="43"/>
      <c r="AO15" s="204"/>
      <c r="AP15" s="55" t="str">
        <f t="shared" si="0"/>
        <v/>
      </c>
      <c r="AQ15" s="43" t="str">
        <f t="shared" si="8"/>
        <v/>
      </c>
      <c r="AR15" s="55" t="str">
        <f t="shared" si="1"/>
        <v/>
      </c>
      <c r="AS15" s="43" t="str">
        <f t="shared" si="9"/>
        <v/>
      </c>
      <c r="AT15" s="43"/>
      <c r="AU15" s="43"/>
      <c r="AV15" s="43"/>
      <c r="AW15" s="894" t="str">
        <f t="shared" si="2"/>
        <v/>
      </c>
      <c r="AX15" s="894"/>
      <c r="AY15" s="532"/>
      <c r="AZ15" s="43"/>
      <c r="BA15" s="532"/>
      <c r="BB15" s="43"/>
      <c r="BC15" s="43"/>
      <c r="BD15" s="43"/>
      <c r="BE15" s="894"/>
      <c r="BF15" s="894"/>
      <c r="BG15" s="157" t="s">
        <v>142</v>
      </c>
      <c r="BH15" s="895" t="str">
        <f t="shared" si="3"/>
        <v/>
      </c>
      <c r="BI15" s="895"/>
      <c r="BJ15" s="582"/>
      <c r="BQ15" s="298" t="str">
        <f t="shared" si="10"/>
        <v/>
      </c>
      <c r="BR15" s="298" t="str">
        <f t="shared" si="11"/>
        <v/>
      </c>
      <c r="BS15" s="298"/>
      <c r="BT15" s="298" t="str">
        <f t="shared" si="12"/>
        <v/>
      </c>
      <c r="BU15" s="298" t="str">
        <f t="shared" si="13"/>
        <v/>
      </c>
      <c r="BV15" s="617">
        <f t="shared" si="4"/>
        <v>0</v>
      </c>
      <c r="BW15" s="301">
        <f t="shared" si="5"/>
        <v>0</v>
      </c>
      <c r="BY15" s="94"/>
      <c r="BZ15" s="94"/>
      <c r="CA15" s="94"/>
      <c r="CB15" s="102"/>
      <c r="CC15" s="102"/>
      <c r="CD15" s="102"/>
      <c r="CE15" s="102"/>
      <c r="CF15" s="102"/>
      <c r="CG15" s="102"/>
      <c r="CH15" s="102"/>
      <c r="CI15" s="102"/>
      <c r="CJ15" s="102"/>
      <c r="CK15" s="102"/>
      <c r="CL15" s="102"/>
      <c r="CM15" s="102"/>
      <c r="CN15" s="94"/>
      <c r="CO15" s="94"/>
      <c r="CP15" s="94"/>
      <c r="CQ15" s="94"/>
      <c r="CR15" s="94"/>
      <c r="CS15" s="94"/>
      <c r="CT15" s="94"/>
      <c r="CU15" s="94"/>
      <c r="CV15" s="94"/>
      <c r="CW15" s="94"/>
      <c r="CX15" s="94"/>
      <c r="CY15" s="94"/>
      <c r="CZ15" s="94"/>
    </row>
    <row r="16" spans="1:178" ht="14.1" customHeight="1">
      <c r="A16" s="54"/>
      <c r="B16" s="64"/>
      <c r="C16" s="333"/>
      <c r="D16" s="64"/>
      <c r="E16" s="231"/>
      <c r="F16" s="890"/>
      <c r="G16" s="890"/>
      <c r="H16" s="890"/>
      <c r="I16" s="890"/>
      <c r="J16" s="890"/>
      <c r="K16" s="890"/>
      <c r="L16" s="890"/>
      <c r="M16" s="890"/>
      <c r="N16" s="890"/>
      <c r="O16" s="890"/>
      <c r="P16" s="890"/>
      <c r="Q16" s="890"/>
      <c r="R16" s="890"/>
      <c r="S16" s="890"/>
      <c r="T16" s="890"/>
      <c r="U16" s="890"/>
      <c r="V16" s="890"/>
      <c r="W16" s="890"/>
      <c r="X16" s="890"/>
      <c r="Y16" s="890"/>
      <c r="Z16" s="890"/>
      <c r="AA16" s="890"/>
      <c r="AB16" s="208"/>
      <c r="AC16" s="204"/>
      <c r="AD16" s="891"/>
      <c r="AE16" s="892"/>
      <c r="AF16" s="892"/>
      <c r="AG16" s="893"/>
      <c r="AH16" s="333"/>
      <c r="AI16" s="64"/>
      <c r="AJ16" s="43" t="str">
        <f t="shared" si="6"/>
        <v/>
      </c>
      <c r="AK16" s="64"/>
      <c r="AL16" s="43" t="str">
        <f t="shared" si="7"/>
        <v/>
      </c>
      <c r="AM16" s="43"/>
      <c r="AN16" s="43"/>
      <c r="AO16" s="204"/>
      <c r="AP16" s="55" t="str">
        <f t="shared" si="0"/>
        <v/>
      </c>
      <c r="AQ16" s="43" t="str">
        <f t="shared" si="8"/>
        <v/>
      </c>
      <c r="AR16" s="55" t="str">
        <f t="shared" si="1"/>
        <v/>
      </c>
      <c r="AS16" s="43" t="str">
        <f t="shared" si="9"/>
        <v/>
      </c>
      <c r="AT16" s="43"/>
      <c r="AU16" s="43"/>
      <c r="AV16" s="43"/>
      <c r="AW16" s="894" t="str">
        <f t="shared" si="2"/>
        <v/>
      </c>
      <c r="AX16" s="894"/>
      <c r="AY16" s="532"/>
      <c r="AZ16" s="43"/>
      <c r="BA16" s="532"/>
      <c r="BB16" s="43"/>
      <c r="BC16" s="43"/>
      <c r="BD16" s="43"/>
      <c r="BE16" s="894"/>
      <c r="BF16" s="894"/>
      <c r="BG16" s="157" t="s">
        <v>142</v>
      </c>
      <c r="BH16" s="895" t="str">
        <f t="shared" si="3"/>
        <v/>
      </c>
      <c r="BI16" s="895"/>
      <c r="BJ16" s="582"/>
      <c r="BQ16" s="298" t="str">
        <f t="shared" si="10"/>
        <v/>
      </c>
      <c r="BR16" s="298" t="str">
        <f t="shared" si="11"/>
        <v/>
      </c>
      <c r="BS16" s="298"/>
      <c r="BT16" s="298" t="str">
        <f t="shared" si="12"/>
        <v/>
      </c>
      <c r="BU16" s="298" t="str">
        <f t="shared" si="13"/>
        <v/>
      </c>
      <c r="BV16" s="617">
        <f t="shared" si="4"/>
        <v>0</v>
      </c>
      <c r="BW16" s="301">
        <f t="shared" si="5"/>
        <v>0</v>
      </c>
      <c r="BY16" s="94"/>
      <c r="BZ16" s="94"/>
      <c r="CA16" s="94"/>
      <c r="CB16" s="102"/>
      <c r="CC16" s="102"/>
      <c r="CD16" s="102"/>
      <c r="CE16" s="102"/>
      <c r="CF16" s="102"/>
      <c r="CG16" s="102"/>
      <c r="CH16" s="102"/>
      <c r="CI16" s="102"/>
      <c r="CJ16" s="102"/>
      <c r="CK16" s="102"/>
      <c r="CL16" s="102"/>
      <c r="CM16" s="102"/>
      <c r="CN16" s="94"/>
      <c r="CO16" s="94"/>
      <c r="CP16" s="94"/>
      <c r="CQ16" s="94"/>
      <c r="CR16" s="94"/>
      <c r="CS16" s="94"/>
      <c r="CT16" s="94"/>
      <c r="CU16" s="94"/>
      <c r="CV16" s="94"/>
      <c r="CW16" s="94"/>
      <c r="CX16" s="94"/>
      <c r="CY16" s="94"/>
      <c r="CZ16" s="94"/>
    </row>
    <row r="17" spans="1:178" ht="14.1" customHeight="1">
      <c r="A17" s="54"/>
      <c r="B17" s="64"/>
      <c r="C17" s="333"/>
      <c r="D17" s="64"/>
      <c r="E17" s="231"/>
      <c r="F17" s="890"/>
      <c r="G17" s="890"/>
      <c r="H17" s="890"/>
      <c r="I17" s="890"/>
      <c r="J17" s="890"/>
      <c r="K17" s="890"/>
      <c r="L17" s="890"/>
      <c r="M17" s="890"/>
      <c r="N17" s="890"/>
      <c r="O17" s="890"/>
      <c r="P17" s="890"/>
      <c r="Q17" s="890"/>
      <c r="R17" s="890"/>
      <c r="S17" s="890"/>
      <c r="T17" s="890"/>
      <c r="U17" s="890"/>
      <c r="V17" s="890"/>
      <c r="W17" s="890"/>
      <c r="X17" s="890"/>
      <c r="Y17" s="890"/>
      <c r="Z17" s="890"/>
      <c r="AA17" s="890"/>
      <c r="AB17" s="208"/>
      <c r="AC17" s="204"/>
      <c r="AD17" s="891"/>
      <c r="AE17" s="892"/>
      <c r="AF17" s="892"/>
      <c r="AG17" s="893"/>
      <c r="AH17" s="333"/>
      <c r="AI17" s="64"/>
      <c r="AJ17" s="43" t="str">
        <f t="shared" si="6"/>
        <v/>
      </c>
      <c r="AK17" s="64"/>
      <c r="AL17" s="43" t="str">
        <f t="shared" si="7"/>
        <v/>
      </c>
      <c r="AM17" s="43"/>
      <c r="AN17" s="43"/>
      <c r="AO17" s="204"/>
      <c r="AP17" s="55" t="str">
        <f t="shared" si="0"/>
        <v/>
      </c>
      <c r="AQ17" s="43" t="str">
        <f t="shared" si="8"/>
        <v/>
      </c>
      <c r="AR17" s="55" t="str">
        <f t="shared" si="1"/>
        <v/>
      </c>
      <c r="AS17" s="43" t="str">
        <f t="shared" si="9"/>
        <v/>
      </c>
      <c r="AT17" s="43"/>
      <c r="AU17" s="43"/>
      <c r="AV17" s="43"/>
      <c r="AW17" s="894" t="str">
        <f t="shared" si="2"/>
        <v/>
      </c>
      <c r="AX17" s="894"/>
      <c r="AY17" s="532"/>
      <c r="AZ17" s="43"/>
      <c r="BA17" s="532"/>
      <c r="BB17" s="43"/>
      <c r="BC17" s="43"/>
      <c r="BD17" s="43"/>
      <c r="BE17" s="894"/>
      <c r="BF17" s="894"/>
      <c r="BG17" s="157" t="s">
        <v>142</v>
      </c>
      <c r="BH17" s="895" t="str">
        <f t="shared" si="3"/>
        <v/>
      </c>
      <c r="BI17" s="895"/>
      <c r="BJ17" s="582"/>
      <c r="BQ17" s="298" t="str">
        <f t="shared" si="10"/>
        <v/>
      </c>
      <c r="BR17" s="298" t="str">
        <f t="shared" si="11"/>
        <v/>
      </c>
      <c r="BS17" s="298"/>
      <c r="BT17" s="298" t="str">
        <f t="shared" si="12"/>
        <v/>
      </c>
      <c r="BU17" s="298" t="str">
        <f t="shared" si="13"/>
        <v/>
      </c>
      <c r="BV17" s="617">
        <f t="shared" si="4"/>
        <v>0</v>
      </c>
      <c r="BW17" s="301">
        <f t="shared" si="5"/>
        <v>0</v>
      </c>
      <c r="BY17" s="94"/>
      <c r="BZ17" s="94"/>
      <c r="CA17" s="94"/>
      <c r="CB17" s="102"/>
      <c r="CC17" s="102"/>
      <c r="CD17" s="102"/>
      <c r="CE17" s="102"/>
      <c r="CF17" s="102"/>
      <c r="CG17" s="102"/>
      <c r="CH17" s="102"/>
      <c r="CI17" s="102"/>
      <c r="CJ17" s="102"/>
      <c r="CK17" s="102"/>
      <c r="CL17" s="102"/>
      <c r="CM17" s="102"/>
      <c r="CN17" s="94"/>
      <c r="CO17" s="94"/>
      <c r="CP17" s="94"/>
      <c r="CQ17" s="94"/>
      <c r="CR17" s="94"/>
      <c r="CS17" s="94"/>
      <c r="CT17" s="94"/>
      <c r="CU17" s="94"/>
      <c r="CV17" s="94"/>
      <c r="CW17" s="94"/>
      <c r="CX17" s="94"/>
      <c r="CY17" s="94"/>
      <c r="CZ17" s="94"/>
    </row>
    <row r="18" spans="1:178" ht="14.1" customHeight="1">
      <c r="A18" s="54"/>
      <c r="B18" s="64"/>
      <c r="C18" s="333"/>
      <c r="D18" s="64"/>
      <c r="E18" s="231"/>
      <c r="F18" s="890"/>
      <c r="G18" s="890"/>
      <c r="H18" s="890"/>
      <c r="I18" s="890"/>
      <c r="J18" s="890"/>
      <c r="K18" s="890"/>
      <c r="L18" s="890"/>
      <c r="M18" s="890"/>
      <c r="N18" s="890"/>
      <c r="O18" s="890"/>
      <c r="P18" s="890"/>
      <c r="Q18" s="890"/>
      <c r="R18" s="890"/>
      <c r="S18" s="890"/>
      <c r="T18" s="890"/>
      <c r="U18" s="890"/>
      <c r="V18" s="890"/>
      <c r="W18" s="890"/>
      <c r="X18" s="890"/>
      <c r="Y18" s="890"/>
      <c r="Z18" s="890"/>
      <c r="AA18" s="890"/>
      <c r="AB18" s="208"/>
      <c r="AC18" s="204"/>
      <c r="AD18" s="891"/>
      <c r="AE18" s="892"/>
      <c r="AF18" s="892"/>
      <c r="AG18" s="893"/>
      <c r="AH18" s="333"/>
      <c r="AI18" s="64"/>
      <c r="AJ18" s="43" t="str">
        <f t="shared" si="6"/>
        <v/>
      </c>
      <c r="AK18" s="64"/>
      <c r="AL18" s="43" t="str">
        <f t="shared" si="7"/>
        <v/>
      </c>
      <c r="AM18" s="43"/>
      <c r="AN18" s="43"/>
      <c r="AO18" s="204"/>
      <c r="AP18" s="55" t="str">
        <f t="shared" si="0"/>
        <v/>
      </c>
      <c r="AQ18" s="43" t="str">
        <f t="shared" si="8"/>
        <v/>
      </c>
      <c r="AR18" s="55" t="str">
        <f t="shared" si="1"/>
        <v/>
      </c>
      <c r="AS18" s="43" t="str">
        <f t="shared" si="9"/>
        <v/>
      </c>
      <c r="AT18" s="43"/>
      <c r="AU18" s="43"/>
      <c r="AV18" s="43"/>
      <c r="AW18" s="894" t="str">
        <f t="shared" si="2"/>
        <v/>
      </c>
      <c r="AX18" s="894"/>
      <c r="AY18" s="532"/>
      <c r="AZ18" s="43"/>
      <c r="BA18" s="532"/>
      <c r="BB18" s="43"/>
      <c r="BC18" s="43"/>
      <c r="BD18" s="43"/>
      <c r="BE18" s="894"/>
      <c r="BF18" s="894"/>
      <c r="BG18" s="157" t="s">
        <v>142</v>
      </c>
      <c r="BH18" s="895" t="str">
        <f t="shared" si="3"/>
        <v/>
      </c>
      <c r="BI18" s="895"/>
      <c r="BJ18" s="582"/>
      <c r="BQ18" s="298" t="str">
        <f t="shared" si="10"/>
        <v/>
      </c>
      <c r="BR18" s="298" t="str">
        <f t="shared" si="11"/>
        <v/>
      </c>
      <c r="BS18" s="298"/>
      <c r="BT18" s="298" t="str">
        <f t="shared" si="12"/>
        <v/>
      </c>
      <c r="BU18" s="298" t="str">
        <f t="shared" si="13"/>
        <v/>
      </c>
      <c r="BV18" s="617">
        <f t="shared" si="4"/>
        <v>0</v>
      </c>
      <c r="BW18" s="301">
        <f t="shared" si="5"/>
        <v>0</v>
      </c>
      <c r="BY18" s="94"/>
      <c r="BZ18" s="94"/>
      <c r="CA18" s="94"/>
      <c r="CB18" s="102"/>
      <c r="CC18" s="102"/>
      <c r="CD18" s="102"/>
      <c r="CE18" s="102"/>
      <c r="CF18" s="102"/>
      <c r="CG18" s="102"/>
      <c r="CH18" s="102"/>
      <c r="CI18" s="102"/>
      <c r="CJ18" s="102"/>
      <c r="CK18" s="102"/>
      <c r="CL18" s="102"/>
      <c r="CM18" s="102"/>
      <c r="CN18" s="94"/>
      <c r="CO18" s="94"/>
      <c r="CP18" s="94"/>
      <c r="CQ18" s="94"/>
      <c r="CR18" s="94"/>
      <c r="CS18" s="94"/>
      <c r="CT18" s="94"/>
      <c r="CU18" s="94"/>
      <c r="CV18" s="94"/>
      <c r="CW18" s="94"/>
      <c r="CX18" s="94"/>
      <c r="CY18" s="94"/>
      <c r="CZ18" s="94"/>
    </row>
    <row r="19" spans="1:178" ht="14.1" customHeight="1">
      <c r="A19" s="54"/>
      <c r="B19" s="64"/>
      <c r="C19" s="333"/>
      <c r="D19" s="64"/>
      <c r="E19" s="231"/>
      <c r="F19" s="890"/>
      <c r="G19" s="890"/>
      <c r="H19" s="890"/>
      <c r="I19" s="890"/>
      <c r="J19" s="890"/>
      <c r="K19" s="890"/>
      <c r="L19" s="890"/>
      <c r="M19" s="890"/>
      <c r="N19" s="890"/>
      <c r="O19" s="890"/>
      <c r="P19" s="890"/>
      <c r="Q19" s="890"/>
      <c r="R19" s="890"/>
      <c r="S19" s="890"/>
      <c r="T19" s="890"/>
      <c r="U19" s="890"/>
      <c r="V19" s="890"/>
      <c r="W19" s="890"/>
      <c r="X19" s="890"/>
      <c r="Y19" s="890"/>
      <c r="Z19" s="890"/>
      <c r="AA19" s="890"/>
      <c r="AB19" s="208"/>
      <c r="AC19" s="204"/>
      <c r="AD19" s="891"/>
      <c r="AE19" s="892"/>
      <c r="AF19" s="892"/>
      <c r="AG19" s="893"/>
      <c r="AH19" s="333"/>
      <c r="AI19" s="64"/>
      <c r="AJ19" s="43" t="str">
        <f t="shared" si="6"/>
        <v/>
      </c>
      <c r="AK19" s="64"/>
      <c r="AL19" s="43" t="str">
        <f t="shared" si="7"/>
        <v/>
      </c>
      <c r="AM19" s="43"/>
      <c r="AN19" s="43"/>
      <c r="AO19" s="204"/>
      <c r="AP19" s="55" t="str">
        <f t="shared" si="0"/>
        <v/>
      </c>
      <c r="AQ19" s="43" t="str">
        <f t="shared" si="8"/>
        <v/>
      </c>
      <c r="AR19" s="55" t="str">
        <f t="shared" si="1"/>
        <v/>
      </c>
      <c r="AS19" s="43" t="str">
        <f t="shared" si="9"/>
        <v/>
      </c>
      <c r="AT19" s="43"/>
      <c r="AU19" s="43"/>
      <c r="AV19" s="43"/>
      <c r="AW19" s="894" t="str">
        <f t="shared" si="2"/>
        <v/>
      </c>
      <c r="AX19" s="894"/>
      <c r="AY19" s="532"/>
      <c r="AZ19" s="43"/>
      <c r="BA19" s="532"/>
      <c r="BB19" s="43"/>
      <c r="BC19" s="43"/>
      <c r="BD19" s="43"/>
      <c r="BE19" s="894"/>
      <c r="BF19" s="894"/>
      <c r="BG19" s="157" t="s">
        <v>142</v>
      </c>
      <c r="BH19" s="895" t="str">
        <f t="shared" si="3"/>
        <v/>
      </c>
      <c r="BI19" s="895"/>
      <c r="BJ19" s="582"/>
      <c r="BQ19" s="298" t="str">
        <f t="shared" si="10"/>
        <v/>
      </c>
      <c r="BR19" s="298" t="str">
        <f t="shared" si="11"/>
        <v/>
      </c>
      <c r="BS19" s="298"/>
      <c r="BT19" s="298" t="str">
        <f t="shared" si="12"/>
        <v/>
      </c>
      <c r="BU19" s="298" t="str">
        <f t="shared" si="13"/>
        <v/>
      </c>
      <c r="BV19" s="617">
        <f t="shared" si="4"/>
        <v>0</v>
      </c>
      <c r="BW19" s="301">
        <f t="shared" si="5"/>
        <v>0</v>
      </c>
      <c r="BY19" s="94"/>
      <c r="BZ19" s="94"/>
      <c r="CA19" s="94"/>
      <c r="CB19" s="102"/>
      <c r="CC19" s="102"/>
      <c r="CD19" s="102"/>
      <c r="CE19" s="102"/>
      <c r="CF19" s="102"/>
      <c r="CG19" s="102"/>
      <c r="CH19" s="102"/>
      <c r="CI19" s="102"/>
      <c r="CJ19" s="102"/>
      <c r="CK19" s="102"/>
      <c r="CL19" s="102"/>
      <c r="CM19" s="102"/>
      <c r="CN19" s="94"/>
      <c r="CO19" s="94"/>
      <c r="CP19" s="94"/>
      <c r="CQ19" s="94"/>
      <c r="CR19" s="94"/>
      <c r="CS19" s="94"/>
      <c r="CT19" s="94"/>
      <c r="CU19" s="94"/>
      <c r="CV19" s="94"/>
      <c r="CW19" s="94"/>
      <c r="CX19" s="94"/>
      <c r="CY19" s="94"/>
      <c r="CZ19" s="94"/>
    </row>
    <row r="20" spans="1:178" ht="14.1" customHeight="1">
      <c r="A20" s="54"/>
      <c r="B20" s="64"/>
      <c r="C20" s="333"/>
      <c r="D20" s="64"/>
      <c r="E20" s="231"/>
      <c r="F20" s="890"/>
      <c r="G20" s="890"/>
      <c r="H20" s="890"/>
      <c r="I20" s="890"/>
      <c r="J20" s="890"/>
      <c r="K20" s="890"/>
      <c r="L20" s="890"/>
      <c r="M20" s="890"/>
      <c r="N20" s="890"/>
      <c r="O20" s="890"/>
      <c r="P20" s="890"/>
      <c r="Q20" s="890"/>
      <c r="R20" s="890"/>
      <c r="S20" s="890"/>
      <c r="T20" s="890"/>
      <c r="U20" s="890"/>
      <c r="V20" s="890"/>
      <c r="W20" s="890"/>
      <c r="X20" s="890"/>
      <c r="Y20" s="890"/>
      <c r="Z20" s="890"/>
      <c r="AA20" s="890"/>
      <c r="AB20" s="208"/>
      <c r="AC20" s="204"/>
      <c r="AD20" s="891"/>
      <c r="AE20" s="892"/>
      <c r="AF20" s="892"/>
      <c r="AG20" s="893"/>
      <c r="AH20" s="333"/>
      <c r="AI20" s="64"/>
      <c r="AJ20" s="43" t="str">
        <f t="shared" si="6"/>
        <v/>
      </c>
      <c r="AK20" s="64"/>
      <c r="AL20" s="43" t="str">
        <f t="shared" si="7"/>
        <v/>
      </c>
      <c r="AM20" s="43"/>
      <c r="AN20" s="43"/>
      <c r="AO20" s="204"/>
      <c r="AP20" s="55" t="str">
        <f t="shared" si="0"/>
        <v/>
      </c>
      <c r="AQ20" s="43" t="str">
        <f t="shared" si="8"/>
        <v/>
      </c>
      <c r="AR20" s="55" t="str">
        <f t="shared" si="1"/>
        <v/>
      </c>
      <c r="AS20" s="43" t="str">
        <f t="shared" si="9"/>
        <v/>
      </c>
      <c r="AT20" s="43"/>
      <c r="AU20" s="43"/>
      <c r="AV20" s="43"/>
      <c r="AW20" s="894" t="str">
        <f t="shared" si="2"/>
        <v/>
      </c>
      <c r="AX20" s="894"/>
      <c r="AY20" s="532"/>
      <c r="AZ20" s="43"/>
      <c r="BA20" s="532"/>
      <c r="BB20" s="43"/>
      <c r="BC20" s="43"/>
      <c r="BD20" s="43"/>
      <c r="BE20" s="894"/>
      <c r="BF20" s="894"/>
      <c r="BG20" s="157" t="s">
        <v>142</v>
      </c>
      <c r="BH20" s="895" t="str">
        <f t="shared" si="3"/>
        <v/>
      </c>
      <c r="BI20" s="895"/>
      <c r="BJ20" s="582"/>
      <c r="BQ20" s="298" t="str">
        <f t="shared" si="10"/>
        <v/>
      </c>
      <c r="BR20" s="298" t="str">
        <f t="shared" si="11"/>
        <v/>
      </c>
      <c r="BS20" s="298"/>
      <c r="BT20" s="298" t="str">
        <f t="shared" si="12"/>
        <v/>
      </c>
      <c r="BU20" s="298" t="str">
        <f t="shared" si="13"/>
        <v/>
      </c>
      <c r="BV20" s="617">
        <f t="shared" si="4"/>
        <v>0</v>
      </c>
      <c r="BW20" s="301">
        <f t="shared" si="5"/>
        <v>0</v>
      </c>
      <c r="BY20" s="94"/>
      <c r="BZ20" s="94"/>
      <c r="CA20" s="94"/>
      <c r="CB20" s="102"/>
      <c r="CC20" s="102"/>
      <c r="CD20" s="102"/>
      <c r="CE20" s="102"/>
      <c r="CF20" s="102"/>
      <c r="CG20" s="102"/>
      <c r="CH20" s="102"/>
      <c r="CI20" s="102"/>
      <c r="CJ20" s="102"/>
      <c r="CK20" s="102"/>
      <c r="CL20" s="102"/>
      <c r="CM20" s="102"/>
      <c r="CN20" s="94"/>
      <c r="CO20" s="94"/>
      <c r="CP20" s="94"/>
      <c r="CQ20" s="94"/>
      <c r="CR20" s="94"/>
      <c r="CS20" s="94"/>
      <c r="CT20" s="94"/>
      <c r="CU20" s="94"/>
      <c r="CV20" s="94"/>
      <c r="CW20" s="94"/>
      <c r="CX20" s="94"/>
      <c r="CY20" s="94"/>
      <c r="CZ20" s="94"/>
    </row>
    <row r="21" spans="1:178" s="22" customFormat="1" ht="13.5" thickBot="1">
      <c r="A21" s="583"/>
      <c r="B21" s="534"/>
      <c r="C21" s="534"/>
      <c r="D21" s="534"/>
      <c r="E21" s="534"/>
      <c r="F21" s="534"/>
      <c r="G21" s="534"/>
      <c r="H21" s="534"/>
      <c r="I21" s="534"/>
      <c r="J21" s="534"/>
      <c r="K21" s="534"/>
      <c r="L21" s="534"/>
      <c r="M21" s="534"/>
      <c r="N21" s="534"/>
      <c r="O21" s="534"/>
      <c r="P21" s="534"/>
      <c r="Q21" s="534"/>
      <c r="R21" s="534"/>
      <c r="S21" s="534"/>
      <c r="T21" s="534"/>
      <c r="U21" s="534"/>
      <c r="V21" s="534"/>
      <c r="W21" s="534"/>
      <c r="X21" s="534"/>
      <c r="Y21" s="534"/>
      <c r="Z21" s="534"/>
      <c r="AA21" s="534"/>
      <c r="AB21" s="534"/>
      <c r="AC21" s="534"/>
      <c r="AD21" s="534"/>
      <c r="AE21" s="534"/>
      <c r="AF21" s="534"/>
      <c r="AG21" s="534"/>
      <c r="AH21" s="534"/>
      <c r="AI21" s="534"/>
      <c r="AJ21" s="534"/>
      <c r="AK21" s="534"/>
      <c r="AL21" s="534"/>
      <c r="AM21" s="534"/>
      <c r="AN21" s="534"/>
      <c r="AO21" s="534"/>
      <c r="AP21" s="534"/>
      <c r="AQ21" s="534"/>
      <c r="AR21" s="534"/>
      <c r="AS21" s="534"/>
      <c r="AT21" s="534"/>
      <c r="AU21" s="534"/>
      <c r="AV21" s="534"/>
      <c r="AW21" s="534"/>
      <c r="AX21" s="534"/>
      <c r="AY21" s="534"/>
      <c r="AZ21" s="534"/>
      <c r="BA21" s="534"/>
      <c r="BB21" s="534"/>
      <c r="BC21" s="534"/>
      <c r="BD21" s="534"/>
      <c r="BE21" s="534"/>
      <c r="BF21" s="534"/>
      <c r="BG21" s="535"/>
      <c r="BH21" s="535"/>
      <c r="BI21" s="535"/>
      <c r="BJ21" s="536"/>
      <c r="BK21" s="1"/>
      <c r="BL21" s="1"/>
      <c r="BM21" s="1"/>
      <c r="BN21" s="1"/>
      <c r="BQ21" s="533"/>
      <c r="BR21" s="533"/>
      <c r="BS21" s="533"/>
      <c r="BT21" s="533"/>
      <c r="BU21" s="533"/>
      <c r="BV21" s="304" t="s">
        <v>2674</v>
      </c>
      <c r="BW21" s="304" t="s">
        <v>2675</v>
      </c>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row>
    <row r="22" spans="1:178" s="22" customFormat="1" ht="12.75">
      <c r="A22" s="381"/>
      <c r="B22" s="381"/>
      <c r="C22" s="381"/>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381"/>
      <c r="AL22" s="381"/>
      <c r="AM22" s="710"/>
      <c r="AN22" s="710"/>
      <c r="AO22" s="381"/>
      <c r="AP22" s="381"/>
      <c r="AQ22" s="381"/>
      <c r="AR22" s="381"/>
      <c r="AS22" s="381"/>
      <c r="AT22" s="710"/>
      <c r="AU22" s="710"/>
      <c r="AV22" s="381"/>
      <c r="AW22" s="381"/>
      <c r="AX22" s="381"/>
      <c r="AY22" s="381"/>
      <c r="AZ22" s="381"/>
      <c r="BA22" s="381"/>
      <c r="BB22" s="25"/>
      <c r="BC22" s="25"/>
      <c r="BD22" s="25"/>
      <c r="BE22" s="25"/>
      <c r="BF22" s="61" t="s">
        <v>2676</v>
      </c>
      <c r="BG22" s="25"/>
      <c r="BH22" s="896" t="str">
        <f>IF(BM11&gt;=1,SUM(BH11:BH20),"")</f>
        <v/>
      </c>
      <c r="BI22" s="896"/>
      <c r="BJ22" s="537"/>
      <c r="BK22" s="1"/>
      <c r="BL22" s="1"/>
      <c r="BM22" s="1"/>
      <c r="BN22" s="1"/>
      <c r="BQ22" s="533"/>
      <c r="BR22" s="533"/>
      <c r="BS22" s="533"/>
      <c r="BT22" s="533"/>
      <c r="BU22" s="533"/>
      <c r="BV22" s="302">
        <f>SUM(BV11:BV20)</f>
        <v>0</v>
      </c>
      <c r="BW22" s="299">
        <f>SUM(BW11:BW20)</f>
        <v>0</v>
      </c>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row>
    <row r="23" spans="1:178" s="22" customFormat="1" ht="16.5" thickBot="1">
      <c r="A23" s="62" t="s">
        <v>2677</v>
      </c>
      <c r="B23" s="208"/>
      <c r="C23" s="208"/>
      <c r="D23" s="208"/>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713"/>
      <c r="AN23" s="713"/>
      <c r="AO23" s="208"/>
      <c r="AP23" s="208"/>
      <c r="AQ23" s="208"/>
      <c r="AR23" s="208"/>
      <c r="AS23" s="208"/>
      <c r="AT23" s="713"/>
      <c r="AU23" s="713"/>
      <c r="AV23" s="208"/>
      <c r="AW23" s="208"/>
      <c r="AX23" s="208"/>
      <c r="AY23" s="208"/>
      <c r="AZ23" s="208"/>
      <c r="BA23" s="208"/>
      <c r="BB23" s="208"/>
      <c r="BC23" s="713"/>
      <c r="BD23" s="713"/>
      <c r="BE23" s="208"/>
      <c r="BF23" s="208"/>
      <c r="BG23" s="530"/>
      <c r="BH23" s="530"/>
      <c r="BI23" s="530"/>
      <c r="BJ23" s="538"/>
      <c r="BK23" s="1"/>
      <c r="BL23" s="1"/>
      <c r="BM23" s="1"/>
      <c r="BN23" s="1"/>
      <c r="BQ23" s="533"/>
      <c r="BR23" s="533"/>
      <c r="BS23" s="533"/>
      <c r="BT23" s="533"/>
      <c r="BU23" s="533"/>
      <c r="BV23" s="533"/>
      <c r="BW23" s="533"/>
      <c r="BY23" s="102"/>
      <c r="BZ23" s="102"/>
      <c r="CA23" s="102"/>
      <c r="CB23" s="208"/>
      <c r="CC23" s="208"/>
      <c r="CD23" s="208"/>
      <c r="CE23" s="208"/>
      <c r="CF23" s="208"/>
      <c r="CG23" s="208"/>
      <c r="CH23" s="208"/>
      <c r="CI23" s="208"/>
      <c r="CJ23" s="208"/>
      <c r="CK23" s="208"/>
      <c r="CL23" s="208"/>
      <c r="CM23" s="102"/>
      <c r="CN23" s="102"/>
      <c r="CO23" s="102"/>
      <c r="CP23" s="102"/>
      <c r="CQ23" s="102"/>
      <c r="CR23" s="102"/>
      <c r="CS23" s="102"/>
      <c r="CT23" s="102"/>
      <c r="CU23" s="102"/>
      <c r="CV23" s="102"/>
      <c r="CW23" s="102"/>
      <c r="CX23" s="102"/>
      <c r="CY23" s="102"/>
      <c r="CZ23" s="102"/>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row>
    <row r="24" spans="1:178" s="22" customFormat="1" ht="15.75">
      <c r="A24" s="543"/>
      <c r="B24" s="381"/>
      <c r="C24" s="381"/>
      <c r="D24" s="381"/>
      <c r="E24" s="381"/>
      <c r="F24" s="381"/>
      <c r="G24" s="381"/>
      <c r="H24" s="381"/>
      <c r="I24" s="381"/>
      <c r="J24" s="381"/>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c r="AL24" s="381"/>
      <c r="AM24" s="710"/>
      <c r="AN24" s="710"/>
      <c r="AO24" s="381"/>
      <c r="AP24" s="905" t="s">
        <v>2655</v>
      </c>
      <c r="AQ24" s="905"/>
      <c r="AR24" s="905"/>
      <c r="AS24" s="905"/>
      <c r="AT24" s="905"/>
      <c r="AU24" s="905"/>
      <c r="AV24" s="905"/>
      <c r="AW24" s="905"/>
      <c r="AX24" s="905"/>
      <c r="AY24" s="905"/>
      <c r="AZ24" s="905"/>
      <c r="BA24" s="905"/>
      <c r="BB24" s="905"/>
      <c r="BC24" s="905"/>
      <c r="BD24" s="905"/>
      <c r="BE24" s="905"/>
      <c r="BF24" s="905"/>
      <c r="BG24" s="881" t="s">
        <v>2678</v>
      </c>
      <c r="BH24" s="881"/>
      <c r="BI24" s="881"/>
      <c r="BJ24" s="225"/>
      <c r="BK24" s="1"/>
      <c r="BL24" s="1"/>
      <c r="BM24" s="1"/>
      <c r="BN24" s="1"/>
      <c r="BQ24" s="906" t="s">
        <v>2679</v>
      </c>
      <c r="BR24" s="907"/>
      <c r="BS24" s="907"/>
      <c r="BT24" s="907"/>
      <c r="BU24" s="907"/>
      <c r="BV24" s="907"/>
      <c r="BW24" s="908"/>
      <c r="BY24" s="102"/>
      <c r="BZ24" s="102"/>
      <c r="CA24" s="102"/>
      <c r="CB24" s="208"/>
      <c r="CC24" s="208"/>
      <c r="CD24" s="208"/>
      <c r="CE24" s="208"/>
      <c r="CF24" s="208"/>
      <c r="CG24" s="208"/>
      <c r="CH24" s="208"/>
      <c r="CI24" s="208"/>
      <c r="CJ24" s="208"/>
      <c r="CK24" s="208"/>
      <c r="CL24" s="208"/>
      <c r="CM24" s="102"/>
      <c r="CN24" s="102"/>
      <c r="CO24" s="102"/>
      <c r="CP24" s="102"/>
      <c r="CQ24" s="102"/>
      <c r="CR24" s="102"/>
      <c r="CS24" s="102"/>
      <c r="CT24" s="102"/>
      <c r="CU24" s="102"/>
      <c r="CV24" s="102"/>
      <c r="CW24" s="102"/>
      <c r="CX24" s="102"/>
      <c r="CY24" s="102"/>
      <c r="CZ24" s="102"/>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row>
    <row r="25" spans="1:178" s="22" customFormat="1" ht="20.45" customHeight="1">
      <c r="A25" s="519"/>
      <c r="B25" s="208"/>
      <c r="C25" s="49"/>
      <c r="D25" s="208"/>
      <c r="E25" s="208"/>
      <c r="F25" s="50"/>
      <c r="G25" s="50"/>
      <c r="H25" s="50"/>
      <c r="I25" s="50"/>
      <c r="J25" s="50"/>
      <c r="K25" s="50"/>
      <c r="L25" s="50"/>
      <c r="M25" s="50"/>
      <c r="N25" s="50"/>
      <c r="O25" s="50"/>
      <c r="P25" s="50"/>
      <c r="Q25" s="208"/>
      <c r="R25" s="546"/>
      <c r="S25" s="546"/>
      <c r="T25" s="546"/>
      <c r="U25" s="546"/>
      <c r="V25" s="204"/>
      <c r="W25" s="909" t="s">
        <v>2680</v>
      </c>
      <c r="X25" s="909"/>
      <c r="Y25" s="909"/>
      <c r="Z25" s="909"/>
      <c r="AA25" s="909"/>
      <c r="AB25" s="909"/>
      <c r="AC25" s="204"/>
      <c r="AD25" s="204"/>
      <c r="AE25" s="204"/>
      <c r="AF25" s="204"/>
      <c r="AG25" s="204"/>
      <c r="AH25" s="51"/>
      <c r="AI25" s="51" t="s">
        <v>2681</v>
      </c>
      <c r="AJ25" s="204"/>
      <c r="AK25" s="52" t="s">
        <v>2682</v>
      </c>
      <c r="AL25" s="204"/>
      <c r="AM25" s="52" t="s">
        <v>3322</v>
      </c>
      <c r="AN25" s="712"/>
      <c r="AO25" s="204"/>
      <c r="AP25" s="910" t="s">
        <v>2683</v>
      </c>
      <c r="AQ25" s="910"/>
      <c r="AR25" s="910"/>
      <c r="AS25" s="910"/>
      <c r="AT25" s="910"/>
      <c r="AU25" s="910"/>
      <c r="AV25" s="910"/>
      <c r="AW25" s="910"/>
      <c r="AX25" s="910"/>
      <c r="AY25" s="910" t="s">
        <v>2684</v>
      </c>
      <c r="AZ25" s="910"/>
      <c r="BA25" s="910"/>
      <c r="BB25" s="910"/>
      <c r="BC25" s="910"/>
      <c r="BD25" s="910"/>
      <c r="BE25" s="910"/>
      <c r="BF25" s="910"/>
      <c r="BG25" s="882"/>
      <c r="BH25" s="882"/>
      <c r="BI25" s="882"/>
      <c r="BJ25" s="53"/>
      <c r="BK25" s="1"/>
      <c r="BL25" s="1"/>
      <c r="BM25" s="1"/>
      <c r="BN25" s="1"/>
      <c r="BQ25" s="84"/>
      <c r="BR25" s="84"/>
      <c r="BS25" s="84"/>
      <c r="BT25" s="84"/>
      <c r="BU25" s="84"/>
      <c r="BV25" s="84"/>
      <c r="BW25" s="84"/>
      <c r="BY25" s="102"/>
      <c r="BZ25" s="102"/>
      <c r="CA25" s="102"/>
      <c r="CB25" s="200"/>
      <c r="CC25" s="200"/>
      <c r="CD25" s="200"/>
      <c r="CE25" s="200"/>
      <c r="CF25" s="204"/>
      <c r="CG25" s="909" t="s">
        <v>2680</v>
      </c>
      <c r="CH25" s="909"/>
      <c r="CI25" s="909"/>
      <c r="CJ25" s="909"/>
      <c r="CK25" s="909"/>
      <c r="CL25" s="909"/>
      <c r="CM25" s="102"/>
      <c r="CN25" s="102"/>
      <c r="CO25" s="102"/>
      <c r="CP25" s="102"/>
      <c r="CQ25" s="102"/>
      <c r="CR25" s="102"/>
      <c r="CS25" s="102"/>
      <c r="CT25" s="102"/>
      <c r="CU25" s="102"/>
      <c r="CV25" s="102"/>
      <c r="CW25" s="102"/>
      <c r="CX25" s="102"/>
      <c r="CY25" s="102"/>
      <c r="CZ25" s="102"/>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row>
    <row r="26" spans="1:178" s="22" customFormat="1" ht="24.6" customHeight="1">
      <c r="A26" s="48"/>
      <c r="B26" s="159" t="s">
        <v>2661</v>
      </c>
      <c r="C26" s="411"/>
      <c r="D26" s="159" t="s">
        <v>2662</v>
      </c>
      <c r="E26" s="159"/>
      <c r="F26" s="159" t="s">
        <v>2663</v>
      </c>
      <c r="G26" s="50"/>
      <c r="H26" s="50"/>
      <c r="I26" s="50"/>
      <c r="J26" s="50"/>
      <c r="K26" s="50"/>
      <c r="L26" s="50"/>
      <c r="M26" s="50"/>
      <c r="N26" s="50"/>
      <c r="O26" s="50"/>
      <c r="P26" s="50"/>
      <c r="Q26" s="208"/>
      <c r="R26" s="546"/>
      <c r="S26" s="546"/>
      <c r="T26" s="546"/>
      <c r="U26" s="546"/>
      <c r="V26" s="204"/>
      <c r="W26" s="909"/>
      <c r="X26" s="909"/>
      <c r="Y26" s="909"/>
      <c r="Z26" s="909"/>
      <c r="AA26" s="909"/>
      <c r="AB26" s="909"/>
      <c r="AC26" s="204"/>
      <c r="AD26" s="159" t="s">
        <v>2664</v>
      </c>
      <c r="AE26" s="197"/>
      <c r="AF26" s="159"/>
      <c r="AG26" s="159"/>
      <c r="AH26" s="410"/>
      <c r="AI26" s="159" t="s">
        <v>2665</v>
      </c>
      <c r="AJ26" s="197"/>
      <c r="AK26" s="159" t="s">
        <v>2665</v>
      </c>
      <c r="AL26" s="204"/>
      <c r="AM26" s="159" t="s">
        <v>2665</v>
      </c>
      <c r="AN26" s="712"/>
      <c r="AO26" s="204"/>
      <c r="AP26" s="911" t="s">
        <v>2685</v>
      </c>
      <c r="AQ26" s="911"/>
      <c r="AR26" s="911"/>
      <c r="AS26" s="911"/>
      <c r="AT26" s="911"/>
      <c r="AU26" s="911"/>
      <c r="AV26" s="911"/>
      <c r="AW26" s="911"/>
      <c r="AX26" s="50"/>
      <c r="AY26" s="911" t="s">
        <v>2686</v>
      </c>
      <c r="AZ26" s="911"/>
      <c r="BA26" s="911"/>
      <c r="BB26" s="911"/>
      <c r="BC26" s="911"/>
      <c r="BD26" s="911"/>
      <c r="BE26" s="911"/>
      <c r="BF26" s="50"/>
      <c r="BG26" s="882"/>
      <c r="BH26" s="882"/>
      <c r="BI26" s="882"/>
      <c r="BJ26" s="53"/>
      <c r="BK26" s="1"/>
      <c r="BL26" s="1"/>
      <c r="BM26" s="1"/>
      <c r="BN26" s="1"/>
      <c r="BQ26" s="542" t="s">
        <v>2667</v>
      </c>
      <c r="BR26" s="542" t="s">
        <v>2668</v>
      </c>
      <c r="BS26" s="542"/>
      <c r="BT26" s="542" t="s">
        <v>2670</v>
      </c>
      <c r="BU26" s="542" t="s">
        <v>2671</v>
      </c>
      <c r="BV26" s="306" t="s">
        <v>2687</v>
      </c>
      <c r="BW26" s="307" t="s">
        <v>2688</v>
      </c>
      <c r="BY26" s="102"/>
      <c r="BZ26" s="102"/>
      <c r="CA26" s="102"/>
      <c r="CB26" s="200"/>
      <c r="CC26" s="200"/>
      <c r="CD26" s="200"/>
      <c r="CE26" s="200"/>
      <c r="CF26" s="204"/>
      <c r="CG26" s="909"/>
      <c r="CH26" s="909"/>
      <c r="CI26" s="909"/>
      <c r="CJ26" s="909"/>
      <c r="CK26" s="909"/>
      <c r="CL26" s="909"/>
      <c r="CM26" s="102"/>
      <c r="CN26" s="102"/>
      <c r="CO26" s="102"/>
      <c r="CP26" s="102"/>
      <c r="CQ26" s="102"/>
      <c r="CR26" s="102"/>
      <c r="CS26" s="102"/>
      <c r="CT26" s="102"/>
      <c r="CU26" s="102"/>
      <c r="CV26" s="102"/>
      <c r="CW26" s="102"/>
      <c r="CX26" s="102"/>
      <c r="CY26" s="102"/>
      <c r="CZ26" s="102"/>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row>
    <row r="27" spans="1:178" ht="14.1" customHeight="1">
      <c r="A27" s="54"/>
      <c r="B27" s="64"/>
      <c r="C27" s="333"/>
      <c r="D27" s="64"/>
      <c r="E27" s="231"/>
      <c r="F27" s="890"/>
      <c r="G27" s="890"/>
      <c r="H27" s="890"/>
      <c r="I27" s="890"/>
      <c r="J27" s="890"/>
      <c r="K27" s="890"/>
      <c r="L27" s="890"/>
      <c r="M27" s="890"/>
      <c r="N27" s="890"/>
      <c r="O27" s="890"/>
      <c r="P27" s="890"/>
      <c r="Q27" s="890"/>
      <c r="R27" s="890"/>
      <c r="S27" s="890"/>
      <c r="T27" s="890"/>
      <c r="U27" s="890"/>
      <c r="V27" s="382"/>
      <c r="W27" s="900" t="str">
        <f>'HVAC Efficiency Tables'!$AI249</f>
        <v/>
      </c>
      <c r="X27" s="901"/>
      <c r="Y27" s="901"/>
      <c r="Z27" s="901"/>
      <c r="AA27" s="901"/>
      <c r="AB27" s="902"/>
      <c r="AC27" s="204"/>
      <c r="AD27" s="890"/>
      <c r="AE27" s="890"/>
      <c r="AF27" s="890"/>
      <c r="AG27" s="890"/>
      <c r="AH27" s="333"/>
      <c r="AI27" s="64"/>
      <c r="AJ27" s="43" t="str">
        <f t="shared" ref="AJ27:AJ36" si="14">IF(OR(D27="",AW27="Ineligible"),"","SEER")</f>
        <v/>
      </c>
      <c r="AK27" s="64"/>
      <c r="AL27" s="43" t="str">
        <f t="shared" ref="AL27:AL36" si="15">IF(OR(B27="",AW27="Ineligible",AR27="N/A"),"",IF(D27&lt;=5,"EER","IEER"))</f>
        <v/>
      </c>
      <c r="AM27" s="64"/>
      <c r="AN27" s="43" t="str">
        <f>IF(OR(D27="",$BT$1&lt;&gt;"Electric"),"","HSPF")</f>
        <v/>
      </c>
      <c r="AO27" s="204"/>
      <c r="AP27" s="55" t="str">
        <f>IFERROR(IF(OR(D27="",W27="",W27="Please Select"),"",VLOOKUP('HVAC Efficiency Tables'!AG249&amp;'HVAC Efficiency Tables'!AH249&amp;W27,HVACEfficiencies,3,FALSE)),"")</f>
        <v/>
      </c>
      <c r="AQ27" s="43" t="str">
        <f>IF(OR(AP27="N/A",AP27=""),"","SEER")</f>
        <v/>
      </c>
      <c r="AR27" s="55" t="str">
        <f>IFERROR(IF(OR(D27="",W27="",W27="Please Select"),"",VLOOKUP('HVAC Efficiency Tables'!AG249&amp;'HVAC Efficiency Tables'!AH249&amp;W27,HVACEfficiencies,8,FALSE)),"")</f>
        <v/>
      </c>
      <c r="AS27" s="43" t="str">
        <f t="shared" ref="AS27:AS36" si="16">IF(OR(AR27="N/A",AR27=""),"",IF(D27&lt;=5,"EER","IEER"))</f>
        <v/>
      </c>
      <c r="AT27" s="702" t="str">
        <f>IFERROR(IF(OR(D27="",W27="",W27="Please Select"),"",VLOOKUP('HVAC Efficiency Tables'!AG249&amp;'HVAC Efficiency Tables'!AH249&amp;W27,HVACEfficiencies,12,FALSE)),"")</f>
        <v/>
      </c>
      <c r="AU27" s="43" t="str">
        <f>IF(OR(AT27="N/A",AT27=""),"","HSPF")</f>
        <v/>
      </c>
      <c r="AV27" s="43"/>
      <c r="AW27" s="894" t="str">
        <f>IF(AND(AY27&lt;=AI27,BA27&lt;=AR27),"",IF(OR(AI27="",$AP27="",AP27="N/A",AM27=""),"",IF(AND($AY27&lt;=AI27,$BA27&lt;=AK27),"",IF(AND($AP27&lt;=AI27,OR($AR27&lt;=AK27,$AR27="N/A"),$AT27&lt;=AM27),"Qualified","Not Qualified"))))</f>
        <v/>
      </c>
      <c r="AX27" s="894"/>
      <c r="AY27" s="55" t="str">
        <f>IFERROR(IF(OR(D27="",W27="",W27="Please Select"),"",VLOOKUP('HVAC Efficiency Tables'!AG249&amp;'HVAC Efficiency Tables'!AH249&amp;W27,HVACEfficiencies,5,FALSE)),"")</f>
        <v/>
      </c>
      <c r="AZ27" s="43" t="str">
        <f>IF(OR(AY27="N/A",AY27=""),"","SEER")</f>
        <v/>
      </c>
      <c r="BA27" s="55" t="str">
        <f>IFERROR(IF(OR(D27="",W27="",W27="Please Select"),"",VLOOKUP('HVAC Efficiency Tables'!AG249&amp;'HVAC Efficiency Tables'!AH249&amp;W27,HVACEfficiencies,9,FALSE)),"")</f>
        <v/>
      </c>
      <c r="BB27" s="43" t="str">
        <f t="shared" ref="BB27:BB36" si="17">IF(OR(BA27="N/A",BA27=""),"",IF(D27&lt;=5,"EER","IEER"))</f>
        <v/>
      </c>
      <c r="BC27" s="702" t="str">
        <f>IFERROR(IF(OR(D27="",W27="",W27="Please Select"),"",VLOOKUP('HVAC Efficiency Tables'!AG249&amp;'HVAC Efficiency Tables'!AH249&amp;W27,HVACEfficiencies,13,FALSE)),"")</f>
        <v/>
      </c>
      <c r="BD27" s="43" t="str">
        <f>IF(OR(BC27="N/A",BC27=""),"","HSPF")</f>
        <v/>
      </c>
      <c r="BE27" s="894" t="str">
        <f t="shared" ref="BE27:BE36" si="18">IF(OR(AI27="",$AY27="",$AY27="N/A"),"",IF(AND($AY27&lt;=AI27,OR($BA27&lt;=AK27,$BA27="N/A")),"Qualified","Not Qualified"))</f>
        <v/>
      </c>
      <c r="BF27" s="894"/>
      <c r="BG27" s="157" t="s">
        <v>142</v>
      </c>
      <c r="BH27" s="895" t="str">
        <f t="shared" ref="BH27:BH36" si="19">IF(AND($BT$1&lt;&gt;"Electric",B27&gt;0),$BT$1,IF(AW27="Qualified",D27*B27*75,IF(BE27="Qualified",B27*D27*125,"")))</f>
        <v/>
      </c>
      <c r="BI27" s="895"/>
      <c r="BJ27" s="582"/>
      <c r="BM27" s="296">
        <f>COUNTIF(AW26:AW36,"Qualified")+COUNTIF(BE26:BE36,"Qualified")</f>
        <v>0</v>
      </c>
      <c r="BQ27" s="298" t="b">
        <f>IF($BR$1="ID",IF($AW27="Qualified",635.8,IF($BE27="Qualified",663.04,"")),IF($BR$1="OR",IF($AW27="Qualified",881.78,IF($BE27="Qualified",908.26,""))))</f>
        <v>0</v>
      </c>
      <c r="BR27" s="298" t="b">
        <f>IF($BR$1="ID",IF($AW27="Qualified",75.73,IF($BE27="Qualified",102.98,"")),IF($BR$1="OR",IF($AW27="Qualified",85.88,IF($BE27="Qualified",112.36,""))))</f>
        <v>0</v>
      </c>
      <c r="BS27" s="298"/>
      <c r="BT27" s="298" t="b">
        <f>IF($BR$1="ID",IF($AW27="Qualified",75.73,IF($BE27="Qualified",102.98,"")),IF($BR$1="OR",IF($AW27="Qualified",85.88,IF($BE27="Qualified",112.36,""))))</f>
        <v>0</v>
      </c>
      <c r="BU27" s="298" t="b">
        <f>IF($BR$1="ID",IF($AW27="Qualified",61/1000,IF($BE27="Qualified",96/1000,"")),IF($BR$1="OR",IF($AW27="Qualified",61/1000,IF($BE27="Qualified",96/1000,""))))</f>
        <v>0</v>
      </c>
      <c r="BV27" s="617">
        <f t="shared" ref="BV27:BV36" si="20">IF($BT$1&lt;&gt;"Electric",0,IF(OR(AW27="Qualified",BE27="Qualified"),IF($AD$6="Electric",IF($AD$7="Electric resistance",BQ27,IF($AD$7="Electric Heat Pump",BR27,0)),BT27)*(B27*D27),0))</f>
        <v>0</v>
      </c>
      <c r="BW27" s="301">
        <f t="shared" ref="BW27:BW36" si="21">IF($BT$1&lt;&gt;"Electric",0,IF(OR(AW27="Qualified",BE27="Qualified"),BU27*(B27*D27),0))</f>
        <v>0</v>
      </c>
      <c r="BY27" s="94"/>
      <c r="BZ27" s="94"/>
      <c r="CA27" s="94"/>
      <c r="CB27" s="200"/>
      <c r="CC27" s="200"/>
      <c r="CD27" s="200"/>
      <c r="CE27" s="200"/>
      <c r="CF27" s="382"/>
      <c r="CG27" s="900" t="str">
        <f>'HVAC Efficiency Tables'!$AI249</f>
        <v/>
      </c>
      <c r="CH27" s="901"/>
      <c r="CI27" s="901"/>
      <c r="CJ27" s="901"/>
      <c r="CK27" s="901"/>
      <c r="CL27" s="902"/>
      <c r="CM27" s="94"/>
      <c r="CN27" s="94"/>
      <c r="CO27" s="94"/>
      <c r="CP27" s="94"/>
      <c r="CQ27" s="94"/>
      <c r="CR27" s="94"/>
      <c r="CS27" s="94"/>
      <c r="CT27" s="94"/>
      <c r="CU27" s="94"/>
      <c r="CV27" s="94"/>
      <c r="CW27" s="94"/>
      <c r="CX27" s="94"/>
      <c r="CY27" s="94"/>
      <c r="CZ27" s="94"/>
    </row>
    <row r="28" spans="1:178" ht="14.1" customHeight="1">
      <c r="A28" s="54"/>
      <c r="B28" s="64"/>
      <c r="C28" s="333"/>
      <c r="D28" s="64"/>
      <c r="E28" s="231"/>
      <c r="F28" s="890"/>
      <c r="G28" s="890"/>
      <c r="H28" s="890"/>
      <c r="I28" s="890"/>
      <c r="J28" s="890"/>
      <c r="K28" s="890"/>
      <c r="L28" s="890"/>
      <c r="M28" s="890"/>
      <c r="N28" s="890"/>
      <c r="O28" s="890"/>
      <c r="P28" s="890"/>
      <c r="Q28" s="890"/>
      <c r="R28" s="890"/>
      <c r="S28" s="890"/>
      <c r="T28" s="890"/>
      <c r="U28" s="890"/>
      <c r="V28" s="382"/>
      <c r="W28" s="900" t="str">
        <f>'HVAC Efficiency Tables'!$AI250</f>
        <v/>
      </c>
      <c r="X28" s="901"/>
      <c r="Y28" s="901"/>
      <c r="Z28" s="901"/>
      <c r="AA28" s="901"/>
      <c r="AB28" s="902"/>
      <c r="AC28" s="204"/>
      <c r="AD28" s="890"/>
      <c r="AE28" s="890"/>
      <c r="AF28" s="890"/>
      <c r="AG28" s="890"/>
      <c r="AH28" s="333"/>
      <c r="AI28" s="64"/>
      <c r="AJ28" s="43" t="str">
        <f t="shared" si="14"/>
        <v/>
      </c>
      <c r="AK28" s="64"/>
      <c r="AL28" s="43" t="str">
        <f t="shared" si="15"/>
        <v/>
      </c>
      <c r="AM28" s="64"/>
      <c r="AN28" s="43" t="str">
        <f t="shared" ref="AN28:AN36" si="22">IF(OR(D28="",$BT$1&lt;&gt;"Electric"),"","HSPF")</f>
        <v/>
      </c>
      <c r="AO28" s="204"/>
      <c r="AP28" s="55" t="str">
        <f>IFERROR(IF(OR(D28="",W28="",W28="Please Select"),"",VLOOKUP('HVAC Efficiency Tables'!AG250&amp;'HVAC Efficiency Tables'!AH250&amp;W28,HVACEfficiencies,3,FALSE)),"")</f>
        <v/>
      </c>
      <c r="AQ28" s="43" t="str">
        <f t="shared" ref="AQ28:AQ36" si="23">IF(OR(AP28="N/A",AP28=""),"","SEER")</f>
        <v/>
      </c>
      <c r="AR28" s="55" t="str">
        <f>IFERROR(IF(OR(D28="",W28="",W28="Please Select"),"",VLOOKUP('HVAC Efficiency Tables'!AG250&amp;'HVAC Efficiency Tables'!AH250&amp;W28,HVACEfficiencies,8,FALSE)),"")</f>
        <v/>
      </c>
      <c r="AS28" s="43" t="str">
        <f t="shared" si="16"/>
        <v/>
      </c>
      <c r="AT28" s="702" t="str">
        <f>IFERROR(IF(OR(D28="",W28="",W28="Please Select"),"",VLOOKUP('HVAC Efficiency Tables'!AG250&amp;'HVAC Efficiency Tables'!AH250&amp;W28,HVACEfficiencies,12,FALSE)),"")</f>
        <v/>
      </c>
      <c r="AU28" s="43" t="str">
        <f t="shared" ref="AU28:AU36" si="24">IF(OR(AT28="N/A",AT28=""),"","HSPF")</f>
        <v/>
      </c>
      <c r="AV28" s="43"/>
      <c r="AW28" s="894" t="str">
        <f t="shared" ref="AW28:AW36" si="25">IF(AND(AY28&lt;=AI28,BA28&lt;=AR28),"",IF(OR(AI28="",$AP28="",AP28="N/A",AM28=""),"",IF(AND($AY28&lt;=AI28,$BA28&lt;=AK28),"",IF(AND($AP28&lt;=AI28,OR($AR28&lt;=AK28,$AR28="N/A"),$AT28&lt;=AM28),"Qualified","Not Qualified"))))</f>
        <v/>
      </c>
      <c r="AX28" s="894"/>
      <c r="AY28" s="55" t="str">
        <f>IFERROR(IF(OR(D28="",W28="",W28="Please Select"),"",VLOOKUP('HVAC Efficiency Tables'!AG250&amp;'HVAC Efficiency Tables'!AH250&amp;W28,HVACEfficiencies,5,FALSE)),"")</f>
        <v/>
      </c>
      <c r="AZ28" s="43" t="str">
        <f t="shared" ref="AZ28:AZ36" si="26">IF(OR(AY28="N/A",AY28=""),"","SEER")</f>
        <v/>
      </c>
      <c r="BA28" s="55" t="str">
        <f>IFERROR(IF(OR(D28="",W28="",W28="Please Select"),"",VLOOKUP('HVAC Efficiency Tables'!AG250&amp;'HVAC Efficiency Tables'!AH250&amp;W28,HVACEfficiencies,9,FALSE)),"")</f>
        <v/>
      </c>
      <c r="BB28" s="43" t="str">
        <f t="shared" si="17"/>
        <v/>
      </c>
      <c r="BC28" s="702" t="str">
        <f>IFERROR(IF(OR(D28="",W28="",W28="Please Select"),"",VLOOKUP('HVAC Efficiency Tables'!AG250&amp;'HVAC Efficiency Tables'!AH250&amp;W28,HVACEfficiencies,13,FALSE)),"")</f>
        <v/>
      </c>
      <c r="BD28" s="43" t="str">
        <f t="shared" ref="BD28:BD36" si="27">IF(OR(BC28="N/A",BC28=""),"","HSPF")</f>
        <v/>
      </c>
      <c r="BE28" s="894" t="str">
        <f t="shared" si="18"/>
        <v/>
      </c>
      <c r="BF28" s="894"/>
      <c r="BG28" s="157" t="s">
        <v>142</v>
      </c>
      <c r="BH28" s="895" t="str">
        <f t="shared" si="19"/>
        <v/>
      </c>
      <c r="BI28" s="895"/>
      <c r="BJ28" s="582"/>
      <c r="BQ28" s="298" t="b">
        <f t="shared" ref="BQ28:BQ36" si="28">IF($BR$1="ID",IF($AW28="Qualified",635.8,IF($BE28="Qualified",663.04,"")),IF($BR$1="OR",IF($AW28="Qualified",881.78,IF($BE28="Qualified",908.26,""))))</f>
        <v>0</v>
      </c>
      <c r="BR28" s="298" t="b">
        <f t="shared" ref="BR28:BR36" si="29">IF($BR$1="ID",IF($AW28="Qualified",75.73,IF($BE28="Qualified",102.98,"")),IF($BR$1="OR",IF($AW28="Qualified",85.88,IF($BE28="Qualified",112.36,""))))</f>
        <v>0</v>
      </c>
      <c r="BS28" s="298"/>
      <c r="BT28" s="298" t="b">
        <f t="shared" ref="BT28:BT36" si="30">IF($BR$1="ID",IF($AW28="Qualified",75.73,IF($BE28="Qualified",102.98,"")),IF($BR$1="OR",IF($AW28="Qualified",85.88,IF($BE28="Qualified",112.36,""))))</f>
        <v>0</v>
      </c>
      <c r="BU28" s="298" t="b">
        <f t="shared" ref="BU28:BU36" si="31">IF($BR$1="ID",IF($AW28="Qualified",61/1000,IF($BE28="Qualified",96/1000,"")),IF($BR$1="OR",IF($AW28="Qualified",61/1000,IF($BE28="Qualified",96/1000,""))))</f>
        <v>0</v>
      </c>
      <c r="BV28" s="617">
        <f t="shared" si="20"/>
        <v>0</v>
      </c>
      <c r="BW28" s="301">
        <f t="shared" si="21"/>
        <v>0</v>
      </c>
      <c r="BY28" s="94"/>
      <c r="BZ28" s="94"/>
      <c r="CA28" s="94"/>
      <c r="CB28" s="200"/>
      <c r="CC28" s="200"/>
      <c r="CD28" s="200"/>
      <c r="CE28" s="200"/>
      <c r="CF28" s="382"/>
      <c r="CG28" s="900" t="str">
        <f>'HVAC Efficiency Tables'!$AI250</f>
        <v/>
      </c>
      <c r="CH28" s="901"/>
      <c r="CI28" s="901"/>
      <c r="CJ28" s="901"/>
      <c r="CK28" s="901"/>
      <c r="CL28" s="902"/>
      <c r="CM28" s="94"/>
      <c r="CN28" s="94"/>
      <c r="CO28" s="94"/>
      <c r="CP28" s="94"/>
      <c r="CQ28" s="94"/>
      <c r="CR28" s="94"/>
      <c r="CS28" s="94"/>
      <c r="CT28" s="94"/>
      <c r="CU28" s="94"/>
      <c r="CV28" s="94"/>
      <c r="CW28" s="94"/>
      <c r="CX28" s="94"/>
      <c r="CY28" s="94"/>
      <c r="CZ28" s="94"/>
    </row>
    <row r="29" spans="1:178" ht="14.1" customHeight="1">
      <c r="A29" s="54"/>
      <c r="B29" s="64"/>
      <c r="C29" s="333"/>
      <c r="D29" s="64"/>
      <c r="E29" s="231"/>
      <c r="F29" s="890"/>
      <c r="G29" s="890"/>
      <c r="H29" s="890"/>
      <c r="I29" s="890"/>
      <c r="J29" s="890"/>
      <c r="K29" s="890"/>
      <c r="L29" s="890"/>
      <c r="M29" s="890"/>
      <c r="N29" s="890"/>
      <c r="O29" s="890"/>
      <c r="P29" s="890"/>
      <c r="Q29" s="890"/>
      <c r="R29" s="890"/>
      <c r="S29" s="890"/>
      <c r="T29" s="890"/>
      <c r="U29" s="890"/>
      <c r="V29" s="382"/>
      <c r="W29" s="900" t="str">
        <f>'HVAC Efficiency Tables'!$AI251</f>
        <v/>
      </c>
      <c r="X29" s="901"/>
      <c r="Y29" s="901"/>
      <c r="Z29" s="901"/>
      <c r="AA29" s="901"/>
      <c r="AB29" s="902"/>
      <c r="AC29" s="204"/>
      <c r="AD29" s="890"/>
      <c r="AE29" s="890"/>
      <c r="AF29" s="890"/>
      <c r="AG29" s="890"/>
      <c r="AH29" s="333"/>
      <c r="AI29" s="64"/>
      <c r="AJ29" s="43" t="str">
        <f t="shared" si="14"/>
        <v/>
      </c>
      <c r="AK29" s="64"/>
      <c r="AL29" s="43" t="str">
        <f t="shared" si="15"/>
        <v/>
      </c>
      <c r="AM29" s="64"/>
      <c r="AN29" s="43" t="str">
        <f t="shared" si="22"/>
        <v/>
      </c>
      <c r="AO29" s="204"/>
      <c r="AP29" s="55" t="str">
        <f>IFERROR(IF(OR(D29="",W29="",W29="Please Select"),"",VLOOKUP('HVAC Efficiency Tables'!AG251&amp;'HVAC Efficiency Tables'!AH251&amp;W29,HVACEfficiencies,3,FALSE)),"")</f>
        <v/>
      </c>
      <c r="AQ29" s="43" t="str">
        <f t="shared" si="23"/>
        <v/>
      </c>
      <c r="AR29" s="55" t="str">
        <f>IFERROR(IF(OR(D29="",W29="",W29="Please Select"),"",VLOOKUP('HVAC Efficiency Tables'!AG251&amp;'HVAC Efficiency Tables'!AH251&amp;W29,HVACEfficiencies,8,FALSE)),"")</f>
        <v/>
      </c>
      <c r="AS29" s="43" t="str">
        <f t="shared" si="16"/>
        <v/>
      </c>
      <c r="AT29" s="702" t="str">
        <f>IFERROR(IF(OR(D29="",W29="",W29="Please Select"),"",VLOOKUP('HVAC Efficiency Tables'!AG251&amp;'HVAC Efficiency Tables'!AH251&amp;W29,HVACEfficiencies,12,FALSE)),"")</f>
        <v/>
      </c>
      <c r="AU29" s="43" t="str">
        <f t="shared" si="24"/>
        <v/>
      </c>
      <c r="AV29" s="43"/>
      <c r="AW29" s="894" t="str">
        <f t="shared" si="25"/>
        <v/>
      </c>
      <c r="AX29" s="894"/>
      <c r="AY29" s="55" t="str">
        <f>IFERROR(IF(OR(D29="",W29="",W29="Please Select"),"",VLOOKUP('HVAC Efficiency Tables'!AG251&amp;'HVAC Efficiency Tables'!AH251&amp;W29,HVACEfficiencies,5,FALSE)),"")</f>
        <v/>
      </c>
      <c r="AZ29" s="43" t="str">
        <f t="shared" si="26"/>
        <v/>
      </c>
      <c r="BA29" s="55" t="str">
        <f>IFERROR(IF(OR(D29="",W29="",W29="Please Select"),"",VLOOKUP('HVAC Efficiency Tables'!AG251&amp;'HVAC Efficiency Tables'!AH251&amp;W29,HVACEfficiencies,9,FALSE)),"")</f>
        <v/>
      </c>
      <c r="BB29" s="43" t="str">
        <f t="shared" si="17"/>
        <v/>
      </c>
      <c r="BC29" s="702" t="str">
        <f>IFERROR(IF(OR(D29="",W29="",W29="Please Select"),"",VLOOKUP('HVAC Efficiency Tables'!AG251&amp;'HVAC Efficiency Tables'!AH251&amp;W29,HVACEfficiencies,13,FALSE)),"")</f>
        <v/>
      </c>
      <c r="BD29" s="43" t="str">
        <f t="shared" si="27"/>
        <v/>
      </c>
      <c r="BE29" s="894" t="str">
        <f t="shared" si="18"/>
        <v/>
      </c>
      <c r="BF29" s="894"/>
      <c r="BG29" s="157" t="s">
        <v>142</v>
      </c>
      <c r="BH29" s="895" t="str">
        <f t="shared" si="19"/>
        <v/>
      </c>
      <c r="BI29" s="895"/>
      <c r="BJ29" s="582"/>
      <c r="BQ29" s="298" t="b">
        <f t="shared" si="28"/>
        <v>0</v>
      </c>
      <c r="BR29" s="298" t="b">
        <f t="shared" si="29"/>
        <v>0</v>
      </c>
      <c r="BS29" s="298"/>
      <c r="BT29" s="298" t="b">
        <f t="shared" si="30"/>
        <v>0</v>
      </c>
      <c r="BU29" s="298" t="b">
        <f t="shared" si="31"/>
        <v>0</v>
      </c>
      <c r="BV29" s="617">
        <f t="shared" si="20"/>
        <v>0</v>
      </c>
      <c r="BW29" s="301">
        <f t="shared" si="21"/>
        <v>0</v>
      </c>
      <c r="BY29" s="94"/>
      <c r="BZ29" s="94"/>
      <c r="CA29" s="94"/>
      <c r="CB29" s="200"/>
      <c r="CC29" s="200"/>
      <c r="CD29" s="200"/>
      <c r="CE29" s="200"/>
      <c r="CF29" s="382"/>
      <c r="CG29" s="900" t="str">
        <f>'HVAC Efficiency Tables'!$AI251</f>
        <v/>
      </c>
      <c r="CH29" s="901"/>
      <c r="CI29" s="901"/>
      <c r="CJ29" s="901"/>
      <c r="CK29" s="901"/>
      <c r="CL29" s="902"/>
      <c r="CM29" s="94"/>
      <c r="CN29" s="94"/>
      <c r="CO29" s="94"/>
      <c r="CP29" s="94"/>
      <c r="CQ29" s="94"/>
      <c r="CR29" s="94"/>
      <c r="CS29" s="94"/>
      <c r="CT29" s="94"/>
      <c r="CU29" s="94"/>
      <c r="CV29" s="94"/>
      <c r="CW29" s="94"/>
      <c r="CX29" s="94"/>
      <c r="CY29" s="94"/>
      <c r="CZ29" s="94"/>
    </row>
    <row r="30" spans="1:178" ht="14.1" customHeight="1">
      <c r="A30" s="54"/>
      <c r="B30" s="64"/>
      <c r="C30" s="333"/>
      <c r="D30" s="64"/>
      <c r="E30" s="231"/>
      <c r="F30" s="890"/>
      <c r="G30" s="890"/>
      <c r="H30" s="890"/>
      <c r="I30" s="890"/>
      <c r="J30" s="890"/>
      <c r="K30" s="890"/>
      <c r="L30" s="890"/>
      <c r="M30" s="890"/>
      <c r="N30" s="890"/>
      <c r="O30" s="890"/>
      <c r="P30" s="890"/>
      <c r="Q30" s="890"/>
      <c r="R30" s="890"/>
      <c r="S30" s="890"/>
      <c r="T30" s="890"/>
      <c r="U30" s="890"/>
      <c r="V30" s="382"/>
      <c r="W30" s="900" t="str">
        <f>'HVAC Efficiency Tables'!$AI252</f>
        <v/>
      </c>
      <c r="X30" s="901"/>
      <c r="Y30" s="901"/>
      <c r="Z30" s="901"/>
      <c r="AA30" s="901"/>
      <c r="AB30" s="902"/>
      <c r="AC30" s="204"/>
      <c r="AD30" s="890"/>
      <c r="AE30" s="890"/>
      <c r="AF30" s="890"/>
      <c r="AG30" s="890"/>
      <c r="AH30" s="333"/>
      <c r="AI30" s="64"/>
      <c r="AJ30" s="43" t="str">
        <f t="shared" si="14"/>
        <v/>
      </c>
      <c r="AK30" s="64"/>
      <c r="AL30" s="43" t="str">
        <f t="shared" si="15"/>
        <v/>
      </c>
      <c r="AM30" s="64"/>
      <c r="AN30" s="43" t="str">
        <f t="shared" si="22"/>
        <v/>
      </c>
      <c r="AO30" s="204"/>
      <c r="AP30" s="55" t="str">
        <f>IFERROR(IF(OR(D30="",W30="",W30="Please Select"),"",VLOOKUP('HVAC Efficiency Tables'!AG252&amp;'HVAC Efficiency Tables'!AH252&amp;W30,HVACEfficiencies,3,FALSE)),"")</f>
        <v/>
      </c>
      <c r="AQ30" s="43" t="str">
        <f t="shared" si="23"/>
        <v/>
      </c>
      <c r="AR30" s="55" t="str">
        <f>IFERROR(IF(OR(D30="",W30="",W30="Please Select"),"",VLOOKUP('HVAC Efficiency Tables'!AG252&amp;'HVAC Efficiency Tables'!AH252&amp;W30,HVACEfficiencies,8,FALSE)),"")</f>
        <v/>
      </c>
      <c r="AS30" s="43" t="str">
        <f t="shared" si="16"/>
        <v/>
      </c>
      <c r="AT30" s="702" t="str">
        <f>IFERROR(IF(OR(D30="",W30="",W30="Please Select"),"",VLOOKUP('HVAC Efficiency Tables'!AG252&amp;'HVAC Efficiency Tables'!AH252&amp;W30,HVACEfficiencies,12,FALSE)),"")</f>
        <v/>
      </c>
      <c r="AU30" s="43" t="str">
        <f t="shared" si="24"/>
        <v/>
      </c>
      <c r="AV30" s="43"/>
      <c r="AW30" s="894" t="str">
        <f t="shared" si="25"/>
        <v/>
      </c>
      <c r="AX30" s="894"/>
      <c r="AY30" s="55" t="str">
        <f>IFERROR(IF(OR(D30="",W30="",W30="Please Select"),"",VLOOKUP('HVAC Efficiency Tables'!AG252&amp;'HVAC Efficiency Tables'!AH252&amp;W30,HVACEfficiencies,5,FALSE)),"")</f>
        <v/>
      </c>
      <c r="AZ30" s="43" t="str">
        <f t="shared" si="26"/>
        <v/>
      </c>
      <c r="BA30" s="55" t="str">
        <f>IFERROR(IF(OR(D30="",W30="",W30="Please Select"),"",VLOOKUP('HVAC Efficiency Tables'!AG252&amp;'HVAC Efficiency Tables'!AH252&amp;W30,HVACEfficiencies,9,FALSE)),"")</f>
        <v/>
      </c>
      <c r="BB30" s="43" t="str">
        <f t="shared" si="17"/>
        <v/>
      </c>
      <c r="BC30" s="702" t="str">
        <f>IFERROR(IF(OR(D30="",W30="",W30="Please Select"),"",VLOOKUP('HVAC Efficiency Tables'!AG252&amp;'HVAC Efficiency Tables'!AH252&amp;W30,HVACEfficiencies,13,FALSE)),"")</f>
        <v/>
      </c>
      <c r="BD30" s="43" t="str">
        <f t="shared" si="27"/>
        <v/>
      </c>
      <c r="BE30" s="894" t="str">
        <f t="shared" si="18"/>
        <v/>
      </c>
      <c r="BF30" s="894"/>
      <c r="BG30" s="157" t="s">
        <v>142</v>
      </c>
      <c r="BH30" s="895" t="str">
        <f t="shared" si="19"/>
        <v/>
      </c>
      <c r="BI30" s="895"/>
      <c r="BJ30" s="582"/>
      <c r="BQ30" s="298" t="b">
        <f t="shared" si="28"/>
        <v>0</v>
      </c>
      <c r="BR30" s="298" t="b">
        <f t="shared" si="29"/>
        <v>0</v>
      </c>
      <c r="BS30" s="298"/>
      <c r="BT30" s="298" t="b">
        <f t="shared" si="30"/>
        <v>0</v>
      </c>
      <c r="BU30" s="298" t="b">
        <f t="shared" si="31"/>
        <v>0</v>
      </c>
      <c r="BV30" s="617">
        <f t="shared" si="20"/>
        <v>0</v>
      </c>
      <c r="BW30" s="301">
        <f t="shared" si="21"/>
        <v>0</v>
      </c>
      <c r="BY30" s="94"/>
      <c r="BZ30" s="94"/>
      <c r="CA30" s="94"/>
      <c r="CB30" s="200"/>
      <c r="CC30" s="200"/>
      <c r="CD30" s="200"/>
      <c r="CE30" s="200"/>
      <c r="CF30" s="382"/>
      <c r="CG30" s="900" t="str">
        <f>'HVAC Efficiency Tables'!$AI252</f>
        <v/>
      </c>
      <c r="CH30" s="901"/>
      <c r="CI30" s="901"/>
      <c r="CJ30" s="901"/>
      <c r="CK30" s="901"/>
      <c r="CL30" s="902"/>
      <c r="CM30" s="94"/>
      <c r="CN30" s="94"/>
      <c r="CO30" s="94"/>
      <c r="CP30" s="94"/>
      <c r="CQ30" s="94"/>
      <c r="CR30" s="94"/>
      <c r="CS30" s="94"/>
      <c r="CT30" s="94"/>
      <c r="CU30" s="94"/>
      <c r="CV30" s="94"/>
      <c r="CW30" s="94"/>
      <c r="CX30" s="94"/>
      <c r="CY30" s="94"/>
      <c r="CZ30" s="94"/>
    </row>
    <row r="31" spans="1:178" ht="14.1" customHeight="1">
      <c r="A31" s="54"/>
      <c r="B31" s="64"/>
      <c r="C31" s="333"/>
      <c r="D31" s="64"/>
      <c r="E31" s="231"/>
      <c r="F31" s="890"/>
      <c r="G31" s="890"/>
      <c r="H31" s="890"/>
      <c r="I31" s="890"/>
      <c r="J31" s="890"/>
      <c r="K31" s="890"/>
      <c r="L31" s="890"/>
      <c r="M31" s="890"/>
      <c r="N31" s="890"/>
      <c r="O31" s="890"/>
      <c r="P31" s="890"/>
      <c r="Q31" s="890"/>
      <c r="R31" s="890"/>
      <c r="S31" s="890"/>
      <c r="T31" s="890"/>
      <c r="U31" s="890"/>
      <c r="V31" s="382"/>
      <c r="W31" s="900" t="str">
        <f>'HVAC Efficiency Tables'!$AI253</f>
        <v/>
      </c>
      <c r="X31" s="901"/>
      <c r="Y31" s="901"/>
      <c r="Z31" s="901"/>
      <c r="AA31" s="901"/>
      <c r="AB31" s="902"/>
      <c r="AC31" s="204"/>
      <c r="AD31" s="890"/>
      <c r="AE31" s="890"/>
      <c r="AF31" s="890"/>
      <c r="AG31" s="890"/>
      <c r="AH31" s="333"/>
      <c r="AI31" s="64"/>
      <c r="AJ31" s="43" t="str">
        <f t="shared" si="14"/>
        <v/>
      </c>
      <c r="AK31" s="64"/>
      <c r="AL31" s="43" t="str">
        <f t="shared" si="15"/>
        <v/>
      </c>
      <c r="AM31" s="64"/>
      <c r="AN31" s="43" t="str">
        <f t="shared" si="22"/>
        <v/>
      </c>
      <c r="AO31" s="204"/>
      <c r="AP31" s="55" t="str">
        <f>IFERROR(IF(OR(D31="",W31="",W31="Please Select"),"",VLOOKUP('HVAC Efficiency Tables'!AG253&amp;'HVAC Efficiency Tables'!AH253&amp;W31,HVACEfficiencies,3,FALSE)),"")</f>
        <v/>
      </c>
      <c r="AQ31" s="43" t="str">
        <f t="shared" si="23"/>
        <v/>
      </c>
      <c r="AR31" s="55" t="str">
        <f>IFERROR(IF(OR(D31="",W31="",W31="Please Select"),"",VLOOKUP('HVAC Efficiency Tables'!AG253&amp;'HVAC Efficiency Tables'!AH253&amp;W31,HVACEfficiencies,8,FALSE)),"")</f>
        <v/>
      </c>
      <c r="AS31" s="43" t="str">
        <f t="shared" si="16"/>
        <v/>
      </c>
      <c r="AT31" s="702" t="str">
        <f>IFERROR(IF(OR(D31="",W31="",W31="Please Select"),"",VLOOKUP('HVAC Efficiency Tables'!AG253&amp;'HVAC Efficiency Tables'!AH253&amp;W31,HVACEfficiencies,12,FALSE)),"")</f>
        <v/>
      </c>
      <c r="AU31" s="43" t="str">
        <f t="shared" si="24"/>
        <v/>
      </c>
      <c r="AV31" s="43"/>
      <c r="AW31" s="894" t="str">
        <f t="shared" si="25"/>
        <v/>
      </c>
      <c r="AX31" s="894"/>
      <c r="AY31" s="55" t="str">
        <f>IFERROR(IF(OR(D31="",W31="",W31="Please Select"),"",VLOOKUP('HVAC Efficiency Tables'!AG253&amp;'HVAC Efficiency Tables'!AH253&amp;W31,HVACEfficiencies,5,FALSE)),"")</f>
        <v/>
      </c>
      <c r="AZ31" s="43" t="str">
        <f t="shared" si="26"/>
        <v/>
      </c>
      <c r="BA31" s="55" t="str">
        <f>IFERROR(IF(OR(D31="",W31="",W31="Please Select"),"",VLOOKUP('HVAC Efficiency Tables'!AG253&amp;'HVAC Efficiency Tables'!AH253&amp;W31,HVACEfficiencies,9,FALSE)),"")</f>
        <v/>
      </c>
      <c r="BB31" s="43" t="str">
        <f t="shared" si="17"/>
        <v/>
      </c>
      <c r="BC31" s="702" t="str">
        <f>IFERROR(IF(OR(D31="",W31="",W31="Please Select"),"",VLOOKUP('HVAC Efficiency Tables'!AG253&amp;'HVAC Efficiency Tables'!AH253&amp;W31,HVACEfficiencies,13,FALSE)),"")</f>
        <v/>
      </c>
      <c r="BD31" s="43" t="str">
        <f t="shared" si="27"/>
        <v/>
      </c>
      <c r="BE31" s="894" t="str">
        <f t="shared" si="18"/>
        <v/>
      </c>
      <c r="BF31" s="894"/>
      <c r="BG31" s="157" t="s">
        <v>142</v>
      </c>
      <c r="BH31" s="895" t="str">
        <f t="shared" si="19"/>
        <v/>
      </c>
      <c r="BI31" s="895"/>
      <c r="BJ31" s="582"/>
      <c r="BQ31" s="298" t="b">
        <f t="shared" si="28"/>
        <v>0</v>
      </c>
      <c r="BR31" s="298" t="b">
        <f t="shared" si="29"/>
        <v>0</v>
      </c>
      <c r="BS31" s="298"/>
      <c r="BT31" s="298" t="b">
        <f t="shared" si="30"/>
        <v>0</v>
      </c>
      <c r="BU31" s="298" t="b">
        <f t="shared" si="31"/>
        <v>0</v>
      </c>
      <c r="BV31" s="617">
        <f t="shared" si="20"/>
        <v>0</v>
      </c>
      <c r="BW31" s="301">
        <f t="shared" si="21"/>
        <v>0</v>
      </c>
      <c r="BY31" s="94"/>
      <c r="BZ31" s="94"/>
      <c r="CA31" s="94"/>
      <c r="CB31" s="200"/>
      <c r="CC31" s="200"/>
      <c r="CD31" s="200"/>
      <c r="CE31" s="200"/>
      <c r="CF31" s="382"/>
      <c r="CG31" s="900" t="str">
        <f>'HVAC Efficiency Tables'!$AI253</f>
        <v/>
      </c>
      <c r="CH31" s="901"/>
      <c r="CI31" s="901"/>
      <c r="CJ31" s="901"/>
      <c r="CK31" s="901"/>
      <c r="CL31" s="902"/>
      <c r="CM31" s="94"/>
      <c r="CN31" s="94"/>
      <c r="CO31" s="94"/>
      <c r="CP31" s="94"/>
      <c r="CQ31" s="94"/>
      <c r="CR31" s="94"/>
      <c r="CS31" s="94"/>
      <c r="CT31" s="94"/>
      <c r="CU31" s="94"/>
      <c r="CV31" s="94"/>
      <c r="CW31" s="94"/>
      <c r="CX31" s="94"/>
      <c r="CY31" s="94"/>
      <c r="CZ31" s="94"/>
    </row>
    <row r="32" spans="1:178" ht="14.1" customHeight="1">
      <c r="A32" s="54"/>
      <c r="B32" s="64"/>
      <c r="C32" s="333"/>
      <c r="D32" s="64"/>
      <c r="E32" s="231"/>
      <c r="F32" s="890"/>
      <c r="G32" s="890"/>
      <c r="H32" s="890"/>
      <c r="I32" s="890"/>
      <c r="J32" s="890"/>
      <c r="K32" s="890"/>
      <c r="L32" s="890"/>
      <c r="M32" s="890"/>
      <c r="N32" s="890"/>
      <c r="O32" s="890"/>
      <c r="P32" s="890"/>
      <c r="Q32" s="890"/>
      <c r="R32" s="890"/>
      <c r="S32" s="890"/>
      <c r="T32" s="890"/>
      <c r="U32" s="890"/>
      <c r="V32" s="382"/>
      <c r="W32" s="900" t="str">
        <f>'HVAC Efficiency Tables'!$AI254</f>
        <v/>
      </c>
      <c r="X32" s="901"/>
      <c r="Y32" s="901"/>
      <c r="Z32" s="901"/>
      <c r="AA32" s="901"/>
      <c r="AB32" s="902"/>
      <c r="AC32" s="204"/>
      <c r="AD32" s="890"/>
      <c r="AE32" s="890"/>
      <c r="AF32" s="890"/>
      <c r="AG32" s="890"/>
      <c r="AH32" s="333"/>
      <c r="AI32" s="64"/>
      <c r="AJ32" s="43" t="str">
        <f t="shared" si="14"/>
        <v/>
      </c>
      <c r="AK32" s="64"/>
      <c r="AL32" s="43" t="str">
        <f t="shared" si="15"/>
        <v/>
      </c>
      <c r="AM32" s="64"/>
      <c r="AN32" s="43" t="str">
        <f t="shared" si="22"/>
        <v/>
      </c>
      <c r="AO32" s="204"/>
      <c r="AP32" s="55" t="str">
        <f>IFERROR(IF(OR(D32="",W32="",W32="Please Select"),"",VLOOKUP('HVAC Efficiency Tables'!AG254&amp;'HVAC Efficiency Tables'!AH254&amp;W32,HVACEfficiencies,3,FALSE)),"")</f>
        <v/>
      </c>
      <c r="AQ32" s="43" t="str">
        <f t="shared" si="23"/>
        <v/>
      </c>
      <c r="AR32" s="55" t="str">
        <f>IFERROR(IF(OR(D32="",W32="",W32="Please Select"),"",VLOOKUP('HVAC Efficiency Tables'!AG254&amp;'HVAC Efficiency Tables'!AH254&amp;W32,HVACEfficiencies,8,FALSE)),"")</f>
        <v/>
      </c>
      <c r="AS32" s="43" t="str">
        <f t="shared" si="16"/>
        <v/>
      </c>
      <c r="AT32" s="702" t="str">
        <f>IFERROR(IF(OR(D32="",W32="",W32="Please Select"),"",VLOOKUP('HVAC Efficiency Tables'!AG254&amp;'HVAC Efficiency Tables'!AH254&amp;W32,HVACEfficiencies,12,FALSE)),"")</f>
        <v/>
      </c>
      <c r="AU32" s="43" t="str">
        <f t="shared" si="24"/>
        <v/>
      </c>
      <c r="AV32" s="43"/>
      <c r="AW32" s="894" t="str">
        <f t="shared" si="25"/>
        <v/>
      </c>
      <c r="AX32" s="894"/>
      <c r="AY32" s="55" t="str">
        <f>IFERROR(IF(OR(D32="",W32="",W32="Please Select"),"",VLOOKUP('HVAC Efficiency Tables'!AG254&amp;'HVAC Efficiency Tables'!AH254&amp;W32,HVACEfficiencies,5,FALSE)),"")</f>
        <v/>
      </c>
      <c r="AZ32" s="43" t="str">
        <f t="shared" si="26"/>
        <v/>
      </c>
      <c r="BA32" s="55" t="str">
        <f>IFERROR(IF(OR(D32="",W32="",W32="Please Select"),"",VLOOKUP('HVAC Efficiency Tables'!AG254&amp;'HVAC Efficiency Tables'!AH254&amp;W32,HVACEfficiencies,9,FALSE)),"")</f>
        <v/>
      </c>
      <c r="BB32" s="43" t="str">
        <f t="shared" si="17"/>
        <v/>
      </c>
      <c r="BC32" s="702" t="str">
        <f>IFERROR(IF(OR(D32="",W32="",W32="Please Select"),"",VLOOKUP('HVAC Efficiency Tables'!AG254&amp;'HVAC Efficiency Tables'!AH254&amp;W32,HVACEfficiencies,13,FALSE)),"")</f>
        <v/>
      </c>
      <c r="BD32" s="43" t="str">
        <f t="shared" si="27"/>
        <v/>
      </c>
      <c r="BE32" s="894" t="str">
        <f t="shared" si="18"/>
        <v/>
      </c>
      <c r="BF32" s="894"/>
      <c r="BG32" s="157" t="s">
        <v>142</v>
      </c>
      <c r="BH32" s="895" t="str">
        <f t="shared" si="19"/>
        <v/>
      </c>
      <c r="BI32" s="895"/>
      <c r="BJ32" s="582"/>
      <c r="BQ32" s="298" t="b">
        <f t="shared" si="28"/>
        <v>0</v>
      </c>
      <c r="BR32" s="298" t="b">
        <f t="shared" si="29"/>
        <v>0</v>
      </c>
      <c r="BS32" s="298"/>
      <c r="BT32" s="298" t="b">
        <f t="shared" si="30"/>
        <v>0</v>
      </c>
      <c r="BU32" s="298" t="b">
        <f t="shared" si="31"/>
        <v>0</v>
      </c>
      <c r="BV32" s="617">
        <f t="shared" si="20"/>
        <v>0</v>
      </c>
      <c r="BW32" s="301">
        <f t="shared" si="21"/>
        <v>0</v>
      </c>
      <c r="BY32" s="94"/>
      <c r="BZ32" s="94"/>
      <c r="CA32" s="94"/>
      <c r="CB32" s="200"/>
      <c r="CC32" s="200"/>
      <c r="CD32" s="200"/>
      <c r="CE32" s="200"/>
      <c r="CF32" s="382"/>
      <c r="CG32" s="900" t="str">
        <f>'HVAC Efficiency Tables'!$AI254</f>
        <v/>
      </c>
      <c r="CH32" s="901"/>
      <c r="CI32" s="901"/>
      <c r="CJ32" s="901"/>
      <c r="CK32" s="901"/>
      <c r="CL32" s="902"/>
      <c r="CM32" s="94"/>
      <c r="CN32" s="94"/>
      <c r="CO32" s="94"/>
      <c r="CP32" s="94"/>
      <c r="CQ32" s="94"/>
      <c r="CR32" s="94"/>
      <c r="CS32" s="94"/>
      <c r="CT32" s="94"/>
      <c r="CU32" s="94"/>
      <c r="CV32" s="94"/>
      <c r="CW32" s="94"/>
      <c r="CX32" s="94"/>
      <c r="CY32" s="94"/>
      <c r="CZ32" s="94"/>
    </row>
    <row r="33" spans="1:178" ht="14.1" customHeight="1">
      <c r="A33" s="54"/>
      <c r="B33" s="64"/>
      <c r="C33" s="333"/>
      <c r="D33" s="64"/>
      <c r="E33" s="231"/>
      <c r="F33" s="890"/>
      <c r="G33" s="890"/>
      <c r="H33" s="890"/>
      <c r="I33" s="890"/>
      <c r="J33" s="890"/>
      <c r="K33" s="890"/>
      <c r="L33" s="890"/>
      <c r="M33" s="890"/>
      <c r="N33" s="890"/>
      <c r="O33" s="890"/>
      <c r="P33" s="890"/>
      <c r="Q33" s="890"/>
      <c r="R33" s="890"/>
      <c r="S33" s="890"/>
      <c r="T33" s="890"/>
      <c r="U33" s="890"/>
      <c r="V33" s="382"/>
      <c r="W33" s="900" t="str">
        <f>'HVAC Efficiency Tables'!$AI255</f>
        <v/>
      </c>
      <c r="X33" s="901"/>
      <c r="Y33" s="901"/>
      <c r="Z33" s="901"/>
      <c r="AA33" s="901"/>
      <c r="AB33" s="902"/>
      <c r="AC33" s="204"/>
      <c r="AD33" s="890"/>
      <c r="AE33" s="890"/>
      <c r="AF33" s="890"/>
      <c r="AG33" s="890"/>
      <c r="AH33" s="333"/>
      <c r="AI33" s="64"/>
      <c r="AJ33" s="43" t="str">
        <f t="shared" si="14"/>
        <v/>
      </c>
      <c r="AK33" s="64"/>
      <c r="AL33" s="43" t="str">
        <f t="shared" si="15"/>
        <v/>
      </c>
      <c r="AM33" s="64"/>
      <c r="AN33" s="43" t="str">
        <f t="shared" si="22"/>
        <v/>
      </c>
      <c r="AO33" s="204"/>
      <c r="AP33" s="55" t="str">
        <f>IFERROR(IF(OR(D33="",W33="",W33="Please Select"),"",VLOOKUP('HVAC Efficiency Tables'!AG255&amp;'HVAC Efficiency Tables'!AH255&amp;W33,HVACEfficiencies,3,FALSE)),"")</f>
        <v/>
      </c>
      <c r="AQ33" s="43" t="str">
        <f t="shared" si="23"/>
        <v/>
      </c>
      <c r="AR33" s="55" t="str">
        <f>IFERROR(IF(OR(D33="",W33="",W33="Please Select"),"",VLOOKUP('HVAC Efficiency Tables'!AG255&amp;'HVAC Efficiency Tables'!AH255&amp;W33,HVACEfficiencies,8,FALSE)),"")</f>
        <v/>
      </c>
      <c r="AS33" s="43" t="str">
        <f t="shared" si="16"/>
        <v/>
      </c>
      <c r="AT33" s="702" t="str">
        <f>IFERROR(IF(OR(D33="",W33="",W33="Please Select"),"",VLOOKUP('HVAC Efficiency Tables'!AG255&amp;'HVAC Efficiency Tables'!AH255&amp;W33,HVACEfficiencies,12,FALSE)),"")</f>
        <v/>
      </c>
      <c r="AU33" s="43" t="str">
        <f t="shared" si="24"/>
        <v/>
      </c>
      <c r="AV33" s="43"/>
      <c r="AW33" s="894" t="str">
        <f t="shared" si="25"/>
        <v/>
      </c>
      <c r="AX33" s="894"/>
      <c r="AY33" s="55" t="str">
        <f>IFERROR(IF(OR(D33="",W33="",W33="Please Select"),"",VLOOKUP('HVAC Efficiency Tables'!AG255&amp;'HVAC Efficiency Tables'!AH255&amp;W33,HVACEfficiencies,5,FALSE)),"")</f>
        <v/>
      </c>
      <c r="AZ33" s="43" t="str">
        <f t="shared" si="26"/>
        <v/>
      </c>
      <c r="BA33" s="55" t="str">
        <f>IFERROR(IF(OR(D33="",W33="",W33="Please Select"),"",VLOOKUP('HVAC Efficiency Tables'!AG255&amp;'HVAC Efficiency Tables'!AH255&amp;W33,HVACEfficiencies,9,FALSE)),"")</f>
        <v/>
      </c>
      <c r="BB33" s="43" t="str">
        <f t="shared" si="17"/>
        <v/>
      </c>
      <c r="BC33" s="702" t="str">
        <f>IFERROR(IF(OR(D33="",W33="",W33="Please Select"),"",VLOOKUP('HVAC Efficiency Tables'!AG255&amp;'HVAC Efficiency Tables'!AH255&amp;W33,HVACEfficiencies,13,FALSE)),"")</f>
        <v/>
      </c>
      <c r="BD33" s="43" t="str">
        <f t="shared" si="27"/>
        <v/>
      </c>
      <c r="BE33" s="894" t="str">
        <f t="shared" si="18"/>
        <v/>
      </c>
      <c r="BF33" s="894"/>
      <c r="BG33" s="157" t="s">
        <v>142</v>
      </c>
      <c r="BH33" s="895" t="str">
        <f t="shared" si="19"/>
        <v/>
      </c>
      <c r="BI33" s="895"/>
      <c r="BJ33" s="582"/>
      <c r="BQ33" s="298" t="b">
        <f t="shared" si="28"/>
        <v>0</v>
      </c>
      <c r="BR33" s="298" t="b">
        <f t="shared" si="29"/>
        <v>0</v>
      </c>
      <c r="BS33" s="298"/>
      <c r="BT33" s="298" t="b">
        <f t="shared" si="30"/>
        <v>0</v>
      </c>
      <c r="BU33" s="298" t="b">
        <f t="shared" si="31"/>
        <v>0</v>
      </c>
      <c r="BV33" s="617">
        <f t="shared" si="20"/>
        <v>0</v>
      </c>
      <c r="BW33" s="301">
        <f t="shared" si="21"/>
        <v>0</v>
      </c>
      <c r="BY33" s="94"/>
      <c r="BZ33" s="94"/>
      <c r="CA33" s="94"/>
      <c r="CB33" s="200"/>
      <c r="CC33" s="200"/>
      <c r="CD33" s="200"/>
      <c r="CE33" s="200"/>
      <c r="CF33" s="382"/>
      <c r="CG33" s="900" t="str">
        <f>'HVAC Efficiency Tables'!$AI255</f>
        <v/>
      </c>
      <c r="CH33" s="901"/>
      <c r="CI33" s="901"/>
      <c r="CJ33" s="901"/>
      <c r="CK33" s="901"/>
      <c r="CL33" s="902"/>
      <c r="CM33" s="94"/>
      <c r="CN33" s="94"/>
      <c r="CO33" s="94"/>
      <c r="CP33" s="94"/>
      <c r="CQ33" s="94"/>
      <c r="CR33" s="94"/>
      <c r="CS33" s="94"/>
      <c r="CT33" s="94"/>
      <c r="CU33" s="94"/>
      <c r="CV33" s="94"/>
      <c r="CW33" s="94"/>
      <c r="CX33" s="94"/>
      <c r="CY33" s="94"/>
      <c r="CZ33" s="94"/>
    </row>
    <row r="34" spans="1:178" ht="14.1" customHeight="1">
      <c r="A34" s="54"/>
      <c r="B34" s="64"/>
      <c r="C34" s="333"/>
      <c r="D34" s="64"/>
      <c r="E34" s="231"/>
      <c r="F34" s="890"/>
      <c r="G34" s="890"/>
      <c r="H34" s="890"/>
      <c r="I34" s="890"/>
      <c r="J34" s="890"/>
      <c r="K34" s="890"/>
      <c r="L34" s="890"/>
      <c r="M34" s="890"/>
      <c r="N34" s="890"/>
      <c r="O34" s="890"/>
      <c r="P34" s="890"/>
      <c r="Q34" s="890"/>
      <c r="R34" s="890"/>
      <c r="S34" s="890"/>
      <c r="T34" s="890"/>
      <c r="U34" s="890"/>
      <c r="V34" s="382"/>
      <c r="W34" s="900" t="str">
        <f>'HVAC Efficiency Tables'!$AI256</f>
        <v/>
      </c>
      <c r="X34" s="901"/>
      <c r="Y34" s="901"/>
      <c r="Z34" s="901"/>
      <c r="AA34" s="901"/>
      <c r="AB34" s="902"/>
      <c r="AC34" s="204"/>
      <c r="AD34" s="890"/>
      <c r="AE34" s="890"/>
      <c r="AF34" s="890"/>
      <c r="AG34" s="890"/>
      <c r="AH34" s="333"/>
      <c r="AI34" s="64"/>
      <c r="AJ34" s="43" t="str">
        <f t="shared" si="14"/>
        <v/>
      </c>
      <c r="AK34" s="64"/>
      <c r="AL34" s="43" t="str">
        <f t="shared" si="15"/>
        <v/>
      </c>
      <c r="AM34" s="64"/>
      <c r="AN34" s="43" t="str">
        <f t="shared" si="22"/>
        <v/>
      </c>
      <c r="AO34" s="204"/>
      <c r="AP34" s="55" t="str">
        <f>IFERROR(IF(OR(D34="",W34="",W34="Please Select"),"",VLOOKUP('HVAC Efficiency Tables'!AG256&amp;'HVAC Efficiency Tables'!AH256&amp;W34,HVACEfficiencies,3,FALSE)),"")</f>
        <v/>
      </c>
      <c r="AQ34" s="43" t="str">
        <f t="shared" si="23"/>
        <v/>
      </c>
      <c r="AR34" s="55" t="str">
        <f>IFERROR(IF(OR(D34="",W34="",W34="Please Select"),"",VLOOKUP('HVAC Efficiency Tables'!AG256&amp;'HVAC Efficiency Tables'!AH256&amp;W34,HVACEfficiencies,8,FALSE)),"")</f>
        <v/>
      </c>
      <c r="AS34" s="43" t="str">
        <f t="shared" si="16"/>
        <v/>
      </c>
      <c r="AT34" s="702" t="str">
        <f>IFERROR(IF(OR(D34="",W34="",W34="Please Select"),"",VLOOKUP('HVAC Efficiency Tables'!AG256&amp;'HVAC Efficiency Tables'!AH256&amp;W34,HVACEfficiencies,12,FALSE)),"")</f>
        <v/>
      </c>
      <c r="AU34" s="43" t="str">
        <f t="shared" si="24"/>
        <v/>
      </c>
      <c r="AV34" s="43"/>
      <c r="AW34" s="894" t="str">
        <f t="shared" si="25"/>
        <v/>
      </c>
      <c r="AX34" s="894"/>
      <c r="AY34" s="55" t="str">
        <f>IFERROR(IF(OR(D34="",W34="",W34="Please Select"),"",VLOOKUP('HVAC Efficiency Tables'!AG256&amp;'HVAC Efficiency Tables'!AH256&amp;W34,HVACEfficiencies,5,FALSE)),"")</f>
        <v/>
      </c>
      <c r="AZ34" s="43" t="str">
        <f t="shared" si="26"/>
        <v/>
      </c>
      <c r="BA34" s="55" t="str">
        <f>IFERROR(IF(OR(D34="",W34="",W34="Please Select"),"",VLOOKUP('HVAC Efficiency Tables'!AG256&amp;'HVAC Efficiency Tables'!AH256&amp;W34,HVACEfficiencies,9,FALSE)),"")</f>
        <v/>
      </c>
      <c r="BB34" s="43" t="str">
        <f t="shared" si="17"/>
        <v/>
      </c>
      <c r="BC34" s="702" t="str">
        <f>IFERROR(IF(OR(D34="",W34="",W34="Please Select"),"",VLOOKUP('HVAC Efficiency Tables'!AG256&amp;'HVAC Efficiency Tables'!AH256&amp;W34,HVACEfficiencies,13,FALSE)),"")</f>
        <v/>
      </c>
      <c r="BD34" s="43" t="str">
        <f t="shared" si="27"/>
        <v/>
      </c>
      <c r="BE34" s="894" t="str">
        <f t="shared" si="18"/>
        <v/>
      </c>
      <c r="BF34" s="894"/>
      <c r="BG34" s="157" t="s">
        <v>142</v>
      </c>
      <c r="BH34" s="895" t="str">
        <f t="shared" si="19"/>
        <v/>
      </c>
      <c r="BI34" s="895"/>
      <c r="BJ34" s="582"/>
      <c r="BQ34" s="298" t="b">
        <f t="shared" si="28"/>
        <v>0</v>
      </c>
      <c r="BR34" s="298" t="b">
        <f t="shared" si="29"/>
        <v>0</v>
      </c>
      <c r="BS34" s="298"/>
      <c r="BT34" s="298" t="b">
        <f t="shared" si="30"/>
        <v>0</v>
      </c>
      <c r="BU34" s="298" t="b">
        <f t="shared" si="31"/>
        <v>0</v>
      </c>
      <c r="BV34" s="617">
        <f t="shared" si="20"/>
        <v>0</v>
      </c>
      <c r="BW34" s="301">
        <f t="shared" si="21"/>
        <v>0</v>
      </c>
      <c r="BY34" s="94"/>
      <c r="BZ34" s="94"/>
      <c r="CA34" s="94"/>
      <c r="CB34" s="200"/>
      <c r="CC34" s="200"/>
      <c r="CD34" s="200"/>
      <c r="CE34" s="200"/>
      <c r="CF34" s="382"/>
      <c r="CG34" s="900" t="str">
        <f>'HVAC Efficiency Tables'!$AI256</f>
        <v/>
      </c>
      <c r="CH34" s="901"/>
      <c r="CI34" s="901"/>
      <c r="CJ34" s="901"/>
      <c r="CK34" s="901"/>
      <c r="CL34" s="902"/>
      <c r="CM34" s="94"/>
      <c r="CN34" s="94"/>
      <c r="CO34" s="94"/>
      <c r="CP34" s="94"/>
      <c r="CQ34" s="94"/>
      <c r="CR34" s="94"/>
      <c r="CS34" s="94"/>
      <c r="CT34" s="94"/>
      <c r="CU34" s="94"/>
      <c r="CV34" s="94"/>
      <c r="CW34" s="94"/>
      <c r="CX34" s="94"/>
      <c r="CY34" s="94"/>
      <c r="CZ34" s="94"/>
    </row>
    <row r="35" spans="1:178" ht="14.1" customHeight="1">
      <c r="A35" s="54"/>
      <c r="B35" s="64"/>
      <c r="C35" s="333"/>
      <c r="D35" s="64"/>
      <c r="E35" s="231"/>
      <c r="F35" s="890"/>
      <c r="G35" s="890"/>
      <c r="H35" s="890"/>
      <c r="I35" s="890"/>
      <c r="J35" s="890"/>
      <c r="K35" s="890"/>
      <c r="L35" s="890"/>
      <c r="M35" s="890"/>
      <c r="N35" s="890"/>
      <c r="O35" s="890"/>
      <c r="P35" s="890"/>
      <c r="Q35" s="890"/>
      <c r="R35" s="890"/>
      <c r="S35" s="890"/>
      <c r="T35" s="890"/>
      <c r="U35" s="890"/>
      <c r="V35" s="382"/>
      <c r="W35" s="900" t="str">
        <f>'HVAC Efficiency Tables'!$AI257</f>
        <v/>
      </c>
      <c r="X35" s="901"/>
      <c r="Y35" s="901"/>
      <c r="Z35" s="901"/>
      <c r="AA35" s="901"/>
      <c r="AB35" s="902"/>
      <c r="AC35" s="204"/>
      <c r="AD35" s="890"/>
      <c r="AE35" s="890"/>
      <c r="AF35" s="890"/>
      <c r="AG35" s="890"/>
      <c r="AH35" s="333"/>
      <c r="AI35" s="64"/>
      <c r="AJ35" s="43" t="str">
        <f t="shared" si="14"/>
        <v/>
      </c>
      <c r="AK35" s="64"/>
      <c r="AL35" s="43" t="str">
        <f t="shared" si="15"/>
        <v/>
      </c>
      <c r="AM35" s="64"/>
      <c r="AN35" s="43" t="str">
        <f t="shared" si="22"/>
        <v/>
      </c>
      <c r="AO35" s="204"/>
      <c r="AP35" s="55" t="str">
        <f>IFERROR(IF(OR(D35="",W35="",W35="Please Select"),"",VLOOKUP('HVAC Efficiency Tables'!AG257&amp;'HVAC Efficiency Tables'!AH257&amp;W35,HVACEfficiencies,3,FALSE)),"")</f>
        <v/>
      </c>
      <c r="AQ35" s="43" t="str">
        <f t="shared" si="23"/>
        <v/>
      </c>
      <c r="AR35" s="55" t="str">
        <f>IFERROR(IF(OR(D35="",W35="",W35="Please Select"),"",VLOOKUP('HVAC Efficiency Tables'!AG257&amp;'HVAC Efficiency Tables'!AH257&amp;W35,HVACEfficiencies,8,FALSE)),"")</f>
        <v/>
      </c>
      <c r="AS35" s="43" t="str">
        <f t="shared" si="16"/>
        <v/>
      </c>
      <c r="AT35" s="702" t="str">
        <f>IFERROR(IF(OR(D35="",W35="",W35="Please Select"),"",VLOOKUP('HVAC Efficiency Tables'!AG257&amp;'HVAC Efficiency Tables'!AH257&amp;W35,HVACEfficiencies,12,FALSE)),"")</f>
        <v/>
      </c>
      <c r="AU35" s="43" t="str">
        <f t="shared" si="24"/>
        <v/>
      </c>
      <c r="AV35" s="43"/>
      <c r="AW35" s="894" t="str">
        <f t="shared" si="25"/>
        <v/>
      </c>
      <c r="AX35" s="894"/>
      <c r="AY35" s="55" t="str">
        <f>IFERROR(IF(OR(D35="",W35="",W35="Please Select"),"",VLOOKUP('HVAC Efficiency Tables'!AG257&amp;'HVAC Efficiency Tables'!AH257&amp;W35,HVACEfficiencies,5,FALSE)),"")</f>
        <v/>
      </c>
      <c r="AZ35" s="43" t="str">
        <f t="shared" si="26"/>
        <v/>
      </c>
      <c r="BA35" s="55" t="str">
        <f>IFERROR(IF(OR(D35="",W35="",W35="Please Select"),"",VLOOKUP('HVAC Efficiency Tables'!AG257&amp;'HVAC Efficiency Tables'!AH257&amp;W35,HVACEfficiencies,9,FALSE)),"")</f>
        <v/>
      </c>
      <c r="BB35" s="43" t="str">
        <f t="shared" si="17"/>
        <v/>
      </c>
      <c r="BC35" s="702" t="str">
        <f>IFERROR(IF(OR(D35="",W35="",W35="Please Select"),"",VLOOKUP('HVAC Efficiency Tables'!AG257&amp;'HVAC Efficiency Tables'!AH257&amp;W35,HVACEfficiencies,13,FALSE)),"")</f>
        <v/>
      </c>
      <c r="BD35" s="43" t="str">
        <f t="shared" si="27"/>
        <v/>
      </c>
      <c r="BE35" s="894" t="str">
        <f t="shared" si="18"/>
        <v/>
      </c>
      <c r="BF35" s="894"/>
      <c r="BG35" s="157" t="s">
        <v>142</v>
      </c>
      <c r="BH35" s="895" t="str">
        <f t="shared" si="19"/>
        <v/>
      </c>
      <c r="BI35" s="895"/>
      <c r="BJ35" s="582"/>
      <c r="BQ35" s="298" t="b">
        <f t="shared" si="28"/>
        <v>0</v>
      </c>
      <c r="BR35" s="298" t="b">
        <f t="shared" si="29"/>
        <v>0</v>
      </c>
      <c r="BS35" s="298"/>
      <c r="BT35" s="298" t="b">
        <f t="shared" si="30"/>
        <v>0</v>
      </c>
      <c r="BU35" s="298" t="b">
        <f t="shared" si="31"/>
        <v>0</v>
      </c>
      <c r="BV35" s="617">
        <f t="shared" si="20"/>
        <v>0</v>
      </c>
      <c r="BW35" s="301">
        <f t="shared" si="21"/>
        <v>0</v>
      </c>
      <c r="BY35" s="94"/>
      <c r="BZ35" s="94"/>
      <c r="CA35" s="94"/>
      <c r="CB35" s="200"/>
      <c r="CC35" s="200"/>
      <c r="CD35" s="200"/>
      <c r="CE35" s="200"/>
      <c r="CF35" s="382"/>
      <c r="CG35" s="900" t="str">
        <f>'HVAC Efficiency Tables'!$AI257</f>
        <v/>
      </c>
      <c r="CH35" s="901"/>
      <c r="CI35" s="901"/>
      <c r="CJ35" s="901"/>
      <c r="CK35" s="901"/>
      <c r="CL35" s="902"/>
      <c r="CM35" s="94"/>
      <c r="CN35" s="94"/>
      <c r="CO35" s="94"/>
      <c r="CP35" s="94"/>
      <c r="CQ35" s="94"/>
      <c r="CR35" s="94"/>
      <c r="CS35" s="94"/>
      <c r="CT35" s="94"/>
      <c r="CU35" s="94"/>
      <c r="CV35" s="94"/>
      <c r="CW35" s="94"/>
      <c r="CX35" s="94"/>
      <c r="CY35" s="94"/>
      <c r="CZ35" s="94"/>
    </row>
    <row r="36" spans="1:178" ht="14.1" customHeight="1">
      <c r="A36" s="54"/>
      <c r="B36" s="64"/>
      <c r="C36" s="333"/>
      <c r="D36" s="64"/>
      <c r="E36" s="231"/>
      <c r="F36" s="890"/>
      <c r="G36" s="890"/>
      <c r="H36" s="890"/>
      <c r="I36" s="890"/>
      <c r="J36" s="890"/>
      <c r="K36" s="890"/>
      <c r="L36" s="890"/>
      <c r="M36" s="890"/>
      <c r="N36" s="890"/>
      <c r="O36" s="890"/>
      <c r="P36" s="890"/>
      <c r="Q36" s="890"/>
      <c r="R36" s="890"/>
      <c r="S36" s="890"/>
      <c r="T36" s="890"/>
      <c r="U36" s="890"/>
      <c r="V36" s="382"/>
      <c r="W36" s="900" t="str">
        <f>'HVAC Efficiency Tables'!$AI258</f>
        <v/>
      </c>
      <c r="X36" s="901"/>
      <c r="Y36" s="901"/>
      <c r="Z36" s="901"/>
      <c r="AA36" s="901"/>
      <c r="AB36" s="902"/>
      <c r="AC36" s="204"/>
      <c r="AD36" s="890"/>
      <c r="AE36" s="890"/>
      <c r="AF36" s="890"/>
      <c r="AG36" s="890"/>
      <c r="AH36" s="333"/>
      <c r="AI36" s="64"/>
      <c r="AJ36" s="43" t="str">
        <f t="shared" si="14"/>
        <v/>
      </c>
      <c r="AK36" s="64"/>
      <c r="AL36" s="43" t="str">
        <f t="shared" si="15"/>
        <v/>
      </c>
      <c r="AM36" s="64"/>
      <c r="AN36" s="43" t="str">
        <f t="shared" si="22"/>
        <v/>
      </c>
      <c r="AO36" s="204"/>
      <c r="AP36" s="55" t="str">
        <f>IFERROR(IF(OR(D36="",W36="",W36="Please Select"),"",VLOOKUP('HVAC Efficiency Tables'!AG258&amp;'HVAC Efficiency Tables'!AH258&amp;W36,HVACEfficiencies,3,FALSE)),"")</f>
        <v/>
      </c>
      <c r="AQ36" s="43" t="str">
        <f t="shared" si="23"/>
        <v/>
      </c>
      <c r="AR36" s="55" t="str">
        <f>IFERROR(IF(OR(D36="",W36="",W36="Please Select"),"",VLOOKUP('HVAC Efficiency Tables'!AG258&amp;'HVAC Efficiency Tables'!AH258&amp;W36,HVACEfficiencies,8,FALSE)),"")</f>
        <v/>
      </c>
      <c r="AS36" s="43" t="str">
        <f t="shared" si="16"/>
        <v/>
      </c>
      <c r="AT36" s="702" t="str">
        <f>IFERROR(IF(OR(D36="",W36="",W36="Please Select"),"",VLOOKUP('HVAC Efficiency Tables'!AG258&amp;'HVAC Efficiency Tables'!AH258&amp;W36,HVACEfficiencies,12,FALSE)),"")</f>
        <v/>
      </c>
      <c r="AU36" s="43" t="str">
        <f t="shared" si="24"/>
        <v/>
      </c>
      <c r="AV36" s="43"/>
      <c r="AW36" s="894" t="str">
        <f t="shared" si="25"/>
        <v/>
      </c>
      <c r="AX36" s="894"/>
      <c r="AY36" s="55" t="str">
        <f>IFERROR(IF(OR(D36="",W36="",W36="Please Select"),"",VLOOKUP('HVAC Efficiency Tables'!AG258&amp;'HVAC Efficiency Tables'!AH258&amp;W36,HVACEfficiencies,5,FALSE)),"")</f>
        <v/>
      </c>
      <c r="AZ36" s="43" t="str">
        <f t="shared" si="26"/>
        <v/>
      </c>
      <c r="BA36" s="55" t="str">
        <f>IFERROR(IF(OR(D36="",W36="",W36="Please Select"),"",VLOOKUP('HVAC Efficiency Tables'!AG258&amp;'HVAC Efficiency Tables'!AH258&amp;W36,HVACEfficiencies,9,FALSE)),"")</f>
        <v/>
      </c>
      <c r="BB36" s="43" t="str">
        <f t="shared" si="17"/>
        <v/>
      </c>
      <c r="BC36" s="702" t="str">
        <f>IFERROR(IF(OR(D36="",W36="",W36="Please Select"),"",VLOOKUP('HVAC Efficiency Tables'!AG258&amp;'HVAC Efficiency Tables'!AH258&amp;W36,HVACEfficiencies,13,FALSE)),"")</f>
        <v/>
      </c>
      <c r="BD36" s="43" t="str">
        <f t="shared" si="27"/>
        <v/>
      </c>
      <c r="BE36" s="894" t="str">
        <f t="shared" si="18"/>
        <v/>
      </c>
      <c r="BF36" s="894"/>
      <c r="BG36" s="157" t="s">
        <v>142</v>
      </c>
      <c r="BH36" s="895" t="str">
        <f t="shared" si="19"/>
        <v/>
      </c>
      <c r="BI36" s="895"/>
      <c r="BJ36" s="582"/>
      <c r="BQ36" s="298" t="b">
        <f t="shared" si="28"/>
        <v>0</v>
      </c>
      <c r="BR36" s="298" t="b">
        <f t="shared" si="29"/>
        <v>0</v>
      </c>
      <c r="BS36" s="298"/>
      <c r="BT36" s="298" t="b">
        <f t="shared" si="30"/>
        <v>0</v>
      </c>
      <c r="BU36" s="298" t="b">
        <f t="shared" si="31"/>
        <v>0</v>
      </c>
      <c r="BV36" s="617">
        <f t="shared" si="20"/>
        <v>0</v>
      </c>
      <c r="BW36" s="301">
        <f t="shared" si="21"/>
        <v>0</v>
      </c>
      <c r="BY36" s="94"/>
      <c r="BZ36" s="94"/>
      <c r="CA36" s="94"/>
      <c r="CB36" s="200"/>
      <c r="CC36" s="200"/>
      <c r="CD36" s="200"/>
      <c r="CE36" s="200"/>
      <c r="CF36" s="382"/>
      <c r="CG36" s="900" t="str">
        <f>'HVAC Efficiency Tables'!$AI258</f>
        <v/>
      </c>
      <c r="CH36" s="901"/>
      <c r="CI36" s="901"/>
      <c r="CJ36" s="901"/>
      <c r="CK36" s="901"/>
      <c r="CL36" s="902"/>
      <c r="CM36" s="94"/>
      <c r="CN36" s="94"/>
      <c r="CO36" s="94"/>
      <c r="CP36" s="94"/>
      <c r="CQ36" s="94"/>
      <c r="CR36" s="94"/>
      <c r="CS36" s="94"/>
      <c r="CT36" s="94"/>
      <c r="CU36" s="94"/>
      <c r="CV36" s="94"/>
      <c r="CW36" s="94"/>
      <c r="CX36" s="94"/>
      <c r="CY36" s="94"/>
      <c r="CZ36" s="94"/>
    </row>
    <row r="37" spans="1:178" s="22" customFormat="1" ht="15.6" customHeight="1" thickBot="1">
      <c r="A37" s="583"/>
      <c r="B37" s="534"/>
      <c r="C37" s="534"/>
      <c r="D37" s="534"/>
      <c r="E37" s="534"/>
      <c r="F37" s="534"/>
      <c r="G37" s="534"/>
      <c r="H37" s="534"/>
      <c r="I37" s="534"/>
      <c r="J37" s="534"/>
      <c r="K37" s="534"/>
      <c r="L37" s="534"/>
      <c r="M37" s="534"/>
      <c r="N37" s="534"/>
      <c r="O37" s="534"/>
      <c r="P37" s="534"/>
      <c r="Q37" s="534"/>
      <c r="R37" s="534"/>
      <c r="S37" s="534"/>
      <c r="T37" s="534"/>
      <c r="U37" s="534"/>
      <c r="V37" s="534"/>
      <c r="W37" s="534"/>
      <c r="X37" s="534"/>
      <c r="Y37" s="534"/>
      <c r="Z37" s="534"/>
      <c r="AA37" s="534"/>
      <c r="AB37" s="534"/>
      <c r="AC37" s="534"/>
      <c r="AD37" s="534"/>
      <c r="AE37" s="534"/>
      <c r="AF37" s="534"/>
      <c r="AG37" s="534"/>
      <c r="AH37" s="534"/>
      <c r="AI37" s="534"/>
      <c r="AJ37" s="534"/>
      <c r="AK37" s="534"/>
      <c r="AL37" s="534"/>
      <c r="AM37" s="534"/>
      <c r="AN37" s="534"/>
      <c r="AO37" s="534"/>
      <c r="AP37" s="534"/>
      <c r="AQ37" s="534"/>
      <c r="AR37" s="534"/>
      <c r="AS37" s="534"/>
      <c r="AT37" s="534"/>
      <c r="AU37" s="534"/>
      <c r="AV37" s="534"/>
      <c r="AW37" s="534"/>
      <c r="AX37" s="534"/>
      <c r="AY37" s="534"/>
      <c r="AZ37" s="534"/>
      <c r="BA37" s="534"/>
      <c r="BB37" s="534"/>
      <c r="BC37" s="534"/>
      <c r="BD37" s="534"/>
      <c r="BE37" s="534"/>
      <c r="BF37" s="534"/>
      <c r="BG37" s="544"/>
      <c r="BH37" s="545"/>
      <c r="BI37" s="545"/>
      <c r="BJ37" s="536"/>
      <c r="BK37" s="1"/>
      <c r="BL37" s="1"/>
      <c r="BM37" s="1"/>
      <c r="BN37" s="1"/>
      <c r="BQ37" s="533"/>
      <c r="BR37" s="533"/>
      <c r="BS37" s="533"/>
      <c r="BT37" s="533"/>
      <c r="BU37" s="533"/>
      <c r="BV37" s="304" t="s">
        <v>2689</v>
      </c>
      <c r="BW37" s="304" t="s">
        <v>2690</v>
      </c>
      <c r="BY37" s="102"/>
      <c r="BZ37" s="102"/>
      <c r="CA37" s="102"/>
      <c r="CB37" s="208"/>
      <c r="CC37" s="208"/>
      <c r="CD37" s="208"/>
      <c r="CE37" s="208"/>
      <c r="CF37" s="208"/>
      <c r="CG37" s="208"/>
      <c r="CH37" s="208"/>
      <c r="CI37" s="208"/>
      <c r="CJ37" s="208"/>
      <c r="CK37" s="208"/>
      <c r="CL37" s="208"/>
      <c r="CM37" s="102"/>
      <c r="CN37" s="102"/>
      <c r="CO37" s="102"/>
      <c r="CP37" s="102"/>
      <c r="CQ37" s="102"/>
      <c r="CR37" s="102"/>
      <c r="CS37" s="102"/>
      <c r="CT37" s="102"/>
      <c r="CU37" s="102"/>
      <c r="CV37" s="102"/>
      <c r="CW37" s="102"/>
      <c r="CX37" s="102"/>
      <c r="CY37" s="102"/>
      <c r="CZ37" s="102"/>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row>
    <row r="38" spans="1:178" s="22" customFormat="1" ht="15.6" customHeight="1">
      <c r="A38" s="381"/>
      <c r="B38" s="208"/>
      <c r="C38" s="208"/>
      <c r="D38" s="208"/>
      <c r="E38" s="208"/>
      <c r="F38" s="208"/>
      <c r="G38" s="208"/>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713"/>
      <c r="AN38" s="713"/>
      <c r="AO38" s="208"/>
      <c r="AP38" s="208"/>
      <c r="AQ38" s="208"/>
      <c r="AR38" s="208"/>
      <c r="AS38" s="208"/>
      <c r="AT38" s="713"/>
      <c r="AU38" s="713"/>
      <c r="AV38" s="208"/>
      <c r="AW38" s="208"/>
      <c r="AX38" s="208"/>
      <c r="AY38" s="208"/>
      <c r="AZ38" s="208"/>
      <c r="BA38" s="208"/>
      <c r="BB38" s="25"/>
      <c r="BC38" s="25"/>
      <c r="BD38" s="25"/>
      <c r="BE38" s="25"/>
      <c r="BF38" s="61" t="s">
        <v>2691</v>
      </c>
      <c r="BG38" s="25"/>
      <c r="BH38" s="896" t="str">
        <f>IF(BM27&gt;=1,SUM(BH27:BH36),"")</f>
        <v/>
      </c>
      <c r="BI38" s="896"/>
      <c r="BJ38" s="537"/>
      <c r="BK38" s="1"/>
      <c r="BL38" s="1"/>
      <c r="BM38" s="1"/>
      <c r="BN38" s="1"/>
      <c r="BQ38" s="533"/>
      <c r="BR38" s="533"/>
      <c r="BS38" s="533"/>
      <c r="BT38" s="533"/>
      <c r="BU38" s="533"/>
      <c r="BV38" s="302">
        <f>SUM(BV27:BV36)</f>
        <v>0</v>
      </c>
      <c r="BW38" s="299">
        <f>SUM(BW27:BW36)</f>
        <v>0</v>
      </c>
      <c r="BY38" s="102"/>
      <c r="BZ38" s="102"/>
      <c r="CA38" s="102"/>
      <c r="CB38" s="94"/>
      <c r="CC38" s="94"/>
      <c r="CD38" s="94"/>
      <c r="CE38" s="94"/>
      <c r="CF38" s="94"/>
      <c r="CG38" s="94"/>
      <c r="CH38" s="94"/>
      <c r="CI38" s="94"/>
      <c r="CJ38" s="94"/>
      <c r="CK38" s="94"/>
      <c r="CL38" s="94"/>
      <c r="CM38" s="102"/>
      <c r="CN38" s="102"/>
      <c r="CO38" s="102"/>
      <c r="CP38" s="102"/>
      <c r="CQ38" s="102"/>
      <c r="CR38" s="102"/>
      <c r="CS38" s="102"/>
      <c r="CT38" s="102"/>
      <c r="CU38" s="102"/>
      <c r="CV38" s="102"/>
      <c r="CW38" s="102"/>
      <c r="CX38" s="102"/>
      <c r="CY38" s="102"/>
      <c r="CZ38" s="102"/>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row>
    <row r="39" spans="1:178" s="22" customFormat="1" ht="16.5" thickBot="1">
      <c r="A39" s="62" t="s">
        <v>2692</v>
      </c>
      <c r="B39" s="208"/>
      <c r="C39" s="208"/>
      <c r="D39" s="208"/>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713"/>
      <c r="AN39" s="713"/>
      <c r="AO39" s="208"/>
      <c r="AP39" s="208"/>
      <c r="AQ39" s="208"/>
      <c r="AR39" s="208"/>
      <c r="AS39" s="208"/>
      <c r="AT39" s="713"/>
      <c r="AU39" s="713"/>
      <c r="AV39" s="208"/>
      <c r="AW39" s="208"/>
      <c r="AX39" s="208"/>
      <c r="AY39" s="208"/>
      <c r="AZ39" s="208"/>
      <c r="BA39" s="208"/>
      <c r="BB39" s="208"/>
      <c r="BC39" s="713"/>
      <c r="BD39" s="713"/>
      <c r="BE39" s="208"/>
      <c r="BF39" s="208"/>
      <c r="BG39" s="530"/>
      <c r="BH39" s="530"/>
      <c r="BI39" s="530"/>
      <c r="BJ39" s="538"/>
      <c r="BK39" s="1"/>
      <c r="BL39" s="1"/>
      <c r="BM39" s="1"/>
      <c r="BN39" s="1"/>
      <c r="BQ39" s="533"/>
      <c r="BR39" s="533"/>
      <c r="BS39" s="533"/>
      <c r="BT39" s="533"/>
      <c r="BU39" s="533"/>
      <c r="BV39" s="533"/>
      <c r="BW39" s="533"/>
      <c r="BY39" s="102"/>
      <c r="BZ39" s="102"/>
      <c r="CA39" s="102"/>
      <c r="CB39" s="94"/>
      <c r="CC39" s="94"/>
      <c r="CD39" s="94"/>
      <c r="CE39" s="94"/>
      <c r="CF39" s="94"/>
      <c r="CG39" s="94"/>
      <c r="CH39" s="94"/>
      <c r="CI39" s="94"/>
      <c r="CJ39" s="94"/>
      <c r="CK39" s="94"/>
      <c r="CL39" s="94"/>
      <c r="CM39" s="102"/>
      <c r="CN39" s="102"/>
      <c r="CO39" s="102"/>
      <c r="CP39" s="102"/>
      <c r="CQ39" s="102"/>
      <c r="CR39" s="102"/>
      <c r="CS39" s="102"/>
      <c r="CT39" s="102"/>
      <c r="CU39" s="102"/>
      <c r="CV39" s="102"/>
      <c r="CW39" s="102"/>
      <c r="CX39" s="102"/>
      <c r="CY39" s="102"/>
      <c r="CZ39" s="102"/>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row>
    <row r="40" spans="1:178" s="22" customFormat="1" ht="15.75">
      <c r="A40" s="543"/>
      <c r="B40" s="381"/>
      <c r="C40" s="381"/>
      <c r="D40" s="381"/>
      <c r="E40" s="381"/>
      <c r="F40" s="381"/>
      <c r="G40" s="381"/>
      <c r="H40" s="381"/>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381"/>
      <c r="AL40" s="381"/>
      <c r="AM40" s="710"/>
      <c r="AN40" s="710"/>
      <c r="AO40" s="381"/>
      <c r="AP40" s="905" t="s">
        <v>2655</v>
      </c>
      <c r="AQ40" s="905"/>
      <c r="AR40" s="905"/>
      <c r="AS40" s="905"/>
      <c r="AT40" s="905"/>
      <c r="AU40" s="905"/>
      <c r="AV40" s="905"/>
      <c r="AW40" s="905"/>
      <c r="AX40" s="905"/>
      <c r="AY40" s="905"/>
      <c r="AZ40" s="905"/>
      <c r="BA40" s="905"/>
      <c r="BB40" s="905"/>
      <c r="BC40" s="905"/>
      <c r="BD40" s="905"/>
      <c r="BE40" s="905"/>
      <c r="BF40" s="905"/>
      <c r="BG40" s="881" t="s">
        <v>2777</v>
      </c>
      <c r="BH40" s="881"/>
      <c r="BI40" s="881"/>
      <c r="BJ40" s="225"/>
      <c r="BK40" s="1"/>
      <c r="BL40" s="1"/>
      <c r="BM40" s="1"/>
      <c r="BN40" s="1"/>
      <c r="BQ40" s="906" t="s">
        <v>2694</v>
      </c>
      <c r="BR40" s="907"/>
      <c r="BS40" s="907"/>
      <c r="BT40" s="907"/>
      <c r="BU40" s="907"/>
      <c r="BV40" s="907"/>
      <c r="BW40" s="908"/>
      <c r="BY40" s="102"/>
      <c r="BZ40" s="102"/>
      <c r="CA40" s="102"/>
      <c r="CB40" s="94"/>
      <c r="CC40" s="94"/>
      <c r="CD40" s="94"/>
      <c r="CE40" s="94"/>
      <c r="CF40" s="94"/>
      <c r="CG40" s="94"/>
      <c r="CH40" s="94"/>
      <c r="CI40" s="94"/>
      <c r="CJ40" s="94"/>
      <c r="CK40" s="94"/>
      <c r="CL40" s="94"/>
      <c r="CM40" s="102"/>
      <c r="CN40" s="102"/>
      <c r="CO40" s="102"/>
      <c r="CP40" s="102"/>
      <c r="CQ40" s="102"/>
      <c r="CR40" s="102"/>
      <c r="CS40" s="102"/>
      <c r="CT40" s="102"/>
      <c r="CU40" s="102"/>
      <c r="CV40" s="102"/>
      <c r="CW40" s="102"/>
      <c r="CX40" s="102"/>
      <c r="CY40" s="102"/>
      <c r="CZ40" s="102"/>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row>
    <row r="41" spans="1:178" s="22" customFormat="1" ht="20.45" customHeight="1">
      <c r="A41" s="519"/>
      <c r="B41" s="208"/>
      <c r="C41" s="49"/>
      <c r="D41" s="208"/>
      <c r="E41" s="208"/>
      <c r="F41" s="50"/>
      <c r="G41" s="50"/>
      <c r="H41" s="50"/>
      <c r="I41" s="50"/>
      <c r="J41" s="50"/>
      <c r="K41" s="50"/>
      <c r="L41" s="50"/>
      <c r="M41" s="50"/>
      <c r="N41" s="50"/>
      <c r="O41" s="50"/>
      <c r="P41" s="50"/>
      <c r="Q41" s="208"/>
      <c r="R41" s="546"/>
      <c r="S41" s="546"/>
      <c r="T41" s="546"/>
      <c r="U41" s="546"/>
      <c r="V41" s="204"/>
      <c r="W41" s="909"/>
      <c r="X41" s="909"/>
      <c r="Y41" s="909"/>
      <c r="Z41" s="909"/>
      <c r="AA41" s="909"/>
      <c r="AB41" s="909"/>
      <c r="AC41" s="204"/>
      <c r="AD41" s="204"/>
      <c r="AE41" s="204"/>
      <c r="AF41" s="204"/>
      <c r="AG41" s="204"/>
      <c r="AH41" s="51"/>
      <c r="AI41" s="51" t="s">
        <v>2682</v>
      </c>
      <c r="AJ41" s="204"/>
      <c r="AK41" s="52"/>
      <c r="AL41" s="204"/>
      <c r="AM41" s="712"/>
      <c r="AN41" s="712"/>
      <c r="AO41" s="204"/>
      <c r="AP41" s="910" t="s">
        <v>2695</v>
      </c>
      <c r="AQ41" s="910"/>
      <c r="AR41" s="910"/>
      <c r="AS41" s="910"/>
      <c r="AT41" s="910"/>
      <c r="AU41" s="910"/>
      <c r="AV41" s="910"/>
      <c r="AW41" s="910"/>
      <c r="AX41" s="910"/>
      <c r="AY41" s="910" t="s">
        <v>2696</v>
      </c>
      <c r="AZ41" s="910"/>
      <c r="BA41" s="910"/>
      <c r="BB41" s="910"/>
      <c r="BC41" s="910"/>
      <c r="BD41" s="910"/>
      <c r="BE41" s="910"/>
      <c r="BF41" s="910"/>
      <c r="BG41" s="882"/>
      <c r="BH41" s="882"/>
      <c r="BI41" s="882"/>
      <c r="BJ41" s="53"/>
      <c r="BK41" s="1"/>
      <c r="BL41" s="1"/>
      <c r="BM41" s="1"/>
      <c r="BN41" s="1"/>
      <c r="BQ41" s="84"/>
      <c r="BR41" s="84"/>
      <c r="BS41" s="84"/>
      <c r="BT41" s="84"/>
      <c r="BU41" s="84"/>
      <c r="BV41" s="84"/>
      <c r="BW41" s="84"/>
      <c r="BY41" s="102"/>
      <c r="BZ41" s="102"/>
      <c r="CA41" s="102"/>
      <c r="CB41" s="94"/>
      <c r="CC41" s="94"/>
      <c r="CD41" s="94"/>
      <c r="CE41" s="94"/>
      <c r="CF41" s="94"/>
      <c r="CG41" s="94"/>
      <c r="CH41" s="94"/>
      <c r="CI41" s="94"/>
      <c r="CJ41" s="94"/>
      <c r="CK41" s="94"/>
      <c r="CL41" s="94"/>
      <c r="CM41" s="102"/>
      <c r="CN41" s="102"/>
      <c r="CO41" s="102"/>
      <c r="CP41" s="102"/>
      <c r="CQ41" s="102"/>
      <c r="CR41" s="102"/>
      <c r="CS41" s="102"/>
      <c r="CT41" s="102"/>
      <c r="CU41" s="102"/>
      <c r="CV41" s="102"/>
      <c r="CW41" s="102"/>
      <c r="CX41" s="102"/>
      <c r="CY41" s="102"/>
      <c r="CZ41" s="102"/>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row>
    <row r="42" spans="1:178" s="22" customFormat="1" ht="24.6" customHeight="1">
      <c r="A42" s="48"/>
      <c r="B42" s="159" t="s">
        <v>2661</v>
      </c>
      <c r="C42" s="411"/>
      <c r="D42" s="159" t="s">
        <v>2662</v>
      </c>
      <c r="E42" s="159"/>
      <c r="F42" s="159" t="s">
        <v>2663</v>
      </c>
      <c r="G42" s="50"/>
      <c r="H42" s="50"/>
      <c r="I42" s="50"/>
      <c r="J42" s="50"/>
      <c r="K42" s="50"/>
      <c r="L42" s="50"/>
      <c r="M42" s="50"/>
      <c r="N42" s="50"/>
      <c r="O42" s="50"/>
      <c r="P42" s="50"/>
      <c r="Q42" s="208"/>
      <c r="R42" s="546"/>
      <c r="S42" s="546"/>
      <c r="T42" s="546"/>
      <c r="U42" s="546"/>
      <c r="V42" s="204"/>
      <c r="W42" s="909"/>
      <c r="X42" s="909"/>
      <c r="Y42" s="909"/>
      <c r="Z42" s="909"/>
      <c r="AA42" s="909"/>
      <c r="AB42" s="909"/>
      <c r="AC42" s="204"/>
      <c r="AD42" s="159" t="s">
        <v>2664</v>
      </c>
      <c r="AE42" s="197"/>
      <c r="AF42" s="159"/>
      <c r="AG42" s="159"/>
      <c r="AH42" s="410"/>
      <c r="AI42" s="159" t="s">
        <v>2665</v>
      </c>
      <c r="AJ42" s="197"/>
      <c r="AK42" s="159"/>
      <c r="AL42" s="204"/>
      <c r="AM42" s="712"/>
      <c r="AN42" s="712"/>
      <c r="AO42" s="204"/>
      <c r="AP42" s="911" t="s">
        <v>2778</v>
      </c>
      <c r="AQ42" s="911"/>
      <c r="AR42" s="911"/>
      <c r="AS42" s="911"/>
      <c r="AT42" s="911"/>
      <c r="AU42" s="911"/>
      <c r="AV42" s="911"/>
      <c r="AW42" s="911"/>
      <c r="AX42" s="50"/>
      <c r="AY42" s="911" t="s">
        <v>2779</v>
      </c>
      <c r="AZ42" s="911"/>
      <c r="BA42" s="911"/>
      <c r="BB42" s="911"/>
      <c r="BC42" s="911"/>
      <c r="BD42" s="911"/>
      <c r="BE42" s="911"/>
      <c r="BF42" s="50"/>
      <c r="BG42" s="882"/>
      <c r="BH42" s="882"/>
      <c r="BI42" s="882"/>
      <c r="BJ42" s="53"/>
      <c r="BK42" s="1"/>
      <c r="BL42" s="1"/>
      <c r="BM42" s="1"/>
      <c r="BN42" s="1"/>
      <c r="BQ42" s="542" t="s">
        <v>2667</v>
      </c>
      <c r="BR42" s="542" t="s">
        <v>2668</v>
      </c>
      <c r="BS42" s="542"/>
      <c r="BT42" s="542" t="s">
        <v>2670</v>
      </c>
      <c r="BU42" s="542" t="s">
        <v>2671</v>
      </c>
      <c r="BV42" s="306" t="s">
        <v>2687</v>
      </c>
      <c r="BW42" s="307" t="s">
        <v>2688</v>
      </c>
      <c r="BY42" s="102"/>
      <c r="BZ42" s="102"/>
      <c r="CA42" s="102"/>
      <c r="CB42" s="94"/>
      <c r="CC42" s="94"/>
      <c r="CD42" s="94"/>
      <c r="CE42" s="94"/>
      <c r="CF42" s="94"/>
      <c r="CG42" s="94"/>
      <c r="CH42" s="94"/>
      <c r="CI42" s="94"/>
      <c r="CJ42" s="94"/>
      <c r="CK42" s="94"/>
      <c r="CL42" s="94"/>
      <c r="CM42" s="102"/>
      <c r="CN42" s="102"/>
      <c r="CO42" s="102"/>
      <c r="CP42" s="102"/>
      <c r="CQ42" s="102"/>
      <c r="CR42" s="102"/>
      <c r="CS42" s="102"/>
      <c r="CT42" s="102"/>
      <c r="CU42" s="102"/>
      <c r="CV42" s="102"/>
      <c r="CW42" s="102"/>
      <c r="CX42" s="102"/>
      <c r="CY42" s="102"/>
      <c r="CZ42" s="102"/>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row>
    <row r="43" spans="1:178" ht="14.1" customHeight="1">
      <c r="A43" s="54"/>
      <c r="B43" s="64"/>
      <c r="C43" s="333"/>
      <c r="D43" s="64"/>
      <c r="E43" s="231"/>
      <c r="F43" s="890"/>
      <c r="G43" s="890"/>
      <c r="H43" s="890"/>
      <c r="I43" s="890"/>
      <c r="J43" s="890"/>
      <c r="K43" s="890"/>
      <c r="L43" s="890"/>
      <c r="M43" s="890"/>
      <c r="N43" s="890"/>
      <c r="O43" s="890"/>
      <c r="P43" s="890"/>
      <c r="Q43" s="890"/>
      <c r="R43" s="890"/>
      <c r="S43" s="890"/>
      <c r="T43" s="890"/>
      <c r="U43" s="890"/>
      <c r="V43" s="890"/>
      <c r="W43" s="890"/>
      <c r="X43" s="890"/>
      <c r="Y43" s="890"/>
      <c r="Z43" s="890"/>
      <c r="AA43" s="890"/>
      <c r="AB43" s="208"/>
      <c r="AC43" s="204"/>
      <c r="AD43" s="891"/>
      <c r="AE43" s="892"/>
      <c r="AF43" s="892"/>
      <c r="AG43" s="893"/>
      <c r="AH43" s="333"/>
      <c r="AI43" s="64"/>
      <c r="AJ43" s="43" t="str">
        <f t="shared" ref="AJ43:AJ52" si="32">IF(OR(D43="",AW43="Ineligible"),"","EER")</f>
        <v/>
      </c>
      <c r="AK43" s="159"/>
      <c r="AL43" s="204"/>
      <c r="AM43" s="712"/>
      <c r="AN43" s="712"/>
      <c r="AO43" s="204"/>
      <c r="AP43" s="55" t="str">
        <f>IFERROR(IF(D43="","",VLOOKUP('HVAC Efficiency Tables'!AG262&amp;'HVAC Efficiency Tables'!AH262&amp;'HVAC Efficiency Tables'!AI262,HVACEfficiencies,3,FALSE)),"")</f>
        <v/>
      </c>
      <c r="AQ43" s="43" t="str">
        <f>IF(OR(AP43="N/A",AP43=""),"","EER")</f>
        <v/>
      </c>
      <c r="AR43" s="532"/>
      <c r="AS43" s="43"/>
      <c r="AT43" s="43"/>
      <c r="AU43" s="43"/>
      <c r="AV43" s="43"/>
      <c r="AW43" s="894" t="str">
        <f t="shared" ref="AW43:AW52" si="33">IF(AY43&lt;=AI43,"",IF(OR(AI43="",$AP43="",AP43="N/A"),"",IF($AY43&lt;=AI43,"",IF($AP43&lt;=AI43,"Qualified","Not Qualified"))))</f>
        <v/>
      </c>
      <c r="AX43" s="894"/>
      <c r="AY43" s="55" t="str">
        <f>IFERROR(IF(D43="","",VLOOKUP('HVAC Efficiency Tables'!AG262&amp;'HVAC Efficiency Tables'!AH262&amp;'HVAC Efficiency Tables'!AI262,HVACEfficiencies,5,FALSE)),"")</f>
        <v/>
      </c>
      <c r="AZ43" s="43" t="str">
        <f>IF(OR(AY43="N/A",AY43=""),"","EER")</f>
        <v/>
      </c>
      <c r="BA43" s="532"/>
      <c r="BB43" s="43"/>
      <c r="BC43" s="43"/>
      <c r="BD43" s="43"/>
      <c r="BE43" s="894" t="str">
        <f t="shared" ref="BE43:BE52" si="34">IF(OR(AI43="",$AY43="",$AY43="N/A"),"",IF(AND($AY43&lt;=AI43,OR($BA43&lt;=AK43,$BA43="N/A")),"Qualified","Not Qualified"))</f>
        <v/>
      </c>
      <c r="BF43" s="894"/>
      <c r="BG43" s="157" t="s">
        <v>142</v>
      </c>
      <c r="BH43" s="895" t="str">
        <f t="shared" ref="BH43:BH52" si="35">IF(AW43="Qualified",D43*B43*50,IF(BE43="Qualified",B43*D43*75,""))</f>
        <v/>
      </c>
      <c r="BI43" s="895"/>
      <c r="BJ43" s="582"/>
      <c r="BM43" s="296">
        <f>COUNTIF(AW42:AW52,"Qualified")+COUNTIF(BE42:BE52,"Qualified")</f>
        <v>0</v>
      </c>
      <c r="BQ43" s="298" t="b">
        <f t="shared" ref="BQ43:BR52" si="36">IF($BR$1="ID",IF($AW43="Qualified",86.44,IF($BE43="Qualified",118.85,"")),IF($BR$1="OR",IF($AW43="Qualified",66.53,IF($BE43="Qualified",91.49,""))))</f>
        <v>0</v>
      </c>
      <c r="BR43" s="298" t="b">
        <f t="shared" si="36"/>
        <v>0</v>
      </c>
      <c r="BS43" s="298"/>
      <c r="BT43" s="298" t="b">
        <f>IF($BR$1="ID",IF($AW43="Qualified",86.44,IF($BE43="Qualified",118.85,"")),IF($BR$1="OR",IF($AW43="Qualified",66.53,IF($BE43="Qualified",91.49,""))))</f>
        <v>0</v>
      </c>
      <c r="BU43" s="298" t="b">
        <f>IF($BR$1="ID",IF($AW43="Qualified",159/1000,IF($BE43="Qualified",219/1000,"")),IF($BR$1="OR",IF($AW43="Qualified",159/1000,IF($BE43="Qualified",219/1000,""))))</f>
        <v>0</v>
      </c>
      <c r="BV43" s="617">
        <f t="shared" ref="BV43:BV52" si="37">IF(OR(AW43="Qualified",BE43="Qualified"),IF($AD$6="Electric",IF($AD$7="Electric resistance",BQ43,IF($AD$7="Electric Heat Pump",BR43,0)),BT43)*(B43*D43),0)</f>
        <v>0</v>
      </c>
      <c r="BW43" s="301">
        <f t="shared" ref="BW43:BW52" si="38">IF(OR(AW43="Qualified",BE43="Qualified"),BU43*(B43*D43),0)</f>
        <v>0</v>
      </c>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row>
    <row r="44" spans="1:178" ht="14.1" customHeight="1">
      <c r="A44" s="54"/>
      <c r="B44" s="64"/>
      <c r="C44" s="333"/>
      <c r="D44" s="64"/>
      <c r="E44" s="231"/>
      <c r="F44" s="890"/>
      <c r="G44" s="890"/>
      <c r="H44" s="890"/>
      <c r="I44" s="890"/>
      <c r="J44" s="890"/>
      <c r="K44" s="890"/>
      <c r="L44" s="890"/>
      <c r="M44" s="890"/>
      <c r="N44" s="890"/>
      <c r="O44" s="890"/>
      <c r="P44" s="890"/>
      <c r="Q44" s="890"/>
      <c r="R44" s="890"/>
      <c r="S44" s="890"/>
      <c r="T44" s="890"/>
      <c r="U44" s="890"/>
      <c r="V44" s="890"/>
      <c r="W44" s="890"/>
      <c r="X44" s="890"/>
      <c r="Y44" s="890"/>
      <c r="Z44" s="890"/>
      <c r="AA44" s="890"/>
      <c r="AB44" s="208"/>
      <c r="AC44" s="204"/>
      <c r="AD44" s="891"/>
      <c r="AE44" s="892"/>
      <c r="AF44" s="892"/>
      <c r="AG44" s="893"/>
      <c r="AH44" s="333"/>
      <c r="AI44" s="64"/>
      <c r="AJ44" s="43" t="str">
        <f t="shared" si="32"/>
        <v/>
      </c>
      <c r="AK44" s="159"/>
      <c r="AL44" s="204"/>
      <c r="AM44" s="712"/>
      <c r="AN44" s="712"/>
      <c r="AO44" s="204"/>
      <c r="AP44" s="55" t="str">
        <f>IFERROR(IF(D44="","",VLOOKUP('HVAC Efficiency Tables'!AG263&amp;'HVAC Efficiency Tables'!AH263&amp;'HVAC Efficiency Tables'!AI263,HVACEfficiencies,3,FALSE)),"")</f>
        <v/>
      </c>
      <c r="AQ44" s="43" t="str">
        <f t="shared" ref="AQ44:AQ52" si="39">IF(OR(AP44="N/A",AP44=""),"","EER")</f>
        <v/>
      </c>
      <c r="AR44" s="532"/>
      <c r="AS44" s="43"/>
      <c r="AT44" s="43"/>
      <c r="AU44" s="43"/>
      <c r="AV44" s="43"/>
      <c r="AW44" s="894" t="str">
        <f t="shared" si="33"/>
        <v/>
      </c>
      <c r="AX44" s="894"/>
      <c r="AY44" s="55" t="str">
        <f>IFERROR(IF(D44="","",VLOOKUP('HVAC Efficiency Tables'!AG263&amp;'HVAC Efficiency Tables'!AH263&amp;'HVAC Efficiency Tables'!AI263,HVACEfficiencies,5,FALSE)),"")</f>
        <v/>
      </c>
      <c r="AZ44" s="43" t="str">
        <f t="shared" ref="AZ44:AZ52" si="40">IF(OR(AY44="N/A",AY44=""),"","EER")</f>
        <v/>
      </c>
      <c r="BA44" s="532"/>
      <c r="BB44" s="43"/>
      <c r="BC44" s="43"/>
      <c r="BD44" s="43"/>
      <c r="BE44" s="894" t="str">
        <f t="shared" si="34"/>
        <v/>
      </c>
      <c r="BF44" s="894"/>
      <c r="BG44" s="157" t="s">
        <v>142</v>
      </c>
      <c r="BH44" s="895" t="str">
        <f t="shared" si="35"/>
        <v/>
      </c>
      <c r="BI44" s="895"/>
      <c r="BJ44" s="582"/>
      <c r="BQ44" s="298" t="b">
        <f t="shared" si="36"/>
        <v>0</v>
      </c>
      <c r="BR44" s="298" t="b">
        <f t="shared" si="36"/>
        <v>0</v>
      </c>
      <c r="BS44" s="298"/>
      <c r="BT44" s="298" t="b">
        <f t="shared" ref="BT44:BT52" si="41">IF($BR$1="ID",IF($AW44="Qualified",86.44,IF($BE44="Qualified",118.85,"")),IF($BR$1="OR",IF($AW44="Qualified",66.53,IF($BE44="Qualified",91.49,""))))</f>
        <v>0</v>
      </c>
      <c r="BU44" s="298" t="b">
        <f t="shared" ref="BU44:BU52" si="42">IF($BR$1="ID",IF($AW44="Qualified",159/1000,IF($BE44="Qualified",219/1000,"")),IF($BR$1="OR",IF($AW44="Qualified",159/1000,IF($BE44="Qualified",219/1000,""))))</f>
        <v>0</v>
      </c>
      <c r="BV44" s="617">
        <f t="shared" si="37"/>
        <v>0</v>
      </c>
      <c r="BW44" s="301">
        <f t="shared" si="38"/>
        <v>0</v>
      </c>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row>
    <row r="45" spans="1:178" ht="14.1" customHeight="1">
      <c r="A45" s="54"/>
      <c r="B45" s="64"/>
      <c r="C45" s="333"/>
      <c r="D45" s="64"/>
      <c r="E45" s="231"/>
      <c r="F45" s="890"/>
      <c r="G45" s="890"/>
      <c r="H45" s="890"/>
      <c r="I45" s="890"/>
      <c r="J45" s="890"/>
      <c r="K45" s="890"/>
      <c r="L45" s="890"/>
      <c r="M45" s="890"/>
      <c r="N45" s="890"/>
      <c r="O45" s="890"/>
      <c r="P45" s="890"/>
      <c r="Q45" s="890"/>
      <c r="R45" s="890"/>
      <c r="S45" s="890"/>
      <c r="T45" s="890"/>
      <c r="U45" s="890"/>
      <c r="V45" s="890"/>
      <c r="W45" s="890"/>
      <c r="X45" s="890"/>
      <c r="Y45" s="890"/>
      <c r="Z45" s="890"/>
      <c r="AA45" s="890"/>
      <c r="AB45" s="208"/>
      <c r="AC45" s="204"/>
      <c r="AD45" s="891"/>
      <c r="AE45" s="892"/>
      <c r="AF45" s="892"/>
      <c r="AG45" s="893"/>
      <c r="AH45" s="333"/>
      <c r="AI45" s="64"/>
      <c r="AJ45" s="43" t="str">
        <f t="shared" si="32"/>
        <v/>
      </c>
      <c r="AK45" s="159"/>
      <c r="AL45" s="204"/>
      <c r="AM45" s="712"/>
      <c r="AN45" s="712"/>
      <c r="AO45" s="204"/>
      <c r="AP45" s="55" t="str">
        <f>IFERROR(IF(D45="","",VLOOKUP('HVAC Efficiency Tables'!AG264&amp;'HVAC Efficiency Tables'!AH264&amp;'HVAC Efficiency Tables'!AI264,HVACEfficiencies,3,FALSE)),"")</f>
        <v/>
      </c>
      <c r="AQ45" s="43" t="str">
        <f t="shared" si="39"/>
        <v/>
      </c>
      <c r="AR45" s="532"/>
      <c r="AS45" s="43"/>
      <c r="AT45" s="43"/>
      <c r="AU45" s="43"/>
      <c r="AV45" s="43"/>
      <c r="AW45" s="894" t="str">
        <f t="shared" si="33"/>
        <v/>
      </c>
      <c r="AX45" s="894"/>
      <c r="AY45" s="55" t="str">
        <f>IFERROR(IF(D45="","",VLOOKUP('HVAC Efficiency Tables'!AG264&amp;'HVAC Efficiency Tables'!AH264&amp;'HVAC Efficiency Tables'!AI264,HVACEfficiencies,5,FALSE)),"")</f>
        <v/>
      </c>
      <c r="AZ45" s="43" t="str">
        <f t="shared" si="40"/>
        <v/>
      </c>
      <c r="BA45" s="532"/>
      <c r="BB45" s="43"/>
      <c r="BC45" s="43"/>
      <c r="BD45" s="43"/>
      <c r="BE45" s="894" t="str">
        <f t="shared" si="34"/>
        <v/>
      </c>
      <c r="BF45" s="894"/>
      <c r="BG45" s="157" t="s">
        <v>142</v>
      </c>
      <c r="BH45" s="895" t="str">
        <f t="shared" si="35"/>
        <v/>
      </c>
      <c r="BI45" s="895"/>
      <c r="BJ45" s="582"/>
      <c r="BQ45" s="298" t="b">
        <f t="shared" si="36"/>
        <v>0</v>
      </c>
      <c r="BR45" s="298" t="b">
        <f t="shared" si="36"/>
        <v>0</v>
      </c>
      <c r="BS45" s="298"/>
      <c r="BT45" s="298" t="b">
        <f t="shared" si="41"/>
        <v>0</v>
      </c>
      <c r="BU45" s="298" t="b">
        <f t="shared" si="42"/>
        <v>0</v>
      </c>
      <c r="BV45" s="617">
        <f t="shared" si="37"/>
        <v>0</v>
      </c>
      <c r="BW45" s="301">
        <f t="shared" si="38"/>
        <v>0</v>
      </c>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row>
    <row r="46" spans="1:178" ht="14.1" customHeight="1">
      <c r="A46" s="54"/>
      <c r="B46" s="64"/>
      <c r="C46" s="333"/>
      <c r="D46" s="64"/>
      <c r="E46" s="231"/>
      <c r="F46" s="890"/>
      <c r="G46" s="890"/>
      <c r="H46" s="890"/>
      <c r="I46" s="890"/>
      <c r="J46" s="890"/>
      <c r="K46" s="890"/>
      <c r="L46" s="890"/>
      <c r="M46" s="890"/>
      <c r="N46" s="890"/>
      <c r="O46" s="890"/>
      <c r="P46" s="890"/>
      <c r="Q46" s="890"/>
      <c r="R46" s="890"/>
      <c r="S46" s="890"/>
      <c r="T46" s="890"/>
      <c r="U46" s="890"/>
      <c r="V46" s="890"/>
      <c r="W46" s="890"/>
      <c r="X46" s="890"/>
      <c r="Y46" s="890"/>
      <c r="Z46" s="890"/>
      <c r="AA46" s="890"/>
      <c r="AB46" s="208"/>
      <c r="AC46" s="204"/>
      <c r="AD46" s="891"/>
      <c r="AE46" s="892"/>
      <c r="AF46" s="892"/>
      <c r="AG46" s="893"/>
      <c r="AH46" s="333"/>
      <c r="AI46" s="64"/>
      <c r="AJ46" s="43" t="str">
        <f t="shared" si="32"/>
        <v/>
      </c>
      <c r="AK46" s="159"/>
      <c r="AL46" s="204"/>
      <c r="AM46" s="712"/>
      <c r="AN46" s="712"/>
      <c r="AO46" s="204"/>
      <c r="AP46" s="55" t="str">
        <f>IFERROR(IF(D46="","",VLOOKUP('HVAC Efficiency Tables'!AG265&amp;'HVAC Efficiency Tables'!AH265&amp;'HVAC Efficiency Tables'!AI265,HVACEfficiencies,3,FALSE)),"")</f>
        <v/>
      </c>
      <c r="AQ46" s="43" t="str">
        <f t="shared" si="39"/>
        <v/>
      </c>
      <c r="AR46" s="532"/>
      <c r="AS46" s="43"/>
      <c r="AT46" s="43"/>
      <c r="AU46" s="43"/>
      <c r="AV46" s="43"/>
      <c r="AW46" s="894" t="str">
        <f t="shared" si="33"/>
        <v/>
      </c>
      <c r="AX46" s="894"/>
      <c r="AY46" s="55" t="str">
        <f>IFERROR(IF(D46="","",VLOOKUP('HVAC Efficiency Tables'!AG265&amp;'HVAC Efficiency Tables'!AH265&amp;'HVAC Efficiency Tables'!AI265,HVACEfficiencies,5,FALSE)),"")</f>
        <v/>
      </c>
      <c r="AZ46" s="43" t="str">
        <f t="shared" si="40"/>
        <v/>
      </c>
      <c r="BA46" s="532"/>
      <c r="BB46" s="43"/>
      <c r="BC46" s="43"/>
      <c r="BD46" s="43"/>
      <c r="BE46" s="894" t="str">
        <f t="shared" si="34"/>
        <v/>
      </c>
      <c r="BF46" s="894"/>
      <c r="BG46" s="157" t="s">
        <v>142</v>
      </c>
      <c r="BH46" s="895" t="str">
        <f t="shared" si="35"/>
        <v/>
      </c>
      <c r="BI46" s="895"/>
      <c r="BJ46" s="582"/>
      <c r="BQ46" s="298" t="b">
        <f t="shared" si="36"/>
        <v>0</v>
      </c>
      <c r="BR46" s="298" t="b">
        <f t="shared" si="36"/>
        <v>0</v>
      </c>
      <c r="BS46" s="298"/>
      <c r="BT46" s="298" t="b">
        <f t="shared" si="41"/>
        <v>0</v>
      </c>
      <c r="BU46" s="298" t="b">
        <f t="shared" si="42"/>
        <v>0</v>
      </c>
      <c r="BV46" s="617">
        <f t="shared" si="37"/>
        <v>0</v>
      </c>
      <c r="BW46" s="301">
        <f t="shared" si="38"/>
        <v>0</v>
      </c>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row>
    <row r="47" spans="1:178" ht="14.1" customHeight="1">
      <c r="A47" s="54"/>
      <c r="B47" s="64"/>
      <c r="C47" s="333"/>
      <c r="D47" s="64"/>
      <c r="E47" s="231"/>
      <c r="F47" s="890"/>
      <c r="G47" s="890"/>
      <c r="H47" s="890"/>
      <c r="I47" s="890"/>
      <c r="J47" s="890"/>
      <c r="K47" s="890"/>
      <c r="L47" s="890"/>
      <c r="M47" s="890"/>
      <c r="N47" s="890"/>
      <c r="O47" s="890"/>
      <c r="P47" s="890"/>
      <c r="Q47" s="890"/>
      <c r="R47" s="890"/>
      <c r="S47" s="890"/>
      <c r="T47" s="890"/>
      <c r="U47" s="890"/>
      <c r="V47" s="890"/>
      <c r="W47" s="890"/>
      <c r="X47" s="890"/>
      <c r="Y47" s="890"/>
      <c r="Z47" s="890"/>
      <c r="AA47" s="890"/>
      <c r="AB47" s="208"/>
      <c r="AC47" s="204"/>
      <c r="AD47" s="891"/>
      <c r="AE47" s="892"/>
      <c r="AF47" s="892"/>
      <c r="AG47" s="893"/>
      <c r="AH47" s="333"/>
      <c r="AI47" s="64"/>
      <c r="AJ47" s="43" t="str">
        <f t="shared" si="32"/>
        <v/>
      </c>
      <c r="AK47" s="159"/>
      <c r="AL47" s="204"/>
      <c r="AM47" s="712"/>
      <c r="AN47" s="712"/>
      <c r="AO47" s="204"/>
      <c r="AP47" s="55" t="str">
        <f>IFERROR(IF(D47="","",VLOOKUP('HVAC Efficiency Tables'!AG266&amp;'HVAC Efficiency Tables'!AH266&amp;'HVAC Efficiency Tables'!AI266,HVACEfficiencies,3,FALSE)),"")</f>
        <v/>
      </c>
      <c r="AQ47" s="43" t="str">
        <f t="shared" si="39"/>
        <v/>
      </c>
      <c r="AR47" s="532"/>
      <c r="AS47" s="43"/>
      <c r="AT47" s="43"/>
      <c r="AU47" s="43"/>
      <c r="AV47" s="43"/>
      <c r="AW47" s="894" t="str">
        <f t="shared" si="33"/>
        <v/>
      </c>
      <c r="AX47" s="894"/>
      <c r="AY47" s="55" t="str">
        <f>IFERROR(IF(D47="","",VLOOKUP('HVAC Efficiency Tables'!AG266&amp;'HVAC Efficiency Tables'!AH266&amp;'HVAC Efficiency Tables'!AI266,HVACEfficiencies,5,FALSE)),"")</f>
        <v/>
      </c>
      <c r="AZ47" s="43" t="str">
        <f t="shared" si="40"/>
        <v/>
      </c>
      <c r="BA47" s="532"/>
      <c r="BB47" s="43"/>
      <c r="BC47" s="43"/>
      <c r="BD47" s="43"/>
      <c r="BE47" s="894" t="str">
        <f t="shared" si="34"/>
        <v/>
      </c>
      <c r="BF47" s="894"/>
      <c r="BG47" s="157" t="s">
        <v>142</v>
      </c>
      <c r="BH47" s="895" t="str">
        <f t="shared" si="35"/>
        <v/>
      </c>
      <c r="BI47" s="895"/>
      <c r="BJ47" s="582"/>
      <c r="BQ47" s="298" t="b">
        <f t="shared" si="36"/>
        <v>0</v>
      </c>
      <c r="BR47" s="298" t="b">
        <f t="shared" si="36"/>
        <v>0</v>
      </c>
      <c r="BS47" s="298"/>
      <c r="BT47" s="298" t="b">
        <f t="shared" si="41"/>
        <v>0</v>
      </c>
      <c r="BU47" s="298" t="b">
        <f t="shared" si="42"/>
        <v>0</v>
      </c>
      <c r="BV47" s="617">
        <f t="shared" si="37"/>
        <v>0</v>
      </c>
      <c r="BW47" s="301">
        <f t="shared" si="38"/>
        <v>0</v>
      </c>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row>
    <row r="48" spans="1:178" ht="14.1" customHeight="1">
      <c r="A48" s="54"/>
      <c r="B48" s="64"/>
      <c r="C48" s="333"/>
      <c r="D48" s="64"/>
      <c r="E48" s="231"/>
      <c r="F48" s="890"/>
      <c r="G48" s="890"/>
      <c r="H48" s="890"/>
      <c r="I48" s="890"/>
      <c r="J48" s="890"/>
      <c r="K48" s="890"/>
      <c r="L48" s="890"/>
      <c r="M48" s="890"/>
      <c r="N48" s="890"/>
      <c r="O48" s="890"/>
      <c r="P48" s="890"/>
      <c r="Q48" s="890"/>
      <c r="R48" s="890"/>
      <c r="S48" s="890"/>
      <c r="T48" s="890"/>
      <c r="U48" s="890"/>
      <c r="V48" s="890"/>
      <c r="W48" s="890"/>
      <c r="X48" s="890"/>
      <c r="Y48" s="890"/>
      <c r="Z48" s="890"/>
      <c r="AA48" s="890"/>
      <c r="AB48" s="208"/>
      <c r="AC48" s="204"/>
      <c r="AD48" s="891"/>
      <c r="AE48" s="892"/>
      <c r="AF48" s="892"/>
      <c r="AG48" s="893"/>
      <c r="AH48" s="333"/>
      <c r="AI48" s="64"/>
      <c r="AJ48" s="43" t="str">
        <f t="shared" si="32"/>
        <v/>
      </c>
      <c r="AK48" s="159"/>
      <c r="AL48" s="204"/>
      <c r="AM48" s="712"/>
      <c r="AN48" s="712"/>
      <c r="AO48" s="204"/>
      <c r="AP48" s="55" t="str">
        <f>IFERROR(IF(D48="","",VLOOKUP('HVAC Efficiency Tables'!AG267&amp;'HVAC Efficiency Tables'!AH267&amp;'HVAC Efficiency Tables'!AI267,HVACEfficiencies,3,FALSE)),"")</f>
        <v/>
      </c>
      <c r="AQ48" s="43" t="str">
        <f t="shared" si="39"/>
        <v/>
      </c>
      <c r="AR48" s="532"/>
      <c r="AS48" s="43"/>
      <c r="AT48" s="43"/>
      <c r="AU48" s="43"/>
      <c r="AV48" s="43"/>
      <c r="AW48" s="894" t="str">
        <f t="shared" si="33"/>
        <v/>
      </c>
      <c r="AX48" s="894"/>
      <c r="AY48" s="55" t="str">
        <f>IFERROR(IF(D48="","",VLOOKUP('HVAC Efficiency Tables'!AG267&amp;'HVAC Efficiency Tables'!AH267&amp;'HVAC Efficiency Tables'!AI267,HVACEfficiencies,5,FALSE)),"")</f>
        <v/>
      </c>
      <c r="AZ48" s="43" t="str">
        <f t="shared" si="40"/>
        <v/>
      </c>
      <c r="BA48" s="532"/>
      <c r="BB48" s="43"/>
      <c r="BC48" s="43"/>
      <c r="BD48" s="43"/>
      <c r="BE48" s="894" t="str">
        <f t="shared" si="34"/>
        <v/>
      </c>
      <c r="BF48" s="894"/>
      <c r="BG48" s="157" t="s">
        <v>142</v>
      </c>
      <c r="BH48" s="895" t="str">
        <f t="shared" si="35"/>
        <v/>
      </c>
      <c r="BI48" s="895"/>
      <c r="BJ48" s="582"/>
      <c r="BQ48" s="298" t="b">
        <f t="shared" si="36"/>
        <v>0</v>
      </c>
      <c r="BR48" s="298" t="b">
        <f t="shared" si="36"/>
        <v>0</v>
      </c>
      <c r="BS48" s="298"/>
      <c r="BT48" s="298" t="b">
        <f t="shared" si="41"/>
        <v>0</v>
      </c>
      <c r="BU48" s="298" t="b">
        <f t="shared" si="42"/>
        <v>0</v>
      </c>
      <c r="BV48" s="617">
        <f t="shared" si="37"/>
        <v>0</v>
      </c>
      <c r="BW48" s="301">
        <f t="shared" si="38"/>
        <v>0</v>
      </c>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row>
    <row r="49" spans="1:178" ht="14.1" customHeight="1">
      <c r="A49" s="54"/>
      <c r="B49" s="64"/>
      <c r="C49" s="333"/>
      <c r="D49" s="64"/>
      <c r="E49" s="231"/>
      <c r="F49" s="890"/>
      <c r="G49" s="890"/>
      <c r="H49" s="890"/>
      <c r="I49" s="890"/>
      <c r="J49" s="890"/>
      <c r="K49" s="890"/>
      <c r="L49" s="890"/>
      <c r="M49" s="890"/>
      <c r="N49" s="890"/>
      <c r="O49" s="890"/>
      <c r="P49" s="890"/>
      <c r="Q49" s="890"/>
      <c r="R49" s="890"/>
      <c r="S49" s="890"/>
      <c r="T49" s="890"/>
      <c r="U49" s="890"/>
      <c r="V49" s="890"/>
      <c r="W49" s="890"/>
      <c r="X49" s="890"/>
      <c r="Y49" s="890"/>
      <c r="Z49" s="890"/>
      <c r="AA49" s="890"/>
      <c r="AB49" s="208"/>
      <c r="AC49" s="204"/>
      <c r="AD49" s="891"/>
      <c r="AE49" s="892"/>
      <c r="AF49" s="892"/>
      <c r="AG49" s="893"/>
      <c r="AH49" s="333"/>
      <c r="AI49" s="64"/>
      <c r="AJ49" s="43" t="str">
        <f t="shared" si="32"/>
        <v/>
      </c>
      <c r="AK49" s="159"/>
      <c r="AL49" s="204"/>
      <c r="AM49" s="712"/>
      <c r="AN49" s="712"/>
      <c r="AO49" s="204"/>
      <c r="AP49" s="55" t="str">
        <f>IFERROR(IF(D49="","",VLOOKUP('HVAC Efficiency Tables'!AG268&amp;'HVAC Efficiency Tables'!AH268&amp;'HVAC Efficiency Tables'!AI268,HVACEfficiencies,3,FALSE)),"")</f>
        <v/>
      </c>
      <c r="AQ49" s="43" t="str">
        <f t="shared" si="39"/>
        <v/>
      </c>
      <c r="AR49" s="532"/>
      <c r="AS49" s="43"/>
      <c r="AT49" s="43"/>
      <c r="AU49" s="43"/>
      <c r="AV49" s="43"/>
      <c r="AW49" s="894" t="str">
        <f t="shared" si="33"/>
        <v/>
      </c>
      <c r="AX49" s="894"/>
      <c r="AY49" s="55" t="str">
        <f>IFERROR(IF(D49="","",VLOOKUP('HVAC Efficiency Tables'!AG268&amp;'HVAC Efficiency Tables'!AH268&amp;'HVAC Efficiency Tables'!AI268,HVACEfficiencies,5,FALSE)),"")</f>
        <v/>
      </c>
      <c r="AZ49" s="43" t="str">
        <f t="shared" si="40"/>
        <v/>
      </c>
      <c r="BA49" s="532"/>
      <c r="BB49" s="43"/>
      <c r="BC49" s="43"/>
      <c r="BD49" s="43"/>
      <c r="BE49" s="894" t="str">
        <f t="shared" si="34"/>
        <v/>
      </c>
      <c r="BF49" s="894"/>
      <c r="BG49" s="157" t="s">
        <v>142</v>
      </c>
      <c r="BH49" s="895" t="str">
        <f t="shared" si="35"/>
        <v/>
      </c>
      <c r="BI49" s="895"/>
      <c r="BJ49" s="582"/>
      <c r="BQ49" s="298" t="b">
        <f t="shared" si="36"/>
        <v>0</v>
      </c>
      <c r="BR49" s="298" t="b">
        <f t="shared" si="36"/>
        <v>0</v>
      </c>
      <c r="BS49" s="298"/>
      <c r="BT49" s="298" t="b">
        <f t="shared" si="41"/>
        <v>0</v>
      </c>
      <c r="BU49" s="298" t="b">
        <f t="shared" si="42"/>
        <v>0</v>
      </c>
      <c r="BV49" s="617">
        <f t="shared" si="37"/>
        <v>0</v>
      </c>
      <c r="BW49" s="301">
        <f t="shared" si="38"/>
        <v>0</v>
      </c>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row>
    <row r="50" spans="1:178" ht="14.1" customHeight="1">
      <c r="A50" s="54"/>
      <c r="B50" s="64"/>
      <c r="C50" s="333"/>
      <c r="D50" s="64"/>
      <c r="E50" s="231"/>
      <c r="F50" s="890"/>
      <c r="G50" s="890"/>
      <c r="H50" s="890"/>
      <c r="I50" s="890"/>
      <c r="J50" s="890"/>
      <c r="K50" s="890"/>
      <c r="L50" s="890"/>
      <c r="M50" s="890"/>
      <c r="N50" s="890"/>
      <c r="O50" s="890"/>
      <c r="P50" s="890"/>
      <c r="Q50" s="890"/>
      <c r="R50" s="890"/>
      <c r="S50" s="890"/>
      <c r="T50" s="890"/>
      <c r="U50" s="890"/>
      <c r="V50" s="890"/>
      <c r="W50" s="890"/>
      <c r="X50" s="890"/>
      <c r="Y50" s="890"/>
      <c r="Z50" s="890"/>
      <c r="AA50" s="890"/>
      <c r="AB50" s="208"/>
      <c r="AC50" s="204"/>
      <c r="AD50" s="891"/>
      <c r="AE50" s="892"/>
      <c r="AF50" s="892"/>
      <c r="AG50" s="893"/>
      <c r="AH50" s="333"/>
      <c r="AI50" s="64"/>
      <c r="AJ50" s="43" t="str">
        <f t="shared" si="32"/>
        <v/>
      </c>
      <c r="AK50" s="159"/>
      <c r="AL50" s="204"/>
      <c r="AM50" s="712"/>
      <c r="AN50" s="712"/>
      <c r="AO50" s="204"/>
      <c r="AP50" s="55" t="str">
        <f>IFERROR(IF(D50="","",VLOOKUP('HVAC Efficiency Tables'!AG269&amp;'HVAC Efficiency Tables'!AH269&amp;'HVAC Efficiency Tables'!AI269,HVACEfficiencies,3,FALSE)),"")</f>
        <v/>
      </c>
      <c r="AQ50" s="43" t="str">
        <f t="shared" si="39"/>
        <v/>
      </c>
      <c r="AR50" s="532"/>
      <c r="AS50" s="43"/>
      <c r="AT50" s="43"/>
      <c r="AU50" s="43"/>
      <c r="AV50" s="43"/>
      <c r="AW50" s="894" t="str">
        <f t="shared" si="33"/>
        <v/>
      </c>
      <c r="AX50" s="894"/>
      <c r="AY50" s="55" t="str">
        <f>IFERROR(IF(D50="","",VLOOKUP('HVAC Efficiency Tables'!AG269&amp;'HVAC Efficiency Tables'!AH269&amp;'HVAC Efficiency Tables'!AI269,HVACEfficiencies,5,FALSE)),"")</f>
        <v/>
      </c>
      <c r="AZ50" s="43" t="str">
        <f t="shared" si="40"/>
        <v/>
      </c>
      <c r="BA50" s="532"/>
      <c r="BB50" s="43"/>
      <c r="BC50" s="43"/>
      <c r="BD50" s="43"/>
      <c r="BE50" s="894" t="str">
        <f t="shared" si="34"/>
        <v/>
      </c>
      <c r="BF50" s="894"/>
      <c r="BG50" s="157" t="s">
        <v>142</v>
      </c>
      <c r="BH50" s="895" t="str">
        <f t="shared" si="35"/>
        <v/>
      </c>
      <c r="BI50" s="895"/>
      <c r="BJ50" s="582"/>
      <c r="BQ50" s="298" t="b">
        <f t="shared" si="36"/>
        <v>0</v>
      </c>
      <c r="BR50" s="298" t="b">
        <f t="shared" si="36"/>
        <v>0</v>
      </c>
      <c r="BS50" s="298"/>
      <c r="BT50" s="298" t="b">
        <f t="shared" si="41"/>
        <v>0</v>
      </c>
      <c r="BU50" s="298" t="b">
        <f t="shared" si="42"/>
        <v>0</v>
      </c>
      <c r="BV50" s="617">
        <f t="shared" si="37"/>
        <v>0</v>
      </c>
      <c r="BW50" s="301">
        <f t="shared" si="38"/>
        <v>0</v>
      </c>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row>
    <row r="51" spans="1:178" ht="14.1" customHeight="1">
      <c r="A51" s="54"/>
      <c r="B51" s="64"/>
      <c r="C51" s="333"/>
      <c r="D51" s="64"/>
      <c r="E51" s="231"/>
      <c r="F51" s="890"/>
      <c r="G51" s="890"/>
      <c r="H51" s="890"/>
      <c r="I51" s="890"/>
      <c r="J51" s="890"/>
      <c r="K51" s="890"/>
      <c r="L51" s="890"/>
      <c r="M51" s="890"/>
      <c r="N51" s="890"/>
      <c r="O51" s="890"/>
      <c r="P51" s="890"/>
      <c r="Q51" s="890"/>
      <c r="R51" s="890"/>
      <c r="S51" s="890"/>
      <c r="T51" s="890"/>
      <c r="U51" s="890"/>
      <c r="V51" s="890"/>
      <c r="W51" s="890"/>
      <c r="X51" s="890"/>
      <c r="Y51" s="890"/>
      <c r="Z51" s="890"/>
      <c r="AA51" s="890"/>
      <c r="AB51" s="208"/>
      <c r="AC51" s="204"/>
      <c r="AD51" s="891"/>
      <c r="AE51" s="892"/>
      <c r="AF51" s="892"/>
      <c r="AG51" s="893"/>
      <c r="AH51" s="333"/>
      <c r="AI51" s="64"/>
      <c r="AJ51" s="43" t="str">
        <f t="shared" si="32"/>
        <v/>
      </c>
      <c r="AK51" s="159"/>
      <c r="AL51" s="204"/>
      <c r="AM51" s="712"/>
      <c r="AN51" s="712"/>
      <c r="AO51" s="204"/>
      <c r="AP51" s="55" t="str">
        <f>IFERROR(IF(D51="","",VLOOKUP('HVAC Efficiency Tables'!AG270&amp;'HVAC Efficiency Tables'!AH270&amp;'HVAC Efficiency Tables'!AI270,HVACEfficiencies,3,FALSE)),"")</f>
        <v/>
      </c>
      <c r="AQ51" s="43" t="str">
        <f t="shared" si="39"/>
        <v/>
      </c>
      <c r="AR51" s="532"/>
      <c r="AS51" s="43"/>
      <c r="AT51" s="43"/>
      <c r="AU51" s="43"/>
      <c r="AV51" s="43"/>
      <c r="AW51" s="894" t="str">
        <f t="shared" si="33"/>
        <v/>
      </c>
      <c r="AX51" s="894"/>
      <c r="AY51" s="55" t="str">
        <f>IFERROR(IF(D51="","",VLOOKUP('HVAC Efficiency Tables'!AG270&amp;'HVAC Efficiency Tables'!AH270&amp;'HVAC Efficiency Tables'!AI270,HVACEfficiencies,5,FALSE)),"")</f>
        <v/>
      </c>
      <c r="AZ51" s="43" t="str">
        <f t="shared" si="40"/>
        <v/>
      </c>
      <c r="BA51" s="532"/>
      <c r="BB51" s="43"/>
      <c r="BC51" s="43"/>
      <c r="BD51" s="43"/>
      <c r="BE51" s="894" t="str">
        <f t="shared" si="34"/>
        <v/>
      </c>
      <c r="BF51" s="894"/>
      <c r="BG51" s="157" t="s">
        <v>142</v>
      </c>
      <c r="BH51" s="895" t="str">
        <f t="shared" si="35"/>
        <v/>
      </c>
      <c r="BI51" s="895"/>
      <c r="BJ51" s="582"/>
      <c r="BQ51" s="298" t="b">
        <f t="shared" si="36"/>
        <v>0</v>
      </c>
      <c r="BR51" s="298" t="b">
        <f t="shared" si="36"/>
        <v>0</v>
      </c>
      <c r="BS51" s="298"/>
      <c r="BT51" s="298" t="b">
        <f t="shared" si="41"/>
        <v>0</v>
      </c>
      <c r="BU51" s="298" t="b">
        <f t="shared" si="42"/>
        <v>0</v>
      </c>
      <c r="BV51" s="617">
        <f t="shared" si="37"/>
        <v>0</v>
      </c>
      <c r="BW51" s="301">
        <f t="shared" si="38"/>
        <v>0</v>
      </c>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row>
    <row r="52" spans="1:178" ht="14.1" customHeight="1">
      <c r="A52" s="54"/>
      <c r="B52" s="64"/>
      <c r="C52" s="333"/>
      <c r="D52" s="64"/>
      <c r="E52" s="231"/>
      <c r="F52" s="890"/>
      <c r="G52" s="890"/>
      <c r="H52" s="890"/>
      <c r="I52" s="890"/>
      <c r="J52" s="890"/>
      <c r="K52" s="890"/>
      <c r="L52" s="890"/>
      <c r="M52" s="890"/>
      <c r="N52" s="890"/>
      <c r="O52" s="890"/>
      <c r="P52" s="890"/>
      <c r="Q52" s="890"/>
      <c r="R52" s="890"/>
      <c r="S52" s="890"/>
      <c r="T52" s="890"/>
      <c r="U52" s="890"/>
      <c r="V52" s="890"/>
      <c r="W52" s="890"/>
      <c r="X52" s="890"/>
      <c r="Y52" s="890"/>
      <c r="Z52" s="890"/>
      <c r="AA52" s="890"/>
      <c r="AB52" s="208"/>
      <c r="AC52" s="204"/>
      <c r="AD52" s="891"/>
      <c r="AE52" s="892"/>
      <c r="AF52" s="892"/>
      <c r="AG52" s="893"/>
      <c r="AH52" s="333"/>
      <c r="AI52" s="64"/>
      <c r="AJ52" s="43" t="str">
        <f t="shared" si="32"/>
        <v/>
      </c>
      <c r="AK52" s="159"/>
      <c r="AL52" s="204"/>
      <c r="AM52" s="712"/>
      <c r="AN52" s="712"/>
      <c r="AO52" s="204"/>
      <c r="AP52" s="55" t="str">
        <f>IFERROR(IF(D52="","",VLOOKUP('HVAC Efficiency Tables'!AG271&amp;'HVAC Efficiency Tables'!AH271&amp;'HVAC Efficiency Tables'!AI271,HVACEfficiencies,3,FALSE)),"")</f>
        <v/>
      </c>
      <c r="AQ52" s="43" t="str">
        <f t="shared" si="39"/>
        <v/>
      </c>
      <c r="AR52" s="532"/>
      <c r="AS52" s="43"/>
      <c r="AT52" s="43"/>
      <c r="AU52" s="43"/>
      <c r="AV52" s="43"/>
      <c r="AW52" s="894" t="str">
        <f t="shared" si="33"/>
        <v/>
      </c>
      <c r="AX52" s="894"/>
      <c r="AY52" s="55" t="str">
        <f>IFERROR(IF(D52="","",VLOOKUP('HVAC Efficiency Tables'!AG271&amp;'HVAC Efficiency Tables'!AH271&amp;'HVAC Efficiency Tables'!AI271,HVACEfficiencies,5,FALSE)),"")</f>
        <v/>
      </c>
      <c r="AZ52" s="43" t="str">
        <f t="shared" si="40"/>
        <v/>
      </c>
      <c r="BA52" s="532"/>
      <c r="BB52" s="43"/>
      <c r="BC52" s="43"/>
      <c r="BD52" s="43"/>
      <c r="BE52" s="894" t="str">
        <f t="shared" si="34"/>
        <v/>
      </c>
      <c r="BF52" s="894"/>
      <c r="BG52" s="157" t="s">
        <v>142</v>
      </c>
      <c r="BH52" s="895" t="str">
        <f t="shared" si="35"/>
        <v/>
      </c>
      <c r="BI52" s="895"/>
      <c r="BJ52" s="582"/>
      <c r="BQ52" s="298" t="b">
        <f t="shared" si="36"/>
        <v>0</v>
      </c>
      <c r="BR52" s="298" t="b">
        <f t="shared" si="36"/>
        <v>0</v>
      </c>
      <c r="BS52" s="298"/>
      <c r="BT52" s="298" t="b">
        <f t="shared" si="41"/>
        <v>0</v>
      </c>
      <c r="BU52" s="298" t="b">
        <f t="shared" si="42"/>
        <v>0</v>
      </c>
      <c r="BV52" s="617">
        <f t="shared" si="37"/>
        <v>0</v>
      </c>
      <c r="BW52" s="301">
        <f t="shared" si="38"/>
        <v>0</v>
      </c>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row>
    <row r="53" spans="1:178" s="22" customFormat="1" ht="15.6" customHeight="1" thickBot="1">
      <c r="A53" s="583"/>
      <c r="B53" s="534"/>
      <c r="C53" s="534"/>
      <c r="D53" s="534"/>
      <c r="E53" s="534"/>
      <c r="F53" s="534"/>
      <c r="G53" s="534"/>
      <c r="H53" s="534"/>
      <c r="I53" s="534"/>
      <c r="J53" s="534"/>
      <c r="K53" s="534"/>
      <c r="L53" s="534"/>
      <c r="M53" s="534"/>
      <c r="N53" s="534"/>
      <c r="O53" s="534"/>
      <c r="P53" s="534"/>
      <c r="Q53" s="534"/>
      <c r="R53" s="534"/>
      <c r="S53" s="534"/>
      <c r="T53" s="534"/>
      <c r="U53" s="534"/>
      <c r="V53" s="534"/>
      <c r="W53" s="534"/>
      <c r="X53" s="534"/>
      <c r="Y53" s="534"/>
      <c r="Z53" s="534"/>
      <c r="AA53" s="534"/>
      <c r="AB53" s="534"/>
      <c r="AC53" s="534"/>
      <c r="AD53" s="534"/>
      <c r="AE53" s="534"/>
      <c r="AF53" s="534"/>
      <c r="AG53" s="534"/>
      <c r="AH53" s="534"/>
      <c r="AI53" s="534"/>
      <c r="AJ53" s="534"/>
      <c r="AK53" s="534"/>
      <c r="AL53" s="534"/>
      <c r="AM53" s="534"/>
      <c r="AN53" s="534"/>
      <c r="AO53" s="534"/>
      <c r="AP53" s="534"/>
      <c r="AQ53" s="534"/>
      <c r="AR53" s="534"/>
      <c r="AS53" s="534"/>
      <c r="AT53" s="534"/>
      <c r="AU53" s="534"/>
      <c r="AV53" s="534"/>
      <c r="AW53" s="534"/>
      <c r="AX53" s="534"/>
      <c r="AY53" s="534"/>
      <c r="AZ53" s="534"/>
      <c r="BA53" s="534"/>
      <c r="BB53" s="534"/>
      <c r="BC53" s="534"/>
      <c r="BD53" s="534"/>
      <c r="BE53" s="534"/>
      <c r="BF53" s="534"/>
      <c r="BG53" s="544"/>
      <c r="BH53" s="545"/>
      <c r="BI53" s="545"/>
      <c r="BJ53" s="536"/>
      <c r="BK53" s="1"/>
      <c r="BL53" s="1"/>
      <c r="BM53" s="1"/>
      <c r="BN53" s="1"/>
      <c r="BQ53" s="533"/>
      <c r="BR53" s="533"/>
      <c r="BS53" s="533"/>
      <c r="BT53" s="533"/>
      <c r="BU53" s="533"/>
      <c r="BV53" s="304" t="s">
        <v>2699</v>
      </c>
      <c r="BW53" s="304" t="s">
        <v>2700</v>
      </c>
      <c r="BY53" s="102"/>
      <c r="BZ53" s="102"/>
      <c r="CA53" s="94"/>
      <c r="CB53" s="94"/>
      <c r="CC53" s="94"/>
      <c r="CD53" s="94"/>
      <c r="CE53" s="94"/>
      <c r="CF53" s="94"/>
      <c r="CG53" s="94"/>
      <c r="CH53" s="94"/>
      <c r="CI53" s="94"/>
      <c r="CJ53" s="94"/>
      <c r="CK53" s="94"/>
      <c r="CL53" s="94"/>
      <c r="CM53" s="102"/>
      <c r="CN53" s="102"/>
      <c r="CO53" s="102"/>
      <c r="CP53" s="102"/>
      <c r="CQ53" s="102"/>
      <c r="CR53" s="102"/>
      <c r="CS53" s="102"/>
      <c r="CT53" s="102"/>
      <c r="CU53" s="102"/>
      <c r="CV53" s="102"/>
      <c r="CW53" s="102"/>
      <c r="CX53" s="102"/>
      <c r="CY53" s="102"/>
      <c r="CZ53" s="102"/>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row>
    <row r="54" spans="1:178" s="22" customFormat="1" ht="15.6" customHeight="1">
      <c r="A54" s="381"/>
      <c r="B54" s="208"/>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713"/>
      <c r="AN54" s="713"/>
      <c r="AO54" s="208"/>
      <c r="AP54" s="208"/>
      <c r="AQ54" s="208"/>
      <c r="AR54" s="208"/>
      <c r="AS54" s="208"/>
      <c r="AT54" s="713"/>
      <c r="AU54" s="713"/>
      <c r="AV54" s="208"/>
      <c r="AW54" s="208"/>
      <c r="AX54" s="208"/>
      <c r="AY54" s="208"/>
      <c r="AZ54" s="208"/>
      <c r="BA54" s="208"/>
      <c r="BB54" s="25"/>
      <c r="BC54" s="25"/>
      <c r="BD54" s="25"/>
      <c r="BE54" s="25"/>
      <c r="BF54" s="61" t="s">
        <v>2701</v>
      </c>
      <c r="BG54" s="25"/>
      <c r="BH54" s="896" t="str">
        <f>IF(BM43&gt;=1,SUM(BH43:BH52),"")</f>
        <v/>
      </c>
      <c r="BI54" s="896"/>
      <c r="BJ54" s="537"/>
      <c r="BK54" s="1"/>
      <c r="BL54" s="1"/>
      <c r="BM54" s="1"/>
      <c r="BN54" s="1"/>
      <c r="BQ54" s="533"/>
      <c r="BR54" s="533"/>
      <c r="BS54" s="533"/>
      <c r="BT54" s="533"/>
      <c r="BU54" s="533"/>
      <c r="BV54" s="302">
        <f>SUM(BV43:BV52)</f>
        <v>0</v>
      </c>
      <c r="BW54" s="299">
        <f>SUM(BW43:BW52)</f>
        <v>0</v>
      </c>
      <c r="BY54" s="102"/>
      <c r="BZ54" s="102"/>
      <c r="CA54" s="94"/>
      <c r="CB54" s="94"/>
      <c r="CC54" s="94"/>
      <c r="CD54" s="94"/>
      <c r="CE54" s="94"/>
      <c r="CF54" s="94"/>
      <c r="CG54" s="94"/>
      <c r="CH54" s="94"/>
      <c r="CI54" s="94"/>
      <c r="CJ54" s="94"/>
      <c r="CK54" s="94"/>
      <c r="CL54" s="94"/>
      <c r="CM54" s="102"/>
      <c r="CN54" s="102"/>
      <c r="CO54" s="102"/>
      <c r="CP54" s="102"/>
      <c r="CQ54" s="102"/>
      <c r="CR54" s="102"/>
      <c r="CS54" s="102"/>
      <c r="CT54" s="102"/>
      <c r="CU54" s="102"/>
      <c r="CV54" s="102"/>
      <c r="CW54" s="102"/>
      <c r="CX54" s="102"/>
      <c r="CY54" s="102"/>
      <c r="CZ54" s="102"/>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row>
    <row r="55" spans="1:178" s="22" customFormat="1" ht="16.5" thickBot="1">
      <c r="A55" s="62" t="s">
        <v>2702</v>
      </c>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c r="AE55" s="208"/>
      <c r="AF55" s="208"/>
      <c r="AG55" s="208"/>
      <c r="AH55" s="208"/>
      <c r="AI55" s="208"/>
      <c r="AJ55" s="208"/>
      <c r="AK55" s="208"/>
      <c r="AL55" s="208"/>
      <c r="AM55" s="713"/>
      <c r="AN55" s="713"/>
      <c r="AO55" s="208"/>
      <c r="AP55" s="208"/>
      <c r="AQ55" s="208"/>
      <c r="AR55" s="208"/>
      <c r="AS55" s="208"/>
      <c r="AT55" s="713"/>
      <c r="AU55" s="713"/>
      <c r="AV55" s="208"/>
      <c r="AW55" s="208"/>
      <c r="AX55" s="208"/>
      <c r="AY55" s="208"/>
      <c r="AZ55" s="208"/>
      <c r="BA55" s="208"/>
      <c r="BB55" s="208"/>
      <c r="BC55" s="713"/>
      <c r="BD55" s="713"/>
      <c r="BE55" s="208"/>
      <c r="BF55" s="208"/>
      <c r="BG55" s="530"/>
      <c r="BH55" s="530"/>
      <c r="BI55" s="530"/>
      <c r="BJ55" s="538"/>
      <c r="BK55" s="1"/>
      <c r="BL55" s="1"/>
      <c r="BM55" s="1"/>
      <c r="BN55" s="1"/>
      <c r="BQ55" s="533"/>
      <c r="BR55" s="533"/>
      <c r="BS55" s="533"/>
      <c r="BT55" s="533"/>
      <c r="BU55" s="533"/>
      <c r="BV55" s="533"/>
      <c r="BW55" s="533"/>
      <c r="BY55" s="102"/>
      <c r="BZ55" s="102"/>
      <c r="CA55" s="94"/>
      <c r="CB55" s="94"/>
      <c r="CC55" s="94"/>
      <c r="CD55" s="94"/>
      <c r="CE55" s="94"/>
      <c r="CF55" s="94"/>
      <c r="CG55" s="94"/>
      <c r="CH55" s="94"/>
      <c r="CI55" s="94"/>
      <c r="CJ55" s="94"/>
      <c r="CK55" s="94"/>
      <c r="CL55" s="94"/>
      <c r="CM55" s="102"/>
      <c r="CN55" s="102"/>
      <c r="CO55" s="102"/>
      <c r="CP55" s="102"/>
      <c r="CQ55" s="102"/>
      <c r="CR55" s="102"/>
      <c r="CS55" s="102"/>
      <c r="CT55" s="102"/>
      <c r="CU55" s="102"/>
      <c r="CV55" s="102"/>
      <c r="CW55" s="102"/>
      <c r="CX55" s="102"/>
      <c r="CY55" s="102"/>
      <c r="CZ55" s="102"/>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row>
    <row r="56" spans="1:178" s="22" customFormat="1" ht="15.75">
      <c r="A56" s="543"/>
      <c r="B56" s="381"/>
      <c r="C56" s="381"/>
      <c r="D56" s="381"/>
      <c r="E56" s="381"/>
      <c r="F56" s="381"/>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381"/>
      <c r="AL56" s="381"/>
      <c r="AM56" s="710"/>
      <c r="AN56" s="710"/>
      <c r="AO56" s="381"/>
      <c r="AP56" s="905" t="s">
        <v>2655</v>
      </c>
      <c r="AQ56" s="905"/>
      <c r="AR56" s="905"/>
      <c r="AS56" s="905"/>
      <c r="AT56" s="905"/>
      <c r="AU56" s="905"/>
      <c r="AV56" s="905"/>
      <c r="AW56" s="905"/>
      <c r="AX56" s="905"/>
      <c r="AY56" s="905"/>
      <c r="AZ56" s="905"/>
      <c r="BA56" s="905"/>
      <c r="BB56" s="905"/>
      <c r="BC56" s="905"/>
      <c r="BD56" s="905"/>
      <c r="BE56" s="905"/>
      <c r="BF56" s="905"/>
      <c r="BG56" s="881" t="s">
        <v>2703</v>
      </c>
      <c r="BH56" s="881"/>
      <c r="BI56" s="881"/>
      <c r="BJ56" s="225"/>
      <c r="BK56" s="1"/>
      <c r="BL56" s="1"/>
      <c r="BM56" s="1"/>
      <c r="BN56" s="1"/>
      <c r="BQ56" s="906" t="s">
        <v>2704</v>
      </c>
      <c r="BR56" s="907"/>
      <c r="BS56" s="907"/>
      <c r="BT56" s="907"/>
      <c r="BU56" s="907"/>
      <c r="BV56" s="907"/>
      <c r="BW56" s="908"/>
      <c r="BY56" s="102"/>
      <c r="BZ56" s="102"/>
      <c r="CA56" s="94"/>
      <c r="CB56" s="94"/>
      <c r="CC56" s="94"/>
      <c r="CD56" s="94"/>
      <c r="CE56" s="94"/>
      <c r="CF56" s="94"/>
      <c r="CG56" s="94"/>
      <c r="CH56" s="94"/>
      <c r="CI56" s="94"/>
      <c r="CJ56" s="94"/>
      <c r="CK56" s="94"/>
      <c r="CL56" s="94"/>
      <c r="CM56" s="102"/>
      <c r="CN56" s="102"/>
      <c r="CO56" s="102"/>
      <c r="CP56" s="102"/>
      <c r="CQ56" s="102"/>
      <c r="CR56" s="102"/>
      <c r="CS56" s="102"/>
      <c r="CT56" s="102"/>
      <c r="CU56" s="102"/>
      <c r="CV56" s="102"/>
      <c r="CW56" s="102"/>
      <c r="CX56" s="102"/>
      <c r="CY56" s="102"/>
      <c r="CZ56" s="102"/>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row>
    <row r="57" spans="1:178" s="22" customFormat="1" ht="20.45" customHeight="1">
      <c r="A57" s="519"/>
      <c r="B57" s="208"/>
      <c r="C57" s="49"/>
      <c r="D57" s="208"/>
      <c r="E57" s="208"/>
      <c r="F57" s="50"/>
      <c r="G57" s="50"/>
      <c r="H57" s="50"/>
      <c r="I57" s="50"/>
      <c r="J57" s="50"/>
      <c r="K57" s="50"/>
      <c r="L57" s="50"/>
      <c r="M57" s="50"/>
      <c r="N57" s="50"/>
      <c r="O57" s="50"/>
      <c r="P57" s="50"/>
      <c r="Q57" s="208"/>
      <c r="R57" s="546"/>
      <c r="S57" s="546"/>
      <c r="T57" s="546"/>
      <c r="U57" s="546"/>
      <c r="V57" s="204"/>
      <c r="W57" s="909"/>
      <c r="X57" s="909"/>
      <c r="Y57" s="909"/>
      <c r="Z57" s="909"/>
      <c r="AA57" s="909"/>
      <c r="AB57" s="909"/>
      <c r="AC57" s="204"/>
      <c r="AD57" s="204"/>
      <c r="AE57" s="204"/>
      <c r="AF57" s="204"/>
      <c r="AG57" s="204"/>
      <c r="AH57" s="51"/>
      <c r="AI57" s="51" t="s">
        <v>2682</v>
      </c>
      <c r="AJ57" s="204"/>
      <c r="AK57" s="51" t="s">
        <v>3323</v>
      </c>
      <c r="AL57" s="204"/>
      <c r="AM57" s="712"/>
      <c r="AN57" s="712"/>
      <c r="AO57" s="204"/>
      <c r="AP57" s="910" t="s">
        <v>2695</v>
      </c>
      <c r="AQ57" s="910"/>
      <c r="AR57" s="910"/>
      <c r="AS57" s="910"/>
      <c r="AT57" s="910"/>
      <c r="AU57" s="910"/>
      <c r="AV57" s="910"/>
      <c r="AW57" s="910"/>
      <c r="AX57" s="910"/>
      <c r="AY57" s="910" t="s">
        <v>2696</v>
      </c>
      <c r="AZ57" s="910"/>
      <c r="BA57" s="910"/>
      <c r="BB57" s="910"/>
      <c r="BC57" s="910"/>
      <c r="BD57" s="910"/>
      <c r="BE57" s="910"/>
      <c r="BF57" s="910"/>
      <c r="BG57" s="882"/>
      <c r="BH57" s="882"/>
      <c r="BI57" s="882"/>
      <c r="BJ57" s="53"/>
      <c r="BK57" s="1"/>
      <c r="BL57" s="1"/>
      <c r="BM57" s="1"/>
      <c r="BN57" s="1"/>
      <c r="BQ57" s="84"/>
      <c r="BR57" s="84"/>
      <c r="BS57" s="84"/>
      <c r="BT57" s="84"/>
      <c r="BU57" s="84"/>
      <c r="BV57" s="84"/>
      <c r="BW57" s="84"/>
      <c r="BY57" s="102"/>
      <c r="BZ57" s="102"/>
      <c r="CA57" s="94"/>
      <c r="CB57" s="94"/>
      <c r="CC57" s="94"/>
      <c r="CD57" s="94"/>
      <c r="CE57" s="94"/>
      <c r="CF57" s="94"/>
      <c r="CG57" s="94"/>
      <c r="CH57" s="94"/>
      <c r="CI57" s="94"/>
      <c r="CJ57" s="94"/>
      <c r="CK57" s="94"/>
      <c r="CL57" s="94"/>
      <c r="CM57" s="102"/>
      <c r="CN57" s="102"/>
      <c r="CO57" s="102"/>
      <c r="CP57" s="102"/>
      <c r="CQ57" s="102"/>
      <c r="CR57" s="102"/>
      <c r="CS57" s="102"/>
      <c r="CT57" s="102"/>
      <c r="CU57" s="102"/>
      <c r="CV57" s="102"/>
      <c r="CW57" s="102"/>
      <c r="CX57" s="102"/>
      <c r="CY57" s="102"/>
      <c r="CZ57" s="102"/>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row>
    <row r="58" spans="1:178" s="22" customFormat="1" ht="24.6" customHeight="1">
      <c r="A58" s="48"/>
      <c r="B58" s="159" t="s">
        <v>2661</v>
      </c>
      <c r="C58" s="411"/>
      <c r="D58" s="159" t="s">
        <v>2662</v>
      </c>
      <c r="E58" s="159"/>
      <c r="F58" s="159" t="s">
        <v>2663</v>
      </c>
      <c r="G58" s="50"/>
      <c r="H58" s="50"/>
      <c r="I58" s="50"/>
      <c r="J58" s="50"/>
      <c r="K58" s="50"/>
      <c r="L58" s="50"/>
      <c r="M58" s="50"/>
      <c r="N58" s="50"/>
      <c r="O58" s="50"/>
      <c r="P58" s="50"/>
      <c r="Q58" s="208"/>
      <c r="R58" s="546"/>
      <c r="S58" s="546"/>
      <c r="T58" s="546"/>
      <c r="U58" s="546"/>
      <c r="V58" s="204"/>
      <c r="W58" s="909"/>
      <c r="X58" s="909"/>
      <c r="Y58" s="909"/>
      <c r="Z58" s="909"/>
      <c r="AA58" s="909"/>
      <c r="AB58" s="909"/>
      <c r="AC58" s="204"/>
      <c r="AD58" s="159" t="s">
        <v>2664</v>
      </c>
      <c r="AE58" s="197"/>
      <c r="AF58" s="159"/>
      <c r="AG58" s="159"/>
      <c r="AH58" s="410"/>
      <c r="AI58" s="159" t="s">
        <v>2665</v>
      </c>
      <c r="AJ58" s="197"/>
      <c r="AK58" s="159" t="s">
        <v>2665</v>
      </c>
      <c r="AL58" s="204"/>
      <c r="AM58" s="712"/>
      <c r="AN58" s="712"/>
      <c r="AO58" s="204"/>
      <c r="AP58" s="911" t="s">
        <v>2705</v>
      </c>
      <c r="AQ58" s="911"/>
      <c r="AR58" s="911"/>
      <c r="AS58" s="911"/>
      <c r="AT58" s="911"/>
      <c r="AU58" s="911"/>
      <c r="AV58" s="911"/>
      <c r="AW58" s="911"/>
      <c r="AX58" s="50"/>
      <c r="AY58" s="911" t="s">
        <v>2706</v>
      </c>
      <c r="AZ58" s="911"/>
      <c r="BA58" s="911"/>
      <c r="BB58" s="911"/>
      <c r="BC58" s="911"/>
      <c r="BD58" s="911"/>
      <c r="BE58" s="911"/>
      <c r="BF58" s="50"/>
      <c r="BG58" s="882"/>
      <c r="BH58" s="882"/>
      <c r="BI58" s="882"/>
      <c r="BJ58" s="53"/>
      <c r="BK58" s="1"/>
      <c r="BL58" s="1"/>
      <c r="BM58" s="1"/>
      <c r="BN58" s="1"/>
      <c r="BQ58" s="542" t="s">
        <v>2667</v>
      </c>
      <c r="BR58" s="542" t="s">
        <v>2668</v>
      </c>
      <c r="BS58" s="542"/>
      <c r="BT58" s="542" t="s">
        <v>2670</v>
      </c>
      <c r="BU58" s="542" t="s">
        <v>2671</v>
      </c>
      <c r="BV58" s="306" t="s">
        <v>2687</v>
      </c>
      <c r="BW58" s="307" t="s">
        <v>2688</v>
      </c>
      <c r="BY58" s="102"/>
      <c r="BZ58" s="102"/>
      <c r="CA58" s="94"/>
      <c r="CB58" s="94"/>
      <c r="CC58" s="94"/>
      <c r="CD58" s="94"/>
      <c r="CE58" s="94"/>
      <c r="CF58" s="94"/>
      <c r="CG58" s="94"/>
      <c r="CH58" s="94"/>
      <c r="CI58" s="94"/>
      <c r="CJ58" s="94"/>
      <c r="CK58" s="94"/>
      <c r="CL58" s="94"/>
      <c r="CM58" s="102"/>
      <c r="CN58" s="102"/>
      <c r="CO58" s="102"/>
      <c r="CP58" s="102"/>
      <c r="CQ58" s="102"/>
      <c r="CR58" s="102"/>
      <c r="CS58" s="102"/>
      <c r="CT58" s="102"/>
      <c r="CU58" s="102"/>
      <c r="CV58" s="102"/>
      <c r="CW58" s="102"/>
      <c r="CX58" s="102"/>
      <c r="CY58" s="102"/>
      <c r="CZ58" s="102"/>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row>
    <row r="59" spans="1:178" ht="14.1" customHeight="1">
      <c r="A59" s="54"/>
      <c r="B59" s="64"/>
      <c r="C59" s="333"/>
      <c r="D59" s="64"/>
      <c r="E59" s="231"/>
      <c r="F59" s="890"/>
      <c r="G59" s="890"/>
      <c r="H59" s="890"/>
      <c r="I59" s="890"/>
      <c r="J59" s="890"/>
      <c r="K59" s="890"/>
      <c r="L59" s="890"/>
      <c r="M59" s="890"/>
      <c r="N59" s="890"/>
      <c r="O59" s="890"/>
      <c r="P59" s="890"/>
      <c r="Q59" s="890"/>
      <c r="R59" s="890"/>
      <c r="S59" s="890"/>
      <c r="T59" s="890"/>
      <c r="U59" s="890"/>
      <c r="V59" s="890"/>
      <c r="W59" s="890"/>
      <c r="X59" s="890"/>
      <c r="Y59" s="890"/>
      <c r="Z59" s="890"/>
      <c r="AA59" s="890"/>
      <c r="AB59" s="208"/>
      <c r="AC59" s="204"/>
      <c r="AD59" s="891"/>
      <c r="AE59" s="892"/>
      <c r="AF59" s="892"/>
      <c r="AG59" s="893"/>
      <c r="AH59" s="333"/>
      <c r="AI59" s="64"/>
      <c r="AJ59" s="43" t="str">
        <f t="shared" ref="AJ59:AJ68" si="43">IF(OR(D59="",AW59="Ineligible"),"","EER")</f>
        <v/>
      </c>
      <c r="AK59" s="720"/>
      <c r="AL59" s="712" t="str">
        <f t="shared" ref="AL59:AL68" si="44">IF(OR(D59="",AW59="Ineligible"),"","COP")</f>
        <v/>
      </c>
      <c r="AM59" s="712"/>
      <c r="AN59" s="712"/>
      <c r="AO59" s="204"/>
      <c r="AP59" s="55" t="str">
        <f>IFERROR(IF(D59="","",VLOOKUP('HVAC Efficiency Tables'!AG275&amp;'HVAC Efficiency Tables'!AH275&amp;'HVAC Efficiency Tables'!AI275,HVACEfficiencies,3,FALSE)),"")</f>
        <v/>
      </c>
      <c r="AQ59" s="43" t="str">
        <f>IF(OR(AP59="N/A",AP59=""),"","EER")</f>
        <v/>
      </c>
      <c r="AR59" s="719" t="str">
        <f>IFERROR(IF(D59="","",VLOOKUP('HVAC Efficiency Tables'!AG275&amp;'HVAC Efficiency Tables'!AH275&amp;'HVAC Efficiency Tables'!AI275,HVACEfficiencies,12,FALSE)),"")</f>
        <v/>
      </c>
      <c r="AS59" s="43" t="str">
        <f>IF(OR(AR59="N/A",AR59=""),"","COP")</f>
        <v/>
      </c>
      <c r="AT59" s="43"/>
      <c r="AU59" s="43"/>
      <c r="AV59" s="43"/>
      <c r="AW59" s="894" t="str">
        <f t="shared" ref="AW59:AW68" si="45">IF(AY59&lt;=AI59,"",IF(OR(AI59="",$AP59="",AP59="N/A"),"",IF($AY59&lt;=AI59,"",IF($AP59&lt;=AI59,"Qualified","Not Qualified"))))</f>
        <v/>
      </c>
      <c r="AX59" s="894"/>
      <c r="AY59" s="55" t="str">
        <f>IFERROR(IF(D59="","",VLOOKUP('HVAC Efficiency Tables'!AG275&amp;'HVAC Efficiency Tables'!AH275&amp;'HVAC Efficiency Tables'!AI275,HVACEfficiencies,5,FALSE)),"")</f>
        <v/>
      </c>
      <c r="AZ59" s="43" t="str">
        <f>IF(OR(AY59="N/A",AY59=""),"","EER")</f>
        <v/>
      </c>
      <c r="BA59" s="310" t="str">
        <f>IFERROR(IF(D59="","",VLOOKUP('HVAC Efficiency Tables'!AG275&amp;'HVAC Efficiency Tables'!AH275&amp;'HVAC Efficiency Tables'!AI275,HVACEfficiencies,13,FALSE)),"")</f>
        <v/>
      </c>
      <c r="BB59" s="43" t="str">
        <f>IF(OR(BA59="N/A",BA59=""),"","COP")</f>
        <v/>
      </c>
      <c r="BC59" s="43"/>
      <c r="BD59" s="43"/>
      <c r="BE59" s="894" t="str">
        <f t="shared" ref="BE59:BE68" si="46">IF(OR(AI59="",$AY59="",$AY59="N/A"),"",IF(AND($AY59&lt;=AI59,OR($BA59&lt;=AK59,$BA59="N/A")),"Qualified","Not Qualified"))</f>
        <v/>
      </c>
      <c r="BF59" s="894"/>
      <c r="BG59" s="157" t="s">
        <v>142</v>
      </c>
      <c r="BH59" s="895" t="str">
        <f t="shared" ref="BH59:BH68" si="47">IF(AND($BT$1&lt;&gt;"Electric",B59&gt;0),$BT$1,IF(AW59="Qualified",D59*B59*75,IF(BE59="Qualified",B59*D59*105,"")))</f>
        <v/>
      </c>
      <c r="BI59" s="895"/>
      <c r="BJ59" s="582"/>
      <c r="BM59" s="296">
        <f>COUNTIF(AW58:AW68,"Qualified")+COUNTIF(BE58:BE68,"Qualified")</f>
        <v>0</v>
      </c>
      <c r="BQ59" s="298" t="b">
        <f>IF($BR$1="ID",IF($AW59="Qualified",808,IF($BE59="Qualified",874.16,"")),IF($BR$1="OR",IF($AW59="Qualified",1091.92,IF($BE59="Qualified",1164.83,""))))</f>
        <v>0</v>
      </c>
      <c r="BR59" s="298" t="b">
        <f t="shared" ref="BR59:BR68" si="48">IF($BR$1="ID",IF($AW59="Qualified",180.99,IF($BE59="Qualified",247.15,"")),IF($BR$1="OR",IF($AW59="Qualified",200.9,IF($BE59="Qualified",273.81,""))))</f>
        <v>0</v>
      </c>
      <c r="BS59" s="298"/>
      <c r="BT59" s="298" t="b">
        <f t="shared" ref="BT59:BT68" si="49">IF($BR$1="ID",IF($AW59="Qualified",180.99,IF($BE59="Qualified",247.15,"")),IF($BR$1="OR",IF($AW59="Qualified",200.9,IF($BE59="Qualified",273.81,""))))</f>
        <v>0</v>
      </c>
      <c r="BU59" s="298" t="b">
        <f>IF($BR$1="ID",IF($AW59="Qualified",159/1000,IF($BE59="Qualified",219/1000,"")),IF($BR$1="OR",IF($AW59="Qualified",159/1000,IF($BE59="Qualified",219/1000,""))))</f>
        <v>0</v>
      </c>
      <c r="BV59" s="617">
        <f t="shared" ref="BV59:BV68" si="50">IF($BT$1&lt;&gt;"Electric",0,IF(OR(AW59="Qualified",BE59="Qualified"),IF($AD$6="Electric",IF($AD$7="Electric resistance",BQ59,IF($AD$7="Electric Heat Pump",BR59,0)),BT59)*(B59*D59),0))</f>
        <v>0</v>
      </c>
      <c r="BW59" s="301">
        <f t="shared" ref="BW59:BW68" si="51">IF(OR(AW59="Qualified",BE59="Qualified"),BU59*(B59*D59),0)</f>
        <v>0</v>
      </c>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row>
    <row r="60" spans="1:178" ht="14.1" customHeight="1">
      <c r="A60" s="54"/>
      <c r="B60" s="64"/>
      <c r="C60" s="333"/>
      <c r="D60" s="64"/>
      <c r="E60" s="231"/>
      <c r="F60" s="890"/>
      <c r="G60" s="890"/>
      <c r="H60" s="890"/>
      <c r="I60" s="890"/>
      <c r="J60" s="890"/>
      <c r="K60" s="890"/>
      <c r="L60" s="890"/>
      <c r="M60" s="890"/>
      <c r="N60" s="890"/>
      <c r="O60" s="890"/>
      <c r="P60" s="890"/>
      <c r="Q60" s="890"/>
      <c r="R60" s="890"/>
      <c r="S60" s="890"/>
      <c r="T60" s="890"/>
      <c r="U60" s="890"/>
      <c r="V60" s="890"/>
      <c r="W60" s="890"/>
      <c r="X60" s="890"/>
      <c r="Y60" s="890"/>
      <c r="Z60" s="890"/>
      <c r="AA60" s="890"/>
      <c r="AB60" s="208"/>
      <c r="AC60" s="204"/>
      <c r="AD60" s="891"/>
      <c r="AE60" s="892"/>
      <c r="AF60" s="892"/>
      <c r="AG60" s="893"/>
      <c r="AH60" s="333"/>
      <c r="AI60" s="64"/>
      <c r="AJ60" s="43" t="str">
        <f t="shared" si="43"/>
        <v/>
      </c>
      <c r="AK60" s="720"/>
      <c r="AL60" s="712" t="str">
        <f t="shared" si="44"/>
        <v/>
      </c>
      <c r="AM60" s="712"/>
      <c r="AN60" s="712"/>
      <c r="AO60" s="204"/>
      <c r="AP60" s="55" t="str">
        <f>IFERROR(IF(D60="","",VLOOKUP('HVAC Efficiency Tables'!AG276&amp;'HVAC Efficiency Tables'!AH276&amp;'HVAC Efficiency Tables'!AI276,HVACEfficiencies,3,FALSE)),"")</f>
        <v/>
      </c>
      <c r="AQ60" s="43" t="str">
        <f t="shared" ref="AQ60:AQ68" si="52">IF(OR(AP60="N/A",AP60=""),"","EER")</f>
        <v/>
      </c>
      <c r="AR60" s="719" t="str">
        <f>IFERROR(IF(D60="","",VLOOKUP('HVAC Efficiency Tables'!AG276&amp;'HVAC Efficiency Tables'!AH276&amp;'HVAC Efficiency Tables'!AI276,HVACEfficiencies,12,FALSE)),"")</f>
        <v/>
      </c>
      <c r="AS60" s="43" t="str">
        <f t="shared" ref="AS60:AS68" si="53">IF(OR(AR60="N/A",AR60=""),"","COP")</f>
        <v/>
      </c>
      <c r="AT60" s="43"/>
      <c r="AU60" s="43"/>
      <c r="AV60" s="43"/>
      <c r="AW60" s="894" t="str">
        <f t="shared" si="45"/>
        <v/>
      </c>
      <c r="AX60" s="894"/>
      <c r="AY60" s="55" t="str">
        <f>IFERROR(IF(D60="","",VLOOKUP('HVAC Efficiency Tables'!AG276&amp;'HVAC Efficiency Tables'!AH276&amp;'HVAC Efficiency Tables'!AI276,HVACEfficiencies,5,FALSE)),"")</f>
        <v/>
      </c>
      <c r="AZ60" s="43" t="str">
        <f t="shared" ref="AZ60:AZ68" si="54">IF(OR(AY60="N/A",AY60=""),"","EER")</f>
        <v/>
      </c>
      <c r="BA60" s="310" t="str">
        <f>IFERROR(IF(D60="","",VLOOKUP('HVAC Efficiency Tables'!AG276&amp;'HVAC Efficiency Tables'!AH276&amp;'HVAC Efficiency Tables'!AI276,HVACEfficiencies,13,FALSE)),"")</f>
        <v/>
      </c>
      <c r="BB60" s="43" t="str">
        <f t="shared" ref="BB60:BB68" si="55">IF(OR(BA60="N/A",BA60=""),"","COP")</f>
        <v/>
      </c>
      <c r="BC60" s="43"/>
      <c r="BD60" s="43"/>
      <c r="BE60" s="894" t="str">
        <f t="shared" si="46"/>
        <v/>
      </c>
      <c r="BF60" s="894"/>
      <c r="BG60" s="157" t="s">
        <v>142</v>
      </c>
      <c r="BH60" s="895" t="str">
        <f t="shared" si="47"/>
        <v/>
      </c>
      <c r="BI60" s="895"/>
      <c r="BJ60" s="582"/>
      <c r="BQ60" s="298" t="b">
        <f t="shared" ref="BQ60:BQ68" si="56">IF($BR$1="ID",IF($AW60="Qualified",808,IF($BE60="Qualified",874.16,"")),IF($BR$1="OR",IF($AW60="Qualified",1091.92,IF($BE60="Qualified",1164.83,""))))</f>
        <v>0</v>
      </c>
      <c r="BR60" s="298" t="b">
        <f t="shared" si="48"/>
        <v>0</v>
      </c>
      <c r="BS60" s="298"/>
      <c r="BT60" s="298" t="b">
        <f t="shared" si="49"/>
        <v>0</v>
      </c>
      <c r="BU60" s="298" t="b">
        <f t="shared" ref="BU60:BU68" si="57">IF($BR$1="ID",IF($AW60="Qualified",159/1000,IF($BE60="Qualified",219/1000,"")),IF($BR$1="OR",IF($AW60="Qualified",159/1000,IF($BE60="Qualified",219/1000,""))))</f>
        <v>0</v>
      </c>
      <c r="BV60" s="617">
        <f t="shared" si="50"/>
        <v>0</v>
      </c>
      <c r="BW60" s="301">
        <f t="shared" si="51"/>
        <v>0</v>
      </c>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c r="CZ60" s="94"/>
    </row>
    <row r="61" spans="1:178" ht="14.1" customHeight="1">
      <c r="A61" s="54"/>
      <c r="B61" s="64"/>
      <c r="C61" s="333"/>
      <c r="D61" s="64"/>
      <c r="E61" s="231"/>
      <c r="F61" s="890"/>
      <c r="G61" s="890"/>
      <c r="H61" s="890"/>
      <c r="I61" s="890"/>
      <c r="J61" s="890"/>
      <c r="K61" s="890"/>
      <c r="L61" s="890"/>
      <c r="M61" s="890"/>
      <c r="N61" s="890"/>
      <c r="O61" s="890"/>
      <c r="P61" s="890"/>
      <c r="Q61" s="890"/>
      <c r="R61" s="890"/>
      <c r="S61" s="890"/>
      <c r="T61" s="890"/>
      <c r="U61" s="890"/>
      <c r="V61" s="890"/>
      <c r="W61" s="890"/>
      <c r="X61" s="890"/>
      <c r="Y61" s="890"/>
      <c r="Z61" s="890"/>
      <c r="AA61" s="890"/>
      <c r="AB61" s="208"/>
      <c r="AC61" s="204"/>
      <c r="AD61" s="891"/>
      <c r="AE61" s="892"/>
      <c r="AF61" s="892"/>
      <c r="AG61" s="893"/>
      <c r="AH61" s="333"/>
      <c r="AI61" s="64"/>
      <c r="AJ61" s="43" t="str">
        <f t="shared" si="43"/>
        <v/>
      </c>
      <c r="AK61" s="720"/>
      <c r="AL61" s="712" t="str">
        <f t="shared" si="44"/>
        <v/>
      </c>
      <c r="AM61" s="712"/>
      <c r="AN61" s="712"/>
      <c r="AO61" s="204"/>
      <c r="AP61" s="55" t="str">
        <f>IFERROR(IF(D61="","",VLOOKUP('HVAC Efficiency Tables'!AG277&amp;'HVAC Efficiency Tables'!AH277&amp;'HVAC Efficiency Tables'!AI277,HVACEfficiencies,3,FALSE)),"")</f>
        <v/>
      </c>
      <c r="AQ61" s="43" t="str">
        <f t="shared" si="52"/>
        <v/>
      </c>
      <c r="AR61" s="719" t="str">
        <f>IFERROR(IF(D61="","",VLOOKUP('HVAC Efficiency Tables'!AG277&amp;'HVAC Efficiency Tables'!AH277&amp;'HVAC Efficiency Tables'!AI277,HVACEfficiencies,12,FALSE)),"")</f>
        <v/>
      </c>
      <c r="AS61" s="43" t="str">
        <f t="shared" si="53"/>
        <v/>
      </c>
      <c r="AT61" s="43"/>
      <c r="AU61" s="43"/>
      <c r="AV61" s="43"/>
      <c r="AW61" s="894" t="str">
        <f t="shared" si="45"/>
        <v/>
      </c>
      <c r="AX61" s="894"/>
      <c r="AY61" s="55" t="str">
        <f>IFERROR(IF(D61="","",VLOOKUP('HVAC Efficiency Tables'!AG277&amp;'HVAC Efficiency Tables'!AH277&amp;'HVAC Efficiency Tables'!AI277,HVACEfficiencies,5,FALSE)),"")</f>
        <v/>
      </c>
      <c r="AZ61" s="43" t="str">
        <f t="shared" si="54"/>
        <v/>
      </c>
      <c r="BA61" s="310" t="str">
        <f>IFERROR(IF(D61="","",VLOOKUP('HVAC Efficiency Tables'!AG277&amp;'HVAC Efficiency Tables'!AH277&amp;'HVAC Efficiency Tables'!AI277,HVACEfficiencies,13,FALSE)),"")</f>
        <v/>
      </c>
      <c r="BB61" s="43" t="str">
        <f t="shared" si="55"/>
        <v/>
      </c>
      <c r="BC61" s="43"/>
      <c r="BD61" s="43"/>
      <c r="BE61" s="894" t="str">
        <f t="shared" si="46"/>
        <v/>
      </c>
      <c r="BF61" s="894"/>
      <c r="BG61" s="157" t="s">
        <v>142</v>
      </c>
      <c r="BH61" s="895" t="str">
        <f t="shared" si="47"/>
        <v/>
      </c>
      <c r="BI61" s="895"/>
      <c r="BJ61" s="582"/>
      <c r="BQ61" s="298" t="b">
        <f t="shared" si="56"/>
        <v>0</v>
      </c>
      <c r="BR61" s="298" t="b">
        <f t="shared" si="48"/>
        <v>0</v>
      </c>
      <c r="BS61" s="298"/>
      <c r="BT61" s="298" t="b">
        <f t="shared" si="49"/>
        <v>0</v>
      </c>
      <c r="BU61" s="298" t="b">
        <f t="shared" si="57"/>
        <v>0</v>
      </c>
      <c r="BV61" s="617">
        <f t="shared" si="50"/>
        <v>0</v>
      </c>
      <c r="BW61" s="301">
        <f t="shared" si="51"/>
        <v>0</v>
      </c>
      <c r="BY61" s="94"/>
      <c r="BZ61" s="94"/>
      <c r="CA61" s="94"/>
      <c r="CB61" s="94"/>
      <c r="CC61" s="94"/>
      <c r="CD61" s="94"/>
      <c r="CE61" s="94"/>
      <c r="CF61" s="94"/>
      <c r="CG61" s="94"/>
      <c r="CH61" s="94"/>
      <c r="CI61" s="94"/>
      <c r="CJ61" s="94"/>
      <c r="CK61" s="94"/>
      <c r="CL61" s="94"/>
      <c r="CM61" s="94"/>
      <c r="CN61" s="94"/>
      <c r="CO61" s="94"/>
      <c r="CP61" s="94"/>
      <c r="CQ61" s="94"/>
      <c r="CR61" s="94"/>
      <c r="CS61" s="94"/>
      <c r="CT61" s="94"/>
      <c r="CU61" s="94"/>
      <c r="CV61" s="94"/>
      <c r="CW61" s="94"/>
      <c r="CX61" s="94"/>
      <c r="CY61" s="94"/>
      <c r="CZ61" s="94"/>
    </row>
    <row r="62" spans="1:178" ht="14.1" customHeight="1">
      <c r="A62" s="54"/>
      <c r="B62" s="64"/>
      <c r="C62" s="333"/>
      <c r="D62" s="64"/>
      <c r="E62" s="231"/>
      <c r="F62" s="890"/>
      <c r="G62" s="890"/>
      <c r="H62" s="890"/>
      <c r="I62" s="890"/>
      <c r="J62" s="890"/>
      <c r="K62" s="890"/>
      <c r="L62" s="890"/>
      <c r="M62" s="890"/>
      <c r="N62" s="890"/>
      <c r="O62" s="890"/>
      <c r="P62" s="890"/>
      <c r="Q62" s="890"/>
      <c r="R62" s="890"/>
      <c r="S62" s="890"/>
      <c r="T62" s="890"/>
      <c r="U62" s="890"/>
      <c r="V62" s="890"/>
      <c r="W62" s="890"/>
      <c r="X62" s="890"/>
      <c r="Y62" s="890"/>
      <c r="Z62" s="890"/>
      <c r="AA62" s="890"/>
      <c r="AB62" s="208"/>
      <c r="AC62" s="204"/>
      <c r="AD62" s="891"/>
      <c r="AE62" s="892"/>
      <c r="AF62" s="892"/>
      <c r="AG62" s="893"/>
      <c r="AH62" s="333"/>
      <c r="AI62" s="64"/>
      <c r="AJ62" s="43" t="str">
        <f t="shared" si="43"/>
        <v/>
      </c>
      <c r="AK62" s="720"/>
      <c r="AL62" s="712" t="str">
        <f t="shared" si="44"/>
        <v/>
      </c>
      <c r="AM62" s="712"/>
      <c r="AN62" s="712"/>
      <c r="AO62" s="204"/>
      <c r="AP62" s="55" t="str">
        <f>IFERROR(IF(D62="","",VLOOKUP('HVAC Efficiency Tables'!AG278&amp;'HVAC Efficiency Tables'!AH278&amp;'HVAC Efficiency Tables'!AI278,HVACEfficiencies,3,FALSE)),"")</f>
        <v/>
      </c>
      <c r="AQ62" s="43" t="str">
        <f t="shared" si="52"/>
        <v/>
      </c>
      <c r="AR62" s="719" t="str">
        <f>IFERROR(IF(D62="","",VLOOKUP('HVAC Efficiency Tables'!AG278&amp;'HVAC Efficiency Tables'!AH278&amp;'HVAC Efficiency Tables'!AI278,HVACEfficiencies,12,FALSE)),"")</f>
        <v/>
      </c>
      <c r="AS62" s="43" t="str">
        <f t="shared" si="53"/>
        <v/>
      </c>
      <c r="AT62" s="43"/>
      <c r="AU62" s="43"/>
      <c r="AV62" s="43"/>
      <c r="AW62" s="894" t="str">
        <f t="shared" si="45"/>
        <v/>
      </c>
      <c r="AX62" s="894"/>
      <c r="AY62" s="55" t="str">
        <f>IFERROR(IF(D62="","",VLOOKUP('HVAC Efficiency Tables'!AG278&amp;'HVAC Efficiency Tables'!AH278&amp;'HVAC Efficiency Tables'!AI278,HVACEfficiencies,5,FALSE)),"")</f>
        <v/>
      </c>
      <c r="AZ62" s="43" t="str">
        <f t="shared" si="54"/>
        <v/>
      </c>
      <c r="BA62" s="310" t="str">
        <f>IFERROR(IF(D62="","",VLOOKUP('HVAC Efficiency Tables'!AG278&amp;'HVAC Efficiency Tables'!AH278&amp;'HVAC Efficiency Tables'!AI278,HVACEfficiencies,13,FALSE)),"")</f>
        <v/>
      </c>
      <c r="BB62" s="43" t="str">
        <f t="shared" si="55"/>
        <v/>
      </c>
      <c r="BC62" s="43"/>
      <c r="BD62" s="43"/>
      <c r="BE62" s="894" t="str">
        <f t="shared" si="46"/>
        <v/>
      </c>
      <c r="BF62" s="894"/>
      <c r="BG62" s="157" t="s">
        <v>142</v>
      </c>
      <c r="BH62" s="895" t="str">
        <f t="shared" si="47"/>
        <v/>
      </c>
      <c r="BI62" s="895"/>
      <c r="BJ62" s="582"/>
      <c r="BQ62" s="298" t="b">
        <f t="shared" si="56"/>
        <v>0</v>
      </c>
      <c r="BR62" s="298" t="b">
        <f t="shared" si="48"/>
        <v>0</v>
      </c>
      <c r="BS62" s="298"/>
      <c r="BT62" s="298" t="b">
        <f t="shared" si="49"/>
        <v>0</v>
      </c>
      <c r="BU62" s="298" t="b">
        <f t="shared" si="57"/>
        <v>0</v>
      </c>
      <c r="BV62" s="617">
        <f t="shared" si="50"/>
        <v>0</v>
      </c>
      <c r="BW62" s="301">
        <f t="shared" si="51"/>
        <v>0</v>
      </c>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row>
    <row r="63" spans="1:178" ht="14.1" customHeight="1">
      <c r="A63" s="54"/>
      <c r="B63" s="64"/>
      <c r="C63" s="333"/>
      <c r="D63" s="64"/>
      <c r="E63" s="231"/>
      <c r="F63" s="890"/>
      <c r="G63" s="890"/>
      <c r="H63" s="890"/>
      <c r="I63" s="890"/>
      <c r="J63" s="890"/>
      <c r="K63" s="890"/>
      <c r="L63" s="890"/>
      <c r="M63" s="890"/>
      <c r="N63" s="890"/>
      <c r="O63" s="890"/>
      <c r="P63" s="890"/>
      <c r="Q63" s="890"/>
      <c r="R63" s="890"/>
      <c r="S63" s="890"/>
      <c r="T63" s="890"/>
      <c r="U63" s="890"/>
      <c r="V63" s="890"/>
      <c r="W63" s="890"/>
      <c r="X63" s="890"/>
      <c r="Y63" s="890"/>
      <c r="Z63" s="890"/>
      <c r="AA63" s="890"/>
      <c r="AB63" s="208"/>
      <c r="AC63" s="204"/>
      <c r="AD63" s="891"/>
      <c r="AE63" s="892"/>
      <c r="AF63" s="892"/>
      <c r="AG63" s="893"/>
      <c r="AH63" s="333"/>
      <c r="AI63" s="64"/>
      <c r="AJ63" s="43" t="str">
        <f t="shared" si="43"/>
        <v/>
      </c>
      <c r="AK63" s="720"/>
      <c r="AL63" s="712" t="str">
        <f t="shared" si="44"/>
        <v/>
      </c>
      <c r="AM63" s="712"/>
      <c r="AN63" s="712"/>
      <c r="AO63" s="204"/>
      <c r="AP63" s="55" t="str">
        <f>IFERROR(IF(D63="","",VLOOKUP('HVAC Efficiency Tables'!AG279&amp;'HVAC Efficiency Tables'!AH279&amp;'HVAC Efficiency Tables'!AI279,HVACEfficiencies,3,FALSE)),"")</f>
        <v/>
      </c>
      <c r="AQ63" s="43" t="str">
        <f t="shared" si="52"/>
        <v/>
      </c>
      <c r="AR63" s="719" t="str">
        <f>IFERROR(IF(D63="","",VLOOKUP('HVAC Efficiency Tables'!AG279&amp;'HVAC Efficiency Tables'!AH279&amp;'HVAC Efficiency Tables'!AI279,HVACEfficiencies,12,FALSE)),"")</f>
        <v/>
      </c>
      <c r="AS63" s="43" t="str">
        <f t="shared" si="53"/>
        <v/>
      </c>
      <c r="AT63" s="43"/>
      <c r="AU63" s="43"/>
      <c r="AV63" s="43"/>
      <c r="AW63" s="894" t="str">
        <f t="shared" si="45"/>
        <v/>
      </c>
      <c r="AX63" s="894"/>
      <c r="AY63" s="55" t="str">
        <f>IFERROR(IF(D63="","",VLOOKUP('HVAC Efficiency Tables'!AG279&amp;'HVAC Efficiency Tables'!AH279&amp;'HVAC Efficiency Tables'!AI279,HVACEfficiencies,5,FALSE)),"")</f>
        <v/>
      </c>
      <c r="AZ63" s="43" t="str">
        <f t="shared" si="54"/>
        <v/>
      </c>
      <c r="BA63" s="310" t="str">
        <f>IFERROR(IF(D63="","",VLOOKUP('HVAC Efficiency Tables'!AG279&amp;'HVAC Efficiency Tables'!AH279&amp;'HVAC Efficiency Tables'!AI279,HVACEfficiencies,13,FALSE)),"")</f>
        <v/>
      </c>
      <c r="BB63" s="43" t="str">
        <f t="shared" si="55"/>
        <v/>
      </c>
      <c r="BC63" s="43"/>
      <c r="BD63" s="43"/>
      <c r="BE63" s="894" t="str">
        <f t="shared" si="46"/>
        <v/>
      </c>
      <c r="BF63" s="894"/>
      <c r="BG63" s="157" t="s">
        <v>142</v>
      </c>
      <c r="BH63" s="895" t="str">
        <f t="shared" si="47"/>
        <v/>
      </c>
      <c r="BI63" s="895"/>
      <c r="BJ63" s="582"/>
      <c r="BQ63" s="298" t="b">
        <f t="shared" si="56"/>
        <v>0</v>
      </c>
      <c r="BR63" s="298" t="b">
        <f t="shared" si="48"/>
        <v>0</v>
      </c>
      <c r="BS63" s="298"/>
      <c r="BT63" s="298" t="b">
        <f t="shared" si="49"/>
        <v>0</v>
      </c>
      <c r="BU63" s="298" t="b">
        <f t="shared" si="57"/>
        <v>0</v>
      </c>
      <c r="BV63" s="617">
        <f t="shared" si="50"/>
        <v>0</v>
      </c>
      <c r="BW63" s="301">
        <f t="shared" si="51"/>
        <v>0</v>
      </c>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row>
    <row r="64" spans="1:178" ht="14.1" customHeight="1">
      <c r="A64" s="54"/>
      <c r="B64" s="64"/>
      <c r="C64" s="333"/>
      <c r="D64" s="64"/>
      <c r="E64" s="231"/>
      <c r="F64" s="890"/>
      <c r="G64" s="890"/>
      <c r="H64" s="890"/>
      <c r="I64" s="890"/>
      <c r="J64" s="890"/>
      <c r="K64" s="890"/>
      <c r="L64" s="890"/>
      <c r="M64" s="890"/>
      <c r="N64" s="890"/>
      <c r="O64" s="890"/>
      <c r="P64" s="890"/>
      <c r="Q64" s="890"/>
      <c r="R64" s="890"/>
      <c r="S64" s="890"/>
      <c r="T64" s="890"/>
      <c r="U64" s="890"/>
      <c r="V64" s="890"/>
      <c r="W64" s="890"/>
      <c r="X64" s="890"/>
      <c r="Y64" s="890"/>
      <c r="Z64" s="890"/>
      <c r="AA64" s="890"/>
      <c r="AB64" s="208"/>
      <c r="AC64" s="204"/>
      <c r="AD64" s="891"/>
      <c r="AE64" s="892"/>
      <c r="AF64" s="892"/>
      <c r="AG64" s="893"/>
      <c r="AH64" s="333"/>
      <c r="AI64" s="64"/>
      <c r="AJ64" s="43" t="str">
        <f t="shared" si="43"/>
        <v/>
      </c>
      <c r="AK64" s="720"/>
      <c r="AL64" s="712" t="str">
        <f t="shared" si="44"/>
        <v/>
      </c>
      <c r="AM64" s="712"/>
      <c r="AN64" s="712"/>
      <c r="AO64" s="204"/>
      <c r="AP64" s="55" t="str">
        <f>IFERROR(IF(D64="","",VLOOKUP('HVAC Efficiency Tables'!AG280&amp;'HVAC Efficiency Tables'!AH280&amp;'HVAC Efficiency Tables'!AI280,HVACEfficiencies,3,FALSE)),"")</f>
        <v/>
      </c>
      <c r="AQ64" s="43" t="str">
        <f t="shared" si="52"/>
        <v/>
      </c>
      <c r="AR64" s="719" t="str">
        <f>IFERROR(IF(D64="","",VLOOKUP('HVAC Efficiency Tables'!AG280&amp;'HVAC Efficiency Tables'!AH280&amp;'HVAC Efficiency Tables'!AI280,HVACEfficiencies,12,FALSE)),"")</f>
        <v/>
      </c>
      <c r="AS64" s="43" t="str">
        <f t="shared" si="53"/>
        <v/>
      </c>
      <c r="AT64" s="43"/>
      <c r="AU64" s="43"/>
      <c r="AV64" s="43"/>
      <c r="AW64" s="894" t="str">
        <f t="shared" si="45"/>
        <v/>
      </c>
      <c r="AX64" s="894"/>
      <c r="AY64" s="55" t="str">
        <f>IFERROR(IF(D64="","",VLOOKUP('HVAC Efficiency Tables'!AG280&amp;'HVAC Efficiency Tables'!AH280&amp;'HVAC Efficiency Tables'!AI280,HVACEfficiencies,5,FALSE)),"")</f>
        <v/>
      </c>
      <c r="AZ64" s="43" t="str">
        <f t="shared" si="54"/>
        <v/>
      </c>
      <c r="BA64" s="310" t="str">
        <f>IFERROR(IF(D64="","",VLOOKUP('HVAC Efficiency Tables'!AG280&amp;'HVAC Efficiency Tables'!AH280&amp;'HVAC Efficiency Tables'!AI280,HVACEfficiencies,13,FALSE)),"")</f>
        <v/>
      </c>
      <c r="BB64" s="43" t="str">
        <f t="shared" si="55"/>
        <v/>
      </c>
      <c r="BC64" s="43"/>
      <c r="BD64" s="43"/>
      <c r="BE64" s="894" t="str">
        <f t="shared" si="46"/>
        <v/>
      </c>
      <c r="BF64" s="894"/>
      <c r="BG64" s="157" t="s">
        <v>142</v>
      </c>
      <c r="BH64" s="895" t="str">
        <f t="shared" si="47"/>
        <v/>
      </c>
      <c r="BI64" s="895"/>
      <c r="BJ64" s="582"/>
      <c r="BQ64" s="298" t="b">
        <f t="shared" si="56"/>
        <v>0</v>
      </c>
      <c r="BR64" s="298" t="b">
        <f t="shared" si="48"/>
        <v>0</v>
      </c>
      <c r="BS64" s="298"/>
      <c r="BT64" s="298" t="b">
        <f t="shared" si="49"/>
        <v>0</v>
      </c>
      <c r="BU64" s="298" t="b">
        <f t="shared" si="57"/>
        <v>0</v>
      </c>
      <c r="BV64" s="617">
        <f t="shared" si="50"/>
        <v>0</v>
      </c>
      <c r="BW64" s="301">
        <f t="shared" si="51"/>
        <v>0</v>
      </c>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row>
    <row r="65" spans="1:178" ht="14.1" customHeight="1">
      <c r="A65" s="54"/>
      <c r="B65" s="64"/>
      <c r="C65" s="333"/>
      <c r="D65" s="64"/>
      <c r="E65" s="231"/>
      <c r="F65" s="890"/>
      <c r="G65" s="890"/>
      <c r="H65" s="890"/>
      <c r="I65" s="890"/>
      <c r="J65" s="890"/>
      <c r="K65" s="890"/>
      <c r="L65" s="890"/>
      <c r="M65" s="890"/>
      <c r="N65" s="890"/>
      <c r="O65" s="890"/>
      <c r="P65" s="890"/>
      <c r="Q65" s="890"/>
      <c r="R65" s="890"/>
      <c r="S65" s="890"/>
      <c r="T65" s="890"/>
      <c r="U65" s="890"/>
      <c r="V65" s="890"/>
      <c r="W65" s="890"/>
      <c r="X65" s="890"/>
      <c r="Y65" s="890"/>
      <c r="Z65" s="890"/>
      <c r="AA65" s="890"/>
      <c r="AB65" s="208"/>
      <c r="AC65" s="204"/>
      <c r="AD65" s="891"/>
      <c r="AE65" s="892"/>
      <c r="AF65" s="892"/>
      <c r="AG65" s="893"/>
      <c r="AH65" s="333"/>
      <c r="AI65" s="64"/>
      <c r="AJ65" s="43" t="str">
        <f t="shared" si="43"/>
        <v/>
      </c>
      <c r="AK65" s="720"/>
      <c r="AL65" s="712" t="str">
        <f t="shared" si="44"/>
        <v/>
      </c>
      <c r="AM65" s="712"/>
      <c r="AN65" s="712"/>
      <c r="AO65" s="204"/>
      <c r="AP65" s="55" t="str">
        <f>IFERROR(IF(D65="","",VLOOKUP('HVAC Efficiency Tables'!AG281&amp;'HVAC Efficiency Tables'!AH281&amp;'HVAC Efficiency Tables'!AI281,HVACEfficiencies,3,FALSE)),"")</f>
        <v/>
      </c>
      <c r="AQ65" s="43" t="str">
        <f t="shared" si="52"/>
        <v/>
      </c>
      <c r="AR65" s="719" t="str">
        <f>IFERROR(IF(D65="","",VLOOKUP('HVAC Efficiency Tables'!AG281&amp;'HVAC Efficiency Tables'!AH281&amp;'HVAC Efficiency Tables'!AI281,HVACEfficiencies,12,FALSE)),"")</f>
        <v/>
      </c>
      <c r="AS65" s="43" t="str">
        <f t="shared" si="53"/>
        <v/>
      </c>
      <c r="AT65" s="43"/>
      <c r="AU65" s="43"/>
      <c r="AV65" s="43"/>
      <c r="AW65" s="894" t="str">
        <f t="shared" si="45"/>
        <v/>
      </c>
      <c r="AX65" s="894"/>
      <c r="AY65" s="55" t="str">
        <f>IFERROR(IF(D65="","",VLOOKUP('HVAC Efficiency Tables'!AG281&amp;'HVAC Efficiency Tables'!AH281&amp;'HVAC Efficiency Tables'!AI281,HVACEfficiencies,5,FALSE)),"")</f>
        <v/>
      </c>
      <c r="AZ65" s="43" t="str">
        <f t="shared" si="54"/>
        <v/>
      </c>
      <c r="BA65" s="310" t="str">
        <f>IFERROR(IF(D65="","",VLOOKUP('HVAC Efficiency Tables'!AG281&amp;'HVAC Efficiency Tables'!AH281&amp;'HVAC Efficiency Tables'!AI281,HVACEfficiencies,13,FALSE)),"")</f>
        <v/>
      </c>
      <c r="BB65" s="43" t="str">
        <f t="shared" si="55"/>
        <v/>
      </c>
      <c r="BC65" s="43"/>
      <c r="BD65" s="43"/>
      <c r="BE65" s="894" t="str">
        <f t="shared" si="46"/>
        <v/>
      </c>
      <c r="BF65" s="894"/>
      <c r="BG65" s="157" t="s">
        <v>142</v>
      </c>
      <c r="BH65" s="895" t="str">
        <f t="shared" si="47"/>
        <v/>
      </c>
      <c r="BI65" s="895"/>
      <c r="BJ65" s="582"/>
      <c r="BQ65" s="298" t="b">
        <f t="shared" si="56"/>
        <v>0</v>
      </c>
      <c r="BR65" s="298" t="b">
        <f t="shared" si="48"/>
        <v>0</v>
      </c>
      <c r="BS65" s="298"/>
      <c r="BT65" s="298" t="b">
        <f t="shared" si="49"/>
        <v>0</v>
      </c>
      <c r="BU65" s="298" t="b">
        <f t="shared" si="57"/>
        <v>0</v>
      </c>
      <c r="BV65" s="617">
        <f t="shared" si="50"/>
        <v>0</v>
      </c>
      <c r="BW65" s="301">
        <f t="shared" si="51"/>
        <v>0</v>
      </c>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row>
    <row r="66" spans="1:178" ht="14.1" customHeight="1">
      <c r="A66" s="54"/>
      <c r="B66" s="64"/>
      <c r="C66" s="333"/>
      <c r="D66" s="64"/>
      <c r="E66" s="231"/>
      <c r="F66" s="890"/>
      <c r="G66" s="890"/>
      <c r="H66" s="890"/>
      <c r="I66" s="890"/>
      <c r="J66" s="890"/>
      <c r="K66" s="890"/>
      <c r="L66" s="890"/>
      <c r="M66" s="890"/>
      <c r="N66" s="890"/>
      <c r="O66" s="890"/>
      <c r="P66" s="890"/>
      <c r="Q66" s="890"/>
      <c r="R66" s="890"/>
      <c r="S66" s="890"/>
      <c r="T66" s="890"/>
      <c r="U66" s="890"/>
      <c r="V66" s="890"/>
      <c r="W66" s="890"/>
      <c r="X66" s="890"/>
      <c r="Y66" s="890"/>
      <c r="Z66" s="890"/>
      <c r="AA66" s="890"/>
      <c r="AB66" s="208"/>
      <c r="AC66" s="204"/>
      <c r="AD66" s="891"/>
      <c r="AE66" s="892"/>
      <c r="AF66" s="892"/>
      <c r="AG66" s="893"/>
      <c r="AH66" s="333"/>
      <c r="AI66" s="64"/>
      <c r="AJ66" s="43" t="str">
        <f t="shared" si="43"/>
        <v/>
      </c>
      <c r="AK66" s="720"/>
      <c r="AL66" s="712" t="str">
        <f t="shared" si="44"/>
        <v/>
      </c>
      <c r="AM66" s="712"/>
      <c r="AN66" s="712"/>
      <c r="AO66" s="204"/>
      <c r="AP66" s="55" t="str">
        <f>IFERROR(IF(D66="","",VLOOKUP('HVAC Efficiency Tables'!AG282&amp;'HVAC Efficiency Tables'!AH282&amp;'HVAC Efficiency Tables'!AI282,HVACEfficiencies,3,FALSE)),"")</f>
        <v/>
      </c>
      <c r="AQ66" s="43" t="str">
        <f t="shared" si="52"/>
        <v/>
      </c>
      <c r="AR66" s="719" t="str">
        <f>IFERROR(IF(D66="","",VLOOKUP('HVAC Efficiency Tables'!AG282&amp;'HVAC Efficiency Tables'!AH282&amp;'HVAC Efficiency Tables'!AI282,HVACEfficiencies,12,FALSE)),"")</f>
        <v/>
      </c>
      <c r="AS66" s="43" t="str">
        <f t="shared" si="53"/>
        <v/>
      </c>
      <c r="AT66" s="43"/>
      <c r="AU66" s="43"/>
      <c r="AV66" s="43"/>
      <c r="AW66" s="894" t="str">
        <f t="shared" si="45"/>
        <v/>
      </c>
      <c r="AX66" s="894"/>
      <c r="AY66" s="55" t="str">
        <f>IFERROR(IF(D66="","",VLOOKUP('HVAC Efficiency Tables'!AG282&amp;'HVAC Efficiency Tables'!AH282&amp;'HVAC Efficiency Tables'!AI282,HVACEfficiencies,5,FALSE)),"")</f>
        <v/>
      </c>
      <c r="AZ66" s="43" t="str">
        <f t="shared" si="54"/>
        <v/>
      </c>
      <c r="BA66" s="310" t="str">
        <f>IFERROR(IF(D66="","",VLOOKUP('HVAC Efficiency Tables'!AG282&amp;'HVAC Efficiency Tables'!AH282&amp;'HVAC Efficiency Tables'!AI282,HVACEfficiencies,13,FALSE)),"")</f>
        <v/>
      </c>
      <c r="BB66" s="43" t="str">
        <f t="shared" si="55"/>
        <v/>
      </c>
      <c r="BC66" s="43"/>
      <c r="BD66" s="43"/>
      <c r="BE66" s="894" t="str">
        <f t="shared" si="46"/>
        <v/>
      </c>
      <c r="BF66" s="894"/>
      <c r="BG66" s="157" t="s">
        <v>142</v>
      </c>
      <c r="BH66" s="895" t="str">
        <f t="shared" si="47"/>
        <v/>
      </c>
      <c r="BI66" s="895"/>
      <c r="BJ66" s="582"/>
      <c r="BQ66" s="298" t="b">
        <f t="shared" si="56"/>
        <v>0</v>
      </c>
      <c r="BR66" s="298" t="b">
        <f t="shared" si="48"/>
        <v>0</v>
      </c>
      <c r="BS66" s="298"/>
      <c r="BT66" s="298" t="b">
        <f t="shared" si="49"/>
        <v>0</v>
      </c>
      <c r="BU66" s="298" t="b">
        <f t="shared" si="57"/>
        <v>0</v>
      </c>
      <c r="BV66" s="617">
        <f t="shared" si="50"/>
        <v>0</v>
      </c>
      <c r="BW66" s="301">
        <f t="shared" si="51"/>
        <v>0</v>
      </c>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row>
    <row r="67" spans="1:178" ht="14.1" customHeight="1">
      <c r="A67" s="54"/>
      <c r="B67" s="64"/>
      <c r="C67" s="333"/>
      <c r="D67" s="64"/>
      <c r="E67" s="231"/>
      <c r="F67" s="890"/>
      <c r="G67" s="890"/>
      <c r="H67" s="890"/>
      <c r="I67" s="890"/>
      <c r="J67" s="890"/>
      <c r="K67" s="890"/>
      <c r="L67" s="890"/>
      <c r="M67" s="890"/>
      <c r="N67" s="890"/>
      <c r="O67" s="890"/>
      <c r="P67" s="890"/>
      <c r="Q67" s="890"/>
      <c r="R67" s="890"/>
      <c r="S67" s="890"/>
      <c r="T67" s="890"/>
      <c r="U67" s="890"/>
      <c r="V67" s="890"/>
      <c r="W67" s="890"/>
      <c r="X67" s="890"/>
      <c r="Y67" s="890"/>
      <c r="Z67" s="890"/>
      <c r="AA67" s="890"/>
      <c r="AB67" s="208"/>
      <c r="AC67" s="204"/>
      <c r="AD67" s="891"/>
      <c r="AE67" s="892"/>
      <c r="AF67" s="892"/>
      <c r="AG67" s="893"/>
      <c r="AH67" s="333"/>
      <c r="AI67" s="64"/>
      <c r="AJ67" s="43" t="str">
        <f t="shared" si="43"/>
        <v/>
      </c>
      <c r="AK67" s="720"/>
      <c r="AL67" s="712" t="str">
        <f t="shared" si="44"/>
        <v/>
      </c>
      <c r="AM67" s="712"/>
      <c r="AN67" s="712"/>
      <c r="AO67" s="204"/>
      <c r="AP67" s="55" t="str">
        <f>IFERROR(IF(D67="","",VLOOKUP('HVAC Efficiency Tables'!AG283&amp;'HVAC Efficiency Tables'!AH283&amp;'HVAC Efficiency Tables'!AI283,HVACEfficiencies,3,FALSE)),"")</f>
        <v/>
      </c>
      <c r="AQ67" s="43" t="str">
        <f t="shared" si="52"/>
        <v/>
      </c>
      <c r="AR67" s="719" t="str">
        <f>IFERROR(IF(D67="","",VLOOKUP('HVAC Efficiency Tables'!AG283&amp;'HVAC Efficiency Tables'!AH283&amp;'HVAC Efficiency Tables'!AI283,HVACEfficiencies,12,FALSE)),"")</f>
        <v/>
      </c>
      <c r="AS67" s="43" t="str">
        <f t="shared" si="53"/>
        <v/>
      </c>
      <c r="AT67" s="43"/>
      <c r="AU67" s="43"/>
      <c r="AV67" s="43"/>
      <c r="AW67" s="894" t="str">
        <f t="shared" si="45"/>
        <v/>
      </c>
      <c r="AX67" s="894"/>
      <c r="AY67" s="55" t="str">
        <f>IFERROR(IF(D67="","",VLOOKUP('HVAC Efficiency Tables'!AG283&amp;'HVAC Efficiency Tables'!AH283&amp;'HVAC Efficiency Tables'!AI283,HVACEfficiencies,5,FALSE)),"")</f>
        <v/>
      </c>
      <c r="AZ67" s="43" t="str">
        <f t="shared" si="54"/>
        <v/>
      </c>
      <c r="BA67" s="310" t="str">
        <f>IFERROR(IF(D67="","",VLOOKUP('HVAC Efficiency Tables'!AG283&amp;'HVAC Efficiency Tables'!AH283&amp;'HVAC Efficiency Tables'!AI283,HVACEfficiencies,13,FALSE)),"")</f>
        <v/>
      </c>
      <c r="BB67" s="43" t="str">
        <f t="shared" si="55"/>
        <v/>
      </c>
      <c r="BC67" s="43"/>
      <c r="BD67" s="43"/>
      <c r="BE67" s="894" t="str">
        <f t="shared" si="46"/>
        <v/>
      </c>
      <c r="BF67" s="894"/>
      <c r="BG67" s="157" t="s">
        <v>142</v>
      </c>
      <c r="BH67" s="895" t="str">
        <f t="shared" si="47"/>
        <v/>
      </c>
      <c r="BI67" s="895"/>
      <c r="BJ67" s="582"/>
      <c r="BQ67" s="298" t="b">
        <f t="shared" si="56"/>
        <v>0</v>
      </c>
      <c r="BR67" s="298" t="b">
        <f t="shared" si="48"/>
        <v>0</v>
      </c>
      <c r="BS67" s="298"/>
      <c r="BT67" s="298" t="b">
        <f t="shared" si="49"/>
        <v>0</v>
      </c>
      <c r="BU67" s="298" t="b">
        <f t="shared" si="57"/>
        <v>0</v>
      </c>
      <c r="BV67" s="617">
        <f t="shared" si="50"/>
        <v>0</v>
      </c>
      <c r="BW67" s="301">
        <f t="shared" si="51"/>
        <v>0</v>
      </c>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row>
    <row r="68" spans="1:178" ht="14.1" customHeight="1">
      <c r="A68" s="54"/>
      <c r="B68" s="64"/>
      <c r="C68" s="333"/>
      <c r="D68" s="64"/>
      <c r="E68" s="231"/>
      <c r="F68" s="890"/>
      <c r="G68" s="890"/>
      <c r="H68" s="890"/>
      <c r="I68" s="890"/>
      <c r="J68" s="890"/>
      <c r="K68" s="890"/>
      <c r="L68" s="890"/>
      <c r="M68" s="890"/>
      <c r="N68" s="890"/>
      <c r="O68" s="890"/>
      <c r="P68" s="890"/>
      <c r="Q68" s="890"/>
      <c r="R68" s="890"/>
      <c r="S68" s="890"/>
      <c r="T68" s="890"/>
      <c r="U68" s="890"/>
      <c r="V68" s="890"/>
      <c r="W68" s="890"/>
      <c r="X68" s="890"/>
      <c r="Y68" s="890"/>
      <c r="Z68" s="890"/>
      <c r="AA68" s="890"/>
      <c r="AB68" s="208"/>
      <c r="AC68" s="204"/>
      <c r="AD68" s="891"/>
      <c r="AE68" s="892"/>
      <c r="AF68" s="892"/>
      <c r="AG68" s="893"/>
      <c r="AH68" s="333"/>
      <c r="AI68" s="64"/>
      <c r="AJ68" s="43" t="str">
        <f t="shared" si="43"/>
        <v/>
      </c>
      <c r="AK68" s="720"/>
      <c r="AL68" s="712" t="str">
        <f t="shared" si="44"/>
        <v/>
      </c>
      <c r="AM68" s="712"/>
      <c r="AN68" s="712"/>
      <c r="AO68" s="204"/>
      <c r="AP68" s="55" t="str">
        <f>IFERROR(IF(D68="","",VLOOKUP('HVAC Efficiency Tables'!AG284&amp;'HVAC Efficiency Tables'!AH284&amp;'HVAC Efficiency Tables'!AI284,HVACEfficiencies,3,FALSE)),"")</f>
        <v/>
      </c>
      <c r="AQ68" s="43" t="str">
        <f t="shared" si="52"/>
        <v/>
      </c>
      <c r="AR68" s="719" t="str">
        <f>IFERROR(IF(D68="","",VLOOKUP('HVAC Efficiency Tables'!AG284&amp;'HVAC Efficiency Tables'!AH284&amp;'HVAC Efficiency Tables'!AI284,HVACEfficiencies,12,FALSE)),"")</f>
        <v/>
      </c>
      <c r="AS68" s="43" t="str">
        <f t="shared" si="53"/>
        <v/>
      </c>
      <c r="AT68" s="43"/>
      <c r="AU68" s="43"/>
      <c r="AV68" s="43"/>
      <c r="AW68" s="894" t="str">
        <f t="shared" si="45"/>
        <v/>
      </c>
      <c r="AX68" s="894"/>
      <c r="AY68" s="55" t="str">
        <f>IFERROR(IF(D68="","",VLOOKUP('HVAC Efficiency Tables'!AG284&amp;'HVAC Efficiency Tables'!AH284&amp;'HVAC Efficiency Tables'!AI284,HVACEfficiencies,5,FALSE)),"")</f>
        <v/>
      </c>
      <c r="AZ68" s="43" t="str">
        <f t="shared" si="54"/>
        <v/>
      </c>
      <c r="BA68" s="310" t="str">
        <f>IFERROR(IF(D68="","",VLOOKUP('HVAC Efficiency Tables'!AG284&amp;'HVAC Efficiency Tables'!AH284&amp;'HVAC Efficiency Tables'!AI284,HVACEfficiencies,13,FALSE)),"")</f>
        <v/>
      </c>
      <c r="BB68" s="43" t="str">
        <f t="shared" si="55"/>
        <v/>
      </c>
      <c r="BC68" s="43"/>
      <c r="BD68" s="43"/>
      <c r="BE68" s="894" t="str">
        <f t="shared" si="46"/>
        <v/>
      </c>
      <c r="BF68" s="894"/>
      <c r="BG68" s="157" t="s">
        <v>142</v>
      </c>
      <c r="BH68" s="895" t="str">
        <f t="shared" si="47"/>
        <v/>
      </c>
      <c r="BI68" s="895"/>
      <c r="BJ68" s="582"/>
      <c r="BQ68" s="298" t="b">
        <f t="shared" si="56"/>
        <v>0</v>
      </c>
      <c r="BR68" s="298" t="b">
        <f t="shared" si="48"/>
        <v>0</v>
      </c>
      <c r="BS68" s="298"/>
      <c r="BT68" s="298" t="b">
        <f t="shared" si="49"/>
        <v>0</v>
      </c>
      <c r="BU68" s="298" t="b">
        <f t="shared" si="57"/>
        <v>0</v>
      </c>
      <c r="BV68" s="617">
        <f t="shared" si="50"/>
        <v>0</v>
      </c>
      <c r="BW68" s="301">
        <f t="shared" si="51"/>
        <v>0</v>
      </c>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row>
    <row r="69" spans="1:178" s="22" customFormat="1" ht="15.6" customHeight="1" thickBot="1">
      <c r="A69" s="583"/>
      <c r="B69" s="534"/>
      <c r="C69" s="534"/>
      <c r="D69" s="534"/>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4"/>
      <c r="AC69" s="534"/>
      <c r="AD69" s="534"/>
      <c r="AE69" s="534"/>
      <c r="AF69" s="534"/>
      <c r="AG69" s="534"/>
      <c r="AH69" s="534"/>
      <c r="AI69" s="534"/>
      <c r="AJ69" s="534"/>
      <c r="AK69" s="534"/>
      <c r="AL69" s="534"/>
      <c r="AM69" s="534"/>
      <c r="AN69" s="534"/>
      <c r="AO69" s="534"/>
      <c r="AP69" s="534"/>
      <c r="AQ69" s="534"/>
      <c r="AR69" s="534"/>
      <c r="AS69" s="534"/>
      <c r="AT69" s="534"/>
      <c r="AU69" s="534"/>
      <c r="AV69" s="534"/>
      <c r="AW69" s="534"/>
      <c r="AX69" s="534"/>
      <c r="AY69" s="534"/>
      <c r="AZ69" s="534"/>
      <c r="BA69" s="534"/>
      <c r="BB69" s="534"/>
      <c r="BC69" s="534"/>
      <c r="BD69" s="534"/>
      <c r="BE69" s="534"/>
      <c r="BF69" s="534"/>
      <c r="BG69" s="544"/>
      <c r="BH69" s="545"/>
      <c r="BI69" s="545"/>
      <c r="BJ69" s="536"/>
      <c r="BK69" s="1"/>
      <c r="BL69" s="1"/>
      <c r="BM69" s="1"/>
      <c r="BN69" s="1"/>
      <c r="BQ69" s="533"/>
      <c r="BR69" s="533"/>
      <c r="BS69" s="533"/>
      <c r="BT69" s="533"/>
      <c r="BU69" s="533"/>
      <c r="BV69" s="304" t="s">
        <v>2707</v>
      </c>
      <c r="BW69" s="304" t="s">
        <v>2700</v>
      </c>
      <c r="BY69" s="102"/>
      <c r="BZ69" s="102"/>
      <c r="CA69" s="94"/>
      <c r="CB69" s="94"/>
      <c r="CC69" s="94"/>
      <c r="CD69" s="94"/>
      <c r="CE69" s="94"/>
      <c r="CF69" s="94"/>
      <c r="CG69" s="94"/>
      <c r="CH69" s="94"/>
      <c r="CI69" s="94"/>
      <c r="CJ69" s="94"/>
      <c r="CK69" s="94"/>
      <c r="CL69" s="94"/>
      <c r="CM69" s="102"/>
      <c r="CN69" s="102"/>
      <c r="CO69" s="102"/>
      <c r="CP69" s="102"/>
      <c r="CQ69" s="102"/>
      <c r="CR69" s="102"/>
      <c r="CS69" s="102"/>
      <c r="CT69" s="102"/>
      <c r="CU69" s="102"/>
      <c r="CV69" s="102"/>
      <c r="CW69" s="102"/>
      <c r="CX69" s="102"/>
      <c r="CY69" s="102"/>
      <c r="CZ69" s="102"/>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row>
    <row r="70" spans="1:178" s="22" customFormat="1" ht="15.6" customHeight="1">
      <c r="A70" s="381"/>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713"/>
      <c r="AN70" s="713"/>
      <c r="AO70" s="208"/>
      <c r="AP70" s="208"/>
      <c r="AQ70" s="208"/>
      <c r="AR70" s="208"/>
      <c r="AS70" s="208"/>
      <c r="AT70" s="713"/>
      <c r="AU70" s="713"/>
      <c r="AV70" s="208"/>
      <c r="AW70" s="208"/>
      <c r="AX70" s="208"/>
      <c r="AY70" s="208"/>
      <c r="AZ70" s="208"/>
      <c r="BA70" s="208"/>
      <c r="BB70" s="25"/>
      <c r="BC70" s="25"/>
      <c r="BD70" s="25"/>
      <c r="BE70" s="25"/>
      <c r="BF70" s="61" t="s">
        <v>2708</v>
      </c>
      <c r="BG70" s="25"/>
      <c r="BH70" s="896" t="str">
        <f>IF(BM59&gt;=1,SUM(BH59:BH68),"")</f>
        <v/>
      </c>
      <c r="BI70" s="896"/>
      <c r="BJ70" s="537"/>
      <c r="BK70" s="1"/>
      <c r="BL70" s="1"/>
      <c r="BM70" s="1"/>
      <c r="BN70" s="1"/>
      <c r="BQ70" s="533"/>
      <c r="BR70" s="533"/>
      <c r="BS70" s="533"/>
      <c r="BT70" s="533"/>
      <c r="BU70" s="533"/>
      <c r="BV70" s="302">
        <f>SUM(BV59:BV68)</f>
        <v>0</v>
      </c>
      <c r="BW70" s="299">
        <f>SUM(BW59:BW68)</f>
        <v>0</v>
      </c>
      <c r="BY70" s="102"/>
      <c r="BZ70" s="102"/>
      <c r="CA70" s="94"/>
      <c r="CB70" s="94"/>
      <c r="CC70" s="94"/>
      <c r="CD70" s="94"/>
      <c r="CE70" s="94"/>
      <c r="CF70" s="94"/>
      <c r="CG70" s="94"/>
      <c r="CH70" s="94"/>
      <c r="CI70" s="94"/>
      <c r="CJ70" s="94"/>
      <c r="CK70" s="94"/>
      <c r="CL70" s="94"/>
      <c r="CM70" s="102"/>
      <c r="CN70" s="102"/>
      <c r="CO70" s="102"/>
      <c r="CP70" s="102"/>
      <c r="CQ70" s="102"/>
      <c r="CR70" s="102"/>
      <c r="CS70" s="102"/>
      <c r="CT70" s="102"/>
      <c r="CU70" s="102"/>
      <c r="CV70" s="102"/>
      <c r="CW70" s="102"/>
      <c r="CX70" s="102"/>
      <c r="CY70" s="102"/>
      <c r="CZ70" s="102"/>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row>
    <row r="71" spans="1:178" s="22" customFormat="1" ht="6" customHeight="1">
      <c r="A71" s="208"/>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713"/>
      <c r="AN71" s="713"/>
      <c r="AO71" s="208"/>
      <c r="AP71" s="208"/>
      <c r="AQ71" s="208"/>
      <c r="AR71" s="208"/>
      <c r="AS71" s="208"/>
      <c r="AT71" s="713"/>
      <c r="AU71" s="713"/>
      <c r="AV71" s="208"/>
      <c r="AW71" s="208"/>
      <c r="AX71" s="208"/>
      <c r="AY71" s="208"/>
      <c r="AZ71" s="208"/>
      <c r="BA71" s="208"/>
      <c r="BB71" s="25"/>
      <c r="BC71" s="25"/>
      <c r="BD71" s="25"/>
      <c r="BE71" s="25"/>
      <c r="BF71" s="61"/>
      <c r="BG71" s="25"/>
      <c r="BH71" s="607"/>
      <c r="BI71" s="607"/>
      <c r="BJ71" s="538"/>
      <c r="BK71" s="1"/>
      <c r="BL71" s="1"/>
      <c r="BM71" s="1"/>
      <c r="BN71" s="1"/>
      <c r="BQ71" s="533"/>
      <c r="BR71" s="533"/>
      <c r="BS71" s="533"/>
      <c r="BT71" s="533"/>
      <c r="BU71" s="533"/>
      <c r="BV71" s="608"/>
      <c r="BW71" s="608"/>
      <c r="BY71" s="102"/>
      <c r="BZ71" s="102"/>
      <c r="CA71" s="94"/>
      <c r="CB71" s="94"/>
      <c r="CC71" s="94"/>
      <c r="CD71" s="94"/>
      <c r="CE71" s="94"/>
      <c r="CF71" s="94"/>
      <c r="CG71" s="94"/>
      <c r="CH71" s="94"/>
      <c r="CI71" s="94"/>
      <c r="CJ71" s="94"/>
      <c r="CK71" s="94"/>
      <c r="CL71" s="94"/>
      <c r="CM71" s="102"/>
      <c r="CN71" s="102"/>
      <c r="CO71" s="102"/>
      <c r="CP71" s="102"/>
      <c r="CQ71" s="102"/>
      <c r="CR71" s="102"/>
      <c r="CS71" s="102"/>
      <c r="CT71" s="102"/>
      <c r="CU71" s="102"/>
      <c r="CV71" s="102"/>
      <c r="CW71" s="102"/>
      <c r="CX71" s="102"/>
      <c r="CY71" s="102"/>
      <c r="CZ71" s="102"/>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row>
    <row r="72" spans="1:178" ht="6.75" customHeight="1">
      <c r="A72" s="35"/>
      <c r="B72" s="65"/>
      <c r="C72" s="65"/>
      <c r="D72" s="65"/>
      <c r="E72" s="65"/>
      <c r="F72" s="65"/>
      <c r="G72" s="65"/>
      <c r="H72" s="65"/>
      <c r="I72" s="65"/>
      <c r="J72" s="65"/>
      <c r="K72" s="65"/>
      <c r="L72" s="65"/>
      <c r="M72" s="65"/>
      <c r="N72" s="65"/>
      <c r="O72" s="65"/>
      <c r="P72" s="65"/>
      <c r="Q72" s="65"/>
      <c r="R72" s="35"/>
      <c r="S72" s="35"/>
      <c r="T72" s="35"/>
      <c r="U72" s="35"/>
      <c r="V72" s="35"/>
      <c r="W72" s="35"/>
      <c r="X72" s="35"/>
      <c r="Y72" s="35"/>
      <c r="Z72" s="35"/>
      <c r="AA72" s="35"/>
      <c r="AB72" s="35"/>
      <c r="AC72" s="35"/>
      <c r="AD72" s="35"/>
      <c r="AE72" s="35"/>
      <c r="AF72" s="35"/>
      <c r="AG72" s="35"/>
      <c r="AH72" s="3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N72" s="2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row>
    <row r="73" spans="1:178" ht="15.75">
      <c r="A73" s="153" t="s">
        <v>2780</v>
      </c>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64" t="s">
        <v>2781</v>
      </c>
      <c r="AC73" s="62"/>
      <c r="AD73" s="934" t="s">
        <v>120</v>
      </c>
      <c r="AE73" s="935"/>
      <c r="AF73" s="935"/>
      <c r="AG73" s="936"/>
      <c r="AH73" s="62"/>
      <c r="AI73" s="665" t="s">
        <v>2774</v>
      </c>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34"/>
      <c r="BH73" s="34"/>
      <c r="BI73" s="25"/>
      <c r="BJ73" s="25"/>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row>
    <row r="74" spans="1:178" ht="16.5" thickBot="1">
      <c r="A74" s="622" t="s">
        <v>2782</v>
      </c>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66" t="s">
        <v>2783</v>
      </c>
      <c r="AC74" s="62"/>
      <c r="AD74" s="937"/>
      <c r="AE74" s="937"/>
      <c r="AF74" s="937"/>
      <c r="AG74" s="937"/>
      <c r="AH74" s="62"/>
      <c r="AI74" s="667"/>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34"/>
      <c r="BH74" s="34"/>
      <c r="BI74" s="25"/>
      <c r="BJ74" s="25"/>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row>
    <row r="75" spans="1:178" s="22" customFormat="1" ht="15.6" customHeight="1">
      <c r="A75" s="581"/>
      <c r="B75" s="381"/>
      <c r="C75" s="381"/>
      <c r="D75" s="381"/>
      <c r="E75" s="381"/>
      <c r="F75" s="381"/>
      <c r="G75" s="381"/>
      <c r="H75" s="381"/>
      <c r="I75" s="381"/>
      <c r="J75" s="381"/>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381"/>
      <c r="AL75" s="381"/>
      <c r="AM75" s="710"/>
      <c r="AN75" s="710"/>
      <c r="AO75" s="381"/>
      <c r="AP75" s="905" t="s">
        <v>2655</v>
      </c>
      <c r="AQ75" s="905"/>
      <c r="AR75" s="905"/>
      <c r="AS75" s="905"/>
      <c r="AT75" s="905"/>
      <c r="AU75" s="905"/>
      <c r="AV75" s="905"/>
      <c r="AW75" s="905"/>
      <c r="AX75" s="905"/>
      <c r="AY75" s="905"/>
      <c r="AZ75" s="905"/>
      <c r="BA75" s="905"/>
      <c r="BB75" s="905"/>
      <c r="BC75" s="905"/>
      <c r="BD75" s="905"/>
      <c r="BE75" s="905"/>
      <c r="BF75" s="905"/>
      <c r="BG75" s="881" t="s">
        <v>2784</v>
      </c>
      <c r="BH75" s="881"/>
      <c r="BI75" s="881"/>
      <c r="BJ75" s="225"/>
      <c r="BK75" s="1"/>
      <c r="BL75" s="1"/>
      <c r="BM75" s="1"/>
      <c r="BN75" s="1"/>
      <c r="BQ75" s="928" t="s">
        <v>2785</v>
      </c>
      <c r="BR75" s="928"/>
      <c r="BS75" s="928"/>
      <c r="BT75" s="928"/>
      <c r="BU75" s="928"/>
      <c r="BV75" s="928"/>
      <c r="BW75" s="928"/>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row>
    <row r="76" spans="1:178" s="22" customFormat="1" ht="22.5">
      <c r="A76" s="519" t="s">
        <v>2713</v>
      </c>
      <c r="B76" s="208"/>
      <c r="C76" s="49"/>
      <c r="D76" s="208"/>
      <c r="E76" s="208"/>
      <c r="F76" s="50"/>
      <c r="G76" s="50"/>
      <c r="H76" s="50"/>
      <c r="I76" s="50"/>
      <c r="J76" s="50"/>
      <c r="K76" s="50"/>
      <c r="L76" s="50"/>
      <c r="M76" s="50"/>
      <c r="N76" s="50"/>
      <c r="O76" s="50"/>
      <c r="P76" s="50"/>
      <c r="Q76" s="208"/>
      <c r="R76" s="909" t="s">
        <v>2714</v>
      </c>
      <c r="S76" s="909"/>
      <c r="T76" s="909"/>
      <c r="U76" s="909"/>
      <c r="V76" s="204"/>
      <c r="W76" s="909" t="s">
        <v>2680</v>
      </c>
      <c r="X76" s="909"/>
      <c r="Y76" s="909"/>
      <c r="Z76" s="909"/>
      <c r="AA76" s="909"/>
      <c r="AB76" s="909"/>
      <c r="AC76" s="204"/>
      <c r="AD76" s="204"/>
      <c r="AE76" s="204"/>
      <c r="AF76" s="204"/>
      <c r="AG76" s="204"/>
      <c r="AH76" s="51"/>
      <c r="AI76" s="51" t="s">
        <v>2715</v>
      </c>
      <c r="AJ76" s="204"/>
      <c r="AK76" s="52" t="s">
        <v>2716</v>
      </c>
      <c r="AL76" s="204"/>
      <c r="AM76" s="712"/>
      <c r="AN76" s="712"/>
      <c r="AO76" s="204"/>
      <c r="AP76" s="910" t="s">
        <v>2683</v>
      </c>
      <c r="AQ76" s="910"/>
      <c r="AR76" s="910"/>
      <c r="AS76" s="910"/>
      <c r="AT76" s="910"/>
      <c r="AU76" s="910"/>
      <c r="AV76" s="910"/>
      <c r="AW76" s="910"/>
      <c r="AX76" s="910"/>
      <c r="AY76" s="910" t="s">
        <v>2684</v>
      </c>
      <c r="AZ76" s="910"/>
      <c r="BA76" s="910"/>
      <c r="BB76" s="910"/>
      <c r="BC76" s="910"/>
      <c r="BD76" s="910"/>
      <c r="BE76" s="910"/>
      <c r="BF76" s="910"/>
      <c r="BG76" s="882"/>
      <c r="BH76" s="882"/>
      <c r="BI76" s="882"/>
      <c r="BJ76" s="53"/>
      <c r="BK76" s="1"/>
      <c r="BL76" s="1"/>
      <c r="BM76" s="1"/>
      <c r="BN76" s="1"/>
      <c r="BQ76" s="84"/>
      <c r="BR76" s="84"/>
      <c r="BS76" s="84"/>
      <c r="BT76" s="84"/>
      <c r="BU76" s="84"/>
      <c r="BV76" s="84"/>
      <c r="BW76" s="84"/>
      <c r="BY76" s="102"/>
      <c r="BZ76" s="102"/>
      <c r="CA76" s="102"/>
      <c r="CB76" s="909" t="s">
        <v>2714</v>
      </c>
      <c r="CC76" s="909"/>
      <c r="CD76" s="909"/>
      <c r="CE76" s="909"/>
      <c r="CF76" s="204"/>
      <c r="CG76" s="909" t="s">
        <v>2680</v>
      </c>
      <c r="CH76" s="909"/>
      <c r="CI76" s="909"/>
      <c r="CJ76" s="909"/>
      <c r="CK76" s="909"/>
      <c r="CL76" s="909"/>
      <c r="CM76" s="102"/>
      <c r="CN76" s="102"/>
      <c r="CO76" s="102"/>
      <c r="CP76" s="102"/>
      <c r="CQ76" s="102"/>
      <c r="CR76" s="102"/>
      <c r="CS76" s="102"/>
      <c r="CT76" s="102"/>
      <c r="CU76" s="102"/>
      <c r="CV76" s="102"/>
      <c r="CW76" s="102"/>
      <c r="CX76" s="102"/>
      <c r="CY76" s="102"/>
      <c r="CZ76" s="102"/>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row>
    <row r="77" spans="1:178" s="22" customFormat="1" ht="32.450000000000003" customHeight="1">
      <c r="A77" s="48"/>
      <c r="B77" s="159" t="s">
        <v>2661</v>
      </c>
      <c r="C77" s="411"/>
      <c r="D77" s="159" t="s">
        <v>2662</v>
      </c>
      <c r="E77" s="159"/>
      <c r="F77" s="159" t="s">
        <v>2717</v>
      </c>
      <c r="G77" s="50"/>
      <c r="H77" s="50"/>
      <c r="I77" s="50"/>
      <c r="J77" s="50"/>
      <c r="K77" s="50"/>
      <c r="L77" s="50"/>
      <c r="M77" s="50"/>
      <c r="N77" s="50"/>
      <c r="O77" s="50"/>
      <c r="P77" s="50"/>
      <c r="Q77" s="208"/>
      <c r="R77" s="909"/>
      <c r="S77" s="909"/>
      <c r="T77" s="909"/>
      <c r="U77" s="909"/>
      <c r="V77" s="204"/>
      <c r="W77" s="909"/>
      <c r="X77" s="909"/>
      <c r="Y77" s="909"/>
      <c r="Z77" s="909"/>
      <c r="AA77" s="909"/>
      <c r="AB77" s="909"/>
      <c r="AC77" s="204"/>
      <c r="AD77" s="159" t="s">
        <v>2664</v>
      </c>
      <c r="AE77" s="197"/>
      <c r="AF77" s="159"/>
      <c r="AG77" s="159"/>
      <c r="AH77" s="410"/>
      <c r="AI77" s="159" t="s">
        <v>2665</v>
      </c>
      <c r="AJ77" s="197"/>
      <c r="AK77" s="159" t="s">
        <v>2665</v>
      </c>
      <c r="AL77" s="204"/>
      <c r="AM77" s="712"/>
      <c r="AN77" s="712"/>
      <c r="AO77" s="204"/>
      <c r="AP77" s="911" t="s">
        <v>2786</v>
      </c>
      <c r="AQ77" s="911"/>
      <c r="AR77" s="911"/>
      <c r="AS77" s="911"/>
      <c r="AT77" s="911"/>
      <c r="AU77" s="911"/>
      <c r="AV77" s="911"/>
      <c r="AW77" s="911"/>
      <c r="AX77" s="50"/>
      <c r="AY77" s="911" t="s">
        <v>2787</v>
      </c>
      <c r="AZ77" s="911"/>
      <c r="BA77" s="911"/>
      <c r="BB77" s="911"/>
      <c r="BC77" s="911"/>
      <c r="BD77" s="911"/>
      <c r="BE77" s="911"/>
      <c r="BF77" s="50"/>
      <c r="BG77" s="882"/>
      <c r="BH77" s="882"/>
      <c r="BI77" s="882"/>
      <c r="BJ77" s="53"/>
      <c r="BK77" s="1"/>
      <c r="BL77" s="1"/>
      <c r="BM77" s="1"/>
      <c r="BN77" s="1"/>
      <c r="BQ77" s="297" t="s">
        <v>2788</v>
      </c>
      <c r="BR77" s="306" t="s">
        <v>2789</v>
      </c>
      <c r="BS77" s="306" t="s">
        <v>2790</v>
      </c>
      <c r="BT77" s="306" t="s">
        <v>2791</v>
      </c>
      <c r="BU77" s="306" t="s">
        <v>2792</v>
      </c>
      <c r="BV77" s="306" t="s">
        <v>2687</v>
      </c>
      <c r="BW77" s="307" t="s">
        <v>2688</v>
      </c>
      <c r="BY77" s="102"/>
      <c r="BZ77" s="102"/>
      <c r="CA77" s="102"/>
      <c r="CB77" s="909"/>
      <c r="CC77" s="909"/>
      <c r="CD77" s="909"/>
      <c r="CE77" s="909"/>
      <c r="CF77" s="204"/>
      <c r="CG77" s="909"/>
      <c r="CH77" s="909"/>
      <c r="CI77" s="909"/>
      <c r="CJ77" s="909"/>
      <c r="CK77" s="909"/>
      <c r="CL77" s="909"/>
      <c r="CM77" s="102"/>
      <c r="CN77" s="102"/>
      <c r="CO77" s="102"/>
      <c r="CP77" s="102"/>
      <c r="CQ77" s="102"/>
      <c r="CR77" s="102"/>
      <c r="CS77" s="102"/>
      <c r="CT77" s="102"/>
      <c r="CU77" s="102"/>
      <c r="CV77" s="102"/>
      <c r="CW77" s="102"/>
      <c r="CX77" s="102"/>
      <c r="CY77" s="102"/>
      <c r="CZ77" s="102"/>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row>
    <row r="78" spans="1:178" ht="14.1" customHeight="1">
      <c r="A78" s="54"/>
      <c r="B78" s="64"/>
      <c r="C78" s="333"/>
      <c r="D78" s="64"/>
      <c r="E78" s="231"/>
      <c r="F78" s="903"/>
      <c r="G78" s="903"/>
      <c r="H78" s="903"/>
      <c r="I78" s="903"/>
      <c r="J78" s="903"/>
      <c r="K78" s="903"/>
      <c r="L78" s="903"/>
      <c r="M78" s="903"/>
      <c r="N78" s="903"/>
      <c r="O78" s="903"/>
      <c r="P78" s="903"/>
      <c r="Q78" s="208"/>
      <c r="R78" s="900" t="str">
        <f>'HVAC Efficiency Tables'!$AH107</f>
        <v/>
      </c>
      <c r="S78" s="901"/>
      <c r="T78" s="901"/>
      <c r="U78" s="902"/>
      <c r="V78" s="382"/>
      <c r="W78" s="900" t="str">
        <f>'HVAC Efficiency Tables'!$AI107</f>
        <v/>
      </c>
      <c r="X78" s="901"/>
      <c r="Y78" s="901"/>
      <c r="Z78" s="901"/>
      <c r="AA78" s="901"/>
      <c r="AB78" s="902"/>
      <c r="AC78" s="204"/>
      <c r="AD78" s="890"/>
      <c r="AE78" s="890"/>
      <c r="AF78" s="890"/>
      <c r="AG78" s="890"/>
      <c r="AH78" s="333"/>
      <c r="AI78" s="64"/>
      <c r="AJ78" s="43" t="str">
        <f>IF(OR(D78="",AW78="Ineligible"),"",IF(OR(F78=Lists!$I$10,F78=Lists!$I$11,F78=Lists!$I$16,F78=Lists!$J$12),"EER",IF(OR(F78=Lists!$I$17,F78=Lists!$I$18),"kW/ton",IF(D78*12000&lt;65000,"SEER","EER"))))</f>
        <v/>
      </c>
      <c r="AK78" s="64"/>
      <c r="AL78" s="43" t="str">
        <f>IF(OR(B78="",F78=Lists!$I$10,F78=Lists!$I$11,AW78="Ineligible",AR78="N/A"),"",IF(OR(F78=Lists!$I$16,F78=Lists!$I$17,F78=Lists!$I$18),"",IF(D78&lt;=5,"EER","IEER")))</f>
        <v/>
      </c>
      <c r="AM78" s="43"/>
      <c r="AN78" s="43"/>
      <c r="AO78" s="204"/>
      <c r="AP78" s="55" t="str">
        <f>IFERROR(IF(OR(D78="",F78="",W78="",R78="",W78="Please Select",R78="Please Select"),"",VLOOKUP('HVAC Efficiency Tables'!AG107&amp;R78&amp;W78,HVACEfficiencies,3,FALSE)),"")</f>
        <v/>
      </c>
      <c r="AQ78" s="43" t="str">
        <f>IF(OR(AP78="N/A",AP78=""),"",IF(OR(F78=Lists!$I$10,F78=Lists!$I$11,F78=Lists!$I$16,F78=Lists!$J$12),"EER",IF(OR(F78=Lists!$I$17,F78=Lists!$I$18),"kW/ton",IF(D78*12000&lt;65000,"SEER","EER"))))</f>
        <v/>
      </c>
      <c r="AR78" s="55" t="str">
        <f>IFERROR(IF(OR(D78="",F78="",W78="",R78="",W78="Please Select",R78="Please Select"),"",VLOOKUP('HVAC Efficiency Tables'!AG107&amp;R78&amp;W78,HVACEfficiencies,8,FALSE)),"")</f>
        <v/>
      </c>
      <c r="AS78" s="43" t="str">
        <f>IF(OR(AR78="N/A",AR78=""),"",IF(OR(F78=Lists!$I$10,F78=Lists!$I$11,F78=Lists!$I$16,F78=Lists!$I$17,F78=Lists!$I$18),"",IF(D78&lt;=5,"EER","IEER")))</f>
        <v/>
      </c>
      <c r="AT78" s="43"/>
      <c r="AU78" s="43"/>
      <c r="AV78" s="43"/>
      <c r="AW78" s="894" t="str">
        <f t="shared" ref="AW78:AW92" si="58">IF(AND(B78&gt;0,$BR$1="OR"),"ID Only*",
IF(AND(F78="Heat Pumps, Air-Cooled",(D78*12000)&gt;760000),"Ineligible",
IF(AND(AY78&lt;=AI78,BA78&lt;=AR78),"",
IF(OR(AI78="",$AP78="",AP78="N/A"),"",
IF(AND(OR(F78="Unitary Commercial Air Conditioners, Air-Cooled",F78="Heat Pumps, Air-Cooled"),OR(AK78="",$AR78="",AR78="N/A")),"",
IF(AND($AY78&lt;=AI78,$BA78&lt;=AK78),"",IF(AND($AP78&lt;=AI78,OR($AR78&lt;=AK78,$AR78="N/A")),"Qualified","Not Qualified")))))))</f>
        <v/>
      </c>
      <c r="AX78" s="894"/>
      <c r="AY78" s="55" t="str">
        <f>IFERROR(IF(OR(D78="",F78="",W78="",R78="",W78="Please Select",R78="Please Select"),"",VLOOKUP('HVAC Efficiency Tables'!AG107&amp;R78&amp;W78,HVACEfficiencies,5,FALSE)),"")</f>
        <v/>
      </c>
      <c r="AZ78" s="43" t="str">
        <f>IF(OR(AY78="N/A",AY78=""),"",IF(OR(F78=Lists!$I$10,F78=Lists!$I$11,F78=Lists!$I$16,F78=Lists!$J$12),"EER",IF(OR(F78=Lists!$I$17,F78=Lists!$I$18),"kW/ton",IF(D78*12000&lt;65000,"SEER","EER"))))</f>
        <v/>
      </c>
      <c r="BA78" s="55" t="str">
        <f>IFERROR(IF(OR(D78="",F78="",W78="",R78="",W78="Please Select",R78="Please Select"),"",VLOOKUP('HVAC Efficiency Tables'!AG107&amp;R78&amp;W78,HVACEfficiencies,9,FALSE)),"")</f>
        <v/>
      </c>
      <c r="BB78" s="43" t="str">
        <f>IF(OR(BA78="N/A",BA78=""),"",IF(OR(F78=Lists!$I$10,F78=Lists!$I$11,F78=Lists!$I$16,F78=Lists!$I$17,F78=Lists!$I$18),"",IF(D78&lt;=5,"EER","IEER")))</f>
        <v/>
      </c>
      <c r="BC78" s="43"/>
      <c r="BD78" s="43"/>
      <c r="BE78" s="894" t="str">
        <f t="shared" ref="BE78:BE92" si="59">IF(AND($BR$1="OR",B78&gt;0),"ID Only*",IF(OR(AI78="",$AY78="",$AY78="N/A"),"",IF(AND($AY78&lt;=AI78,OR($BA78&lt;=AK78,$BA78="N/A")),"Qualified","Not Qualified")))</f>
        <v/>
      </c>
      <c r="BF78" s="894"/>
      <c r="BG78" s="157" t="s">
        <v>142</v>
      </c>
      <c r="BH78" s="895" t="str">
        <f t="shared" ref="BH78:BH92" si="60">IF(AW78="ID Only*","ID Only*",
IF(AND($AD$73="(Please Select)",B78&gt;0),"Select Heat",
IF(AND($F78="Unitary Commercial Air Conditioners, Air-Cooled",AW78="Qualified"),D78*B78*85,
IF(AND(OR($F78="Package Terminal Air Conditioners (PTAC)",$F78="Package Terminal Heat Pump (PTHP)"),AW78="Qualified"),D78*B78*50,
IF(AND(F78="Heat Pumps, Air-Cooled",AW78="Qualified"),D78*B78*110,
IF(AND($F78="Unitary Commercial Air Conditioners, Air-Cooled",BE78="Qualified"),D78*B78*110,
IF(AND(OR($F78="Package Terminal Air Conditioners (PTAC)",$F78="Package Terminal Heat Pump (PTHP)"),BE78="Qualified"),B78*D78*75,
IF(AND(F78="Heat Pumps, Air-Cooled",BE78="Qualified"),B78*D78*130,""))))))))</f>
        <v/>
      </c>
      <c r="BI78" s="895"/>
      <c r="BJ78" s="582"/>
      <c r="BM78" s="296">
        <f>COUNTIF(AW77:AW106,"Qualified")+COUNTIF(BE77:BE106,"Qualified")</f>
        <v>0</v>
      </c>
      <c r="BQ78" s="298">
        <f t="shared" ref="BQ78:BQ92" si="61">IF($F78="Unitary Commercial Air Conditioners, Air-Cooled",IF($AW78="Qualified",152,IF($BE78="Qualified",193,0)),0)</f>
        <v>0</v>
      </c>
      <c r="BR78" s="298">
        <f t="shared" ref="BR78:BR92" si="62">IF($F78="Heat Pumps, Air-Cooled",
IF(AND($AW78="Qualified",$AD$73="Electric"),543,
IF(AND($AW78="Qualified",$AD$73&lt;&gt;"Electric"),187,
IF(AND($BE78="Qualified",$AD$73="Electric"),632,
IF(AND($BE78="Qualified",$AD$73&lt;&gt;"Electric"),219,0)))),0)</f>
        <v>0</v>
      </c>
      <c r="BS78" s="298">
        <f t="shared" ref="BS78:BS92" si="63">IF($F78="Package Terminal Air Conditioners (PTAC)",IF($AW78="Qualified",231.3,IF($BE78="Qualified",279.49,0)),0)</f>
        <v>0</v>
      </c>
      <c r="BT78" s="298">
        <f t="shared" ref="BT78:BT92" si="64">IF($F78="Package Terminal Heat Pump (PTHP)",
IF(AND($AW78="Qualified",$AD$73="Electric"),436.45,
IF(AND($AW78="Qualified",$AD$73&lt;&gt;"Electric"),231.3,
IF(AND($BE78="Qualified",$AD$73="Electric"),560.12,
IF(AND($BE78="Qualified",$AD$73&lt;&gt;"Electric"),279.49,0)))),0)</f>
        <v>0</v>
      </c>
      <c r="BU78" s="298">
        <f t="shared" ref="BU78:BU92" si="65">IF($AD$73="(Please select)",0,IF($BR$1="OR",0,MAX(BQ78:BT78)))</f>
        <v>0</v>
      </c>
      <c r="BV78" s="617">
        <f t="shared" ref="BV78:BV92" si="66">BU78*B78*D78</f>
        <v>0</v>
      </c>
      <c r="BW78" s="301"/>
      <c r="BY78" s="94"/>
      <c r="BZ78" s="94"/>
      <c r="CA78" s="94"/>
      <c r="CB78" s="900" t="str">
        <f>'HVAC Efficiency Tables'!$AH107</f>
        <v/>
      </c>
      <c r="CC78" s="901"/>
      <c r="CD78" s="901"/>
      <c r="CE78" s="902"/>
      <c r="CF78" s="382"/>
      <c r="CG78" s="900" t="str">
        <f>'HVAC Efficiency Tables'!$AI107</f>
        <v/>
      </c>
      <c r="CH78" s="901"/>
      <c r="CI78" s="901"/>
      <c r="CJ78" s="901"/>
      <c r="CK78" s="901"/>
      <c r="CL78" s="902"/>
      <c r="CM78" s="94"/>
      <c r="CN78" s="94"/>
      <c r="CO78" s="94"/>
      <c r="CP78" s="94"/>
      <c r="CQ78" s="94"/>
      <c r="CR78" s="94"/>
      <c r="CS78" s="94"/>
      <c r="CT78" s="94"/>
      <c r="CU78" s="94"/>
      <c r="CV78" s="94"/>
      <c r="CW78" s="94"/>
      <c r="CX78" s="94"/>
      <c r="CY78" s="94"/>
      <c r="CZ78" s="94"/>
    </row>
    <row r="79" spans="1:178" ht="14.1" customHeight="1">
      <c r="A79" s="54"/>
      <c r="B79" s="64"/>
      <c r="C79" s="333"/>
      <c r="D79" s="64"/>
      <c r="E79" s="231"/>
      <c r="F79" s="897"/>
      <c r="G79" s="898"/>
      <c r="H79" s="898"/>
      <c r="I79" s="898"/>
      <c r="J79" s="898"/>
      <c r="K79" s="898"/>
      <c r="L79" s="898"/>
      <c r="M79" s="898"/>
      <c r="N79" s="898"/>
      <c r="O79" s="898"/>
      <c r="P79" s="899"/>
      <c r="Q79" s="208"/>
      <c r="R79" s="900" t="str">
        <f>'HVAC Efficiency Tables'!$AH108</f>
        <v/>
      </c>
      <c r="S79" s="901"/>
      <c r="T79" s="901"/>
      <c r="U79" s="902"/>
      <c r="V79" s="382"/>
      <c r="W79" s="900" t="str">
        <f>'HVAC Efficiency Tables'!$AI108</f>
        <v/>
      </c>
      <c r="X79" s="901"/>
      <c r="Y79" s="901"/>
      <c r="Z79" s="901"/>
      <c r="AA79" s="901"/>
      <c r="AB79" s="902"/>
      <c r="AC79" s="204"/>
      <c r="AD79" s="890"/>
      <c r="AE79" s="890"/>
      <c r="AF79" s="890"/>
      <c r="AG79" s="890"/>
      <c r="AH79" s="333"/>
      <c r="AI79" s="64"/>
      <c r="AJ79" s="43" t="str">
        <f>IF(OR(D79="",AW79="Ineligible"),"",IF(OR(F79=Lists!$I$10,F79=Lists!$I$11,F79=Lists!$I$16,F79=Lists!$J$12),"EER",IF(OR(F79=Lists!$I$17,F79=Lists!$I$18),"kW/ton",IF(D79*12000&lt;65000,"SEER","EER"))))</f>
        <v/>
      </c>
      <c r="AK79" s="64"/>
      <c r="AL79" s="43" t="str">
        <f>IF(OR(B79="",F79=Lists!$I$10,F79=Lists!$I$11,AW79="Ineligible",AR79="N/A"),"",IF(OR(F79=Lists!$I$16,F79=Lists!$I$17,F79=Lists!$I$18),"",IF(D79&lt;=5,"EER","IEER")))</f>
        <v/>
      </c>
      <c r="AM79" s="43"/>
      <c r="AN79" s="43"/>
      <c r="AO79" s="204"/>
      <c r="AP79" s="55" t="str">
        <f>IFERROR(IF(OR(D79="",F79="",W79="",R79="",W79="Please Select",R79="Please Select"),"",VLOOKUP('HVAC Efficiency Tables'!AG108&amp;R79&amp;W79,HVACEfficiencies,3,FALSE)),"")</f>
        <v/>
      </c>
      <c r="AQ79" s="43" t="str">
        <f>IF(OR(AP79="N/A",AP79=""),"",IF(OR(F79=Lists!$I$10,F79=Lists!$I$11,F79=Lists!$I$16,F79=Lists!$J$12),"EER",IF(OR(F79=Lists!$I$17,F79=Lists!$I$18),"kW/ton",IF(D79*12000&lt;65000,"SEER","EER"))))</f>
        <v/>
      </c>
      <c r="AR79" s="55" t="str">
        <f>IFERROR(IF(OR(D79="",F79="",W79="",R79="",W79="Please Select",R79="Please Select"),"",VLOOKUP('HVAC Efficiency Tables'!AG108&amp;R79&amp;W79,HVACEfficiencies,8,FALSE)),"")</f>
        <v/>
      </c>
      <c r="AS79" s="43" t="str">
        <f>IF(OR(AR79="N/A",AR79=""),"",IF(OR(F79=Lists!$I$10,F79=Lists!$I$11,F79=Lists!$I$16,F79=Lists!$I$17,F79=Lists!$I$18),"",IF(D79&lt;=5,"EER","IEER")))</f>
        <v/>
      </c>
      <c r="AT79" s="43"/>
      <c r="AU79" s="43"/>
      <c r="AV79" s="43"/>
      <c r="AW79" s="894" t="str">
        <f t="shared" si="58"/>
        <v/>
      </c>
      <c r="AX79" s="894"/>
      <c r="AY79" s="55" t="str">
        <f>IFERROR(IF(OR(D79="",F79="",W79="",R79="",W79="Please Select",R79="Please Select"),"",VLOOKUP('HVAC Efficiency Tables'!AG108&amp;R79&amp;W79,HVACEfficiencies,5,FALSE)),"")</f>
        <v/>
      </c>
      <c r="AZ79" s="43" t="str">
        <f>IF(OR(AY79="N/A",AY79=""),"",IF(OR(F79=Lists!$I$10,F79=Lists!$I$11,F79=Lists!$I$16,F79=Lists!$J$12),"EER",IF(OR(F79=Lists!$I$17,F79=Lists!$I$18),"kW/ton",IF(D79*12000&lt;65000,"SEER","EER"))))</f>
        <v/>
      </c>
      <c r="BA79" s="55" t="str">
        <f>IFERROR(IF(OR(D79="",F79="",W79="",R79="",W79="Please Select",R79="Please Select"),"",VLOOKUP('HVAC Efficiency Tables'!AG108&amp;R79&amp;W79,HVACEfficiencies,9,FALSE)),"")</f>
        <v/>
      </c>
      <c r="BB79" s="43" t="str">
        <f>IF(OR(BA79="N/A",BA79=""),"",IF(OR(F79=Lists!$I$10,F79=Lists!$I$11,F79=Lists!$I$16,F79=Lists!$I$17,F79=Lists!$I$18),"",IF(D79&lt;=5,"EER","IEER")))</f>
        <v/>
      </c>
      <c r="BC79" s="43"/>
      <c r="BD79" s="43"/>
      <c r="BE79" s="894" t="str">
        <f t="shared" si="59"/>
        <v/>
      </c>
      <c r="BF79" s="894"/>
      <c r="BG79" s="157" t="s">
        <v>142</v>
      </c>
      <c r="BH79" s="895" t="str">
        <f t="shared" si="60"/>
        <v/>
      </c>
      <c r="BI79" s="895"/>
      <c r="BJ79" s="582"/>
      <c r="BQ79" s="298">
        <f t="shared" si="61"/>
        <v>0</v>
      </c>
      <c r="BR79" s="298">
        <f t="shared" si="62"/>
        <v>0</v>
      </c>
      <c r="BS79" s="298">
        <f t="shared" si="63"/>
        <v>0</v>
      </c>
      <c r="BT79" s="298">
        <f t="shared" si="64"/>
        <v>0</v>
      </c>
      <c r="BU79" s="298">
        <f t="shared" si="65"/>
        <v>0</v>
      </c>
      <c r="BV79" s="617">
        <f t="shared" si="66"/>
        <v>0</v>
      </c>
      <c r="BW79" s="301"/>
      <c r="BY79" s="94"/>
      <c r="BZ79" s="94"/>
      <c r="CA79" s="94"/>
      <c r="CB79" s="900" t="str">
        <f>'HVAC Efficiency Tables'!$AH108</f>
        <v/>
      </c>
      <c r="CC79" s="901"/>
      <c r="CD79" s="901"/>
      <c r="CE79" s="902"/>
      <c r="CF79" s="382"/>
      <c r="CG79" s="900" t="str">
        <f>'HVAC Efficiency Tables'!$AI108</f>
        <v/>
      </c>
      <c r="CH79" s="901"/>
      <c r="CI79" s="901"/>
      <c r="CJ79" s="901"/>
      <c r="CK79" s="901"/>
      <c r="CL79" s="902"/>
      <c r="CM79" s="94"/>
      <c r="CN79" s="94"/>
      <c r="CO79" s="94"/>
      <c r="CP79" s="94"/>
      <c r="CQ79" s="94"/>
      <c r="CR79" s="94"/>
      <c r="CS79" s="94"/>
      <c r="CT79" s="94"/>
      <c r="CU79" s="94"/>
      <c r="CV79" s="94"/>
      <c r="CW79" s="94"/>
      <c r="CX79" s="94"/>
      <c r="CY79" s="94"/>
      <c r="CZ79" s="94"/>
    </row>
    <row r="80" spans="1:178" ht="14.1" customHeight="1">
      <c r="A80" s="54"/>
      <c r="B80" s="64"/>
      <c r="C80" s="333"/>
      <c r="D80" s="64"/>
      <c r="E80" s="231"/>
      <c r="F80" s="903"/>
      <c r="G80" s="903"/>
      <c r="H80" s="903"/>
      <c r="I80" s="903"/>
      <c r="J80" s="903"/>
      <c r="K80" s="903"/>
      <c r="L80" s="903"/>
      <c r="M80" s="903"/>
      <c r="N80" s="903"/>
      <c r="O80" s="903"/>
      <c r="P80" s="903"/>
      <c r="Q80" s="208"/>
      <c r="R80" s="900" t="str">
        <f>'HVAC Efficiency Tables'!$AH109</f>
        <v/>
      </c>
      <c r="S80" s="901"/>
      <c r="T80" s="901"/>
      <c r="U80" s="902"/>
      <c r="V80" s="382"/>
      <c r="W80" s="900" t="str">
        <f>'HVAC Efficiency Tables'!$AI109</f>
        <v/>
      </c>
      <c r="X80" s="901"/>
      <c r="Y80" s="901"/>
      <c r="Z80" s="901"/>
      <c r="AA80" s="901"/>
      <c r="AB80" s="902"/>
      <c r="AC80" s="204"/>
      <c r="AD80" s="890"/>
      <c r="AE80" s="890"/>
      <c r="AF80" s="890"/>
      <c r="AG80" s="890"/>
      <c r="AH80" s="333"/>
      <c r="AI80" s="64"/>
      <c r="AJ80" s="43" t="str">
        <f>IF(OR(D80="",AW80="Ineligible"),"",IF(OR(F80=Lists!$I$10,F80=Lists!$I$11,F80=Lists!$I$16,F80=Lists!$J$12),"EER",IF(OR(F80=Lists!$I$17,F80=Lists!$I$18),"kW/ton",IF(D80*12000&lt;65000,"SEER","EER"))))</f>
        <v/>
      </c>
      <c r="AK80" s="64"/>
      <c r="AL80" s="43" t="str">
        <f>IF(OR(B80="",F80=Lists!$I$10,F80=Lists!$I$11,AW80="Ineligible",AR80="N/A"),"",IF(OR(F80=Lists!$I$16,F80=Lists!$I$17,F80=Lists!$I$18),"",IF(D80&lt;=5,"EER","IEER")))</f>
        <v/>
      </c>
      <c r="AM80" s="43"/>
      <c r="AN80" s="43"/>
      <c r="AO80" s="204"/>
      <c r="AP80" s="55" t="str">
        <f>IFERROR(IF(OR(D80="",F80="",W80="",R80="",W80="Please Select",R80="Please Select"),"",VLOOKUP('HVAC Efficiency Tables'!AG109&amp;R80&amp;W80,HVACEfficiencies,3,FALSE)),"")</f>
        <v/>
      </c>
      <c r="AQ80" s="43" t="str">
        <f>IF(OR(AP80="N/A",AP80=""),"",IF(OR(F80=Lists!$I$10,F80=Lists!$I$11,F80=Lists!$I$16,F80=Lists!$J$12),"EER",IF(OR(F80=Lists!$I$17,F80=Lists!$I$18),"kW/ton",IF(D80*12000&lt;65000,"SEER","EER"))))</f>
        <v/>
      </c>
      <c r="AR80" s="55" t="str">
        <f>IFERROR(IF(OR(D80="",F80="",W80="",R80="",W80="Please Select",R80="Please Select"),"",VLOOKUP('HVAC Efficiency Tables'!AG109&amp;R80&amp;W80,HVACEfficiencies,8,FALSE)),"")</f>
        <v/>
      </c>
      <c r="AS80" s="43" t="str">
        <f>IF(OR(AR80="N/A",AR80=""),"",IF(OR(F80=Lists!$I$10,F80=Lists!$I$11,F80=Lists!$I$16,F80=Lists!$I$17,F80=Lists!$I$18),"",IF(D80&lt;=5,"EER","IEER")))</f>
        <v/>
      </c>
      <c r="AT80" s="43"/>
      <c r="AU80" s="43"/>
      <c r="AV80" s="43"/>
      <c r="AW80" s="894" t="str">
        <f t="shared" si="58"/>
        <v/>
      </c>
      <c r="AX80" s="894"/>
      <c r="AY80" s="55" t="str">
        <f>IFERROR(IF(OR(D80="",F80="",W80="",R80="",W80="Please Select",R80="Please Select"),"",VLOOKUP('HVAC Efficiency Tables'!AG109&amp;R80&amp;W80,HVACEfficiencies,5,FALSE)),"")</f>
        <v/>
      </c>
      <c r="AZ80" s="43" t="str">
        <f>IF(OR(AY80="N/A",AY80=""),"",IF(OR(F80=Lists!$I$10,F80=Lists!$I$11,F80=Lists!$I$16,F80=Lists!$J$12),"EER",IF(OR(F80=Lists!$I$17,F80=Lists!$I$18),"kW/ton",IF(D80*12000&lt;65000,"SEER","EER"))))</f>
        <v/>
      </c>
      <c r="BA80" s="55" t="str">
        <f>IFERROR(IF(OR(D80="",F80="",W80="",R80="",W80="Please Select",R80="Please Select"),"",VLOOKUP('HVAC Efficiency Tables'!AG109&amp;R80&amp;W80,HVACEfficiencies,9,FALSE)),"")</f>
        <v/>
      </c>
      <c r="BB80" s="43" t="str">
        <f>IF(OR(BA80="N/A",BA80=""),"",IF(OR(F80=Lists!$I$10,F80=Lists!$I$11,F80=Lists!$I$16,F80=Lists!$I$17,F80=Lists!$I$18),"",IF(D80&lt;=5,"EER","IEER")))</f>
        <v/>
      </c>
      <c r="BC80" s="43"/>
      <c r="BD80" s="43"/>
      <c r="BE80" s="894" t="str">
        <f t="shared" si="59"/>
        <v/>
      </c>
      <c r="BF80" s="894"/>
      <c r="BG80" s="157" t="s">
        <v>142</v>
      </c>
      <c r="BH80" s="895" t="str">
        <f t="shared" si="60"/>
        <v/>
      </c>
      <c r="BI80" s="895"/>
      <c r="BJ80" s="582"/>
      <c r="BQ80" s="298">
        <f t="shared" si="61"/>
        <v>0</v>
      </c>
      <c r="BR80" s="298">
        <f t="shared" si="62"/>
        <v>0</v>
      </c>
      <c r="BS80" s="298">
        <f t="shared" si="63"/>
        <v>0</v>
      </c>
      <c r="BT80" s="298">
        <f t="shared" si="64"/>
        <v>0</v>
      </c>
      <c r="BU80" s="298">
        <f t="shared" si="65"/>
        <v>0</v>
      </c>
      <c r="BV80" s="617">
        <f t="shared" si="66"/>
        <v>0</v>
      </c>
      <c r="BW80" s="301"/>
      <c r="BY80" s="94"/>
      <c r="BZ80" s="94"/>
      <c r="CA80" s="94"/>
      <c r="CB80" s="900" t="str">
        <f>'HVAC Efficiency Tables'!$AH109</f>
        <v/>
      </c>
      <c r="CC80" s="901"/>
      <c r="CD80" s="901"/>
      <c r="CE80" s="902"/>
      <c r="CF80" s="382"/>
      <c r="CG80" s="900" t="str">
        <f>'HVAC Efficiency Tables'!$AI109</f>
        <v/>
      </c>
      <c r="CH80" s="901"/>
      <c r="CI80" s="901"/>
      <c r="CJ80" s="901"/>
      <c r="CK80" s="901"/>
      <c r="CL80" s="902"/>
      <c r="CM80" s="94"/>
      <c r="CN80" s="94"/>
      <c r="CO80" s="94"/>
      <c r="CP80" s="94"/>
      <c r="CQ80" s="94"/>
      <c r="CR80" s="94"/>
      <c r="CS80" s="94"/>
      <c r="CT80" s="94"/>
      <c r="CU80" s="94"/>
      <c r="CV80" s="94"/>
      <c r="CW80" s="94"/>
      <c r="CX80" s="94"/>
      <c r="CY80" s="94"/>
      <c r="CZ80" s="94"/>
    </row>
    <row r="81" spans="1:178" ht="14.1" customHeight="1">
      <c r="A81" s="54"/>
      <c r="B81" s="64"/>
      <c r="C81" s="333"/>
      <c r="D81" s="64"/>
      <c r="E81" s="231"/>
      <c r="F81" s="903"/>
      <c r="G81" s="903"/>
      <c r="H81" s="903"/>
      <c r="I81" s="903"/>
      <c r="J81" s="903"/>
      <c r="K81" s="903"/>
      <c r="L81" s="903"/>
      <c r="M81" s="903"/>
      <c r="N81" s="903"/>
      <c r="O81" s="903"/>
      <c r="P81" s="903"/>
      <c r="Q81" s="208"/>
      <c r="R81" s="900" t="str">
        <f>'HVAC Efficiency Tables'!$AH110</f>
        <v/>
      </c>
      <c r="S81" s="901"/>
      <c r="T81" s="901"/>
      <c r="U81" s="902"/>
      <c r="V81" s="382"/>
      <c r="W81" s="900" t="str">
        <f>'HVAC Efficiency Tables'!$AI110</f>
        <v/>
      </c>
      <c r="X81" s="901"/>
      <c r="Y81" s="901"/>
      <c r="Z81" s="901"/>
      <c r="AA81" s="901"/>
      <c r="AB81" s="902"/>
      <c r="AC81" s="204"/>
      <c r="AD81" s="890"/>
      <c r="AE81" s="890"/>
      <c r="AF81" s="890"/>
      <c r="AG81" s="890"/>
      <c r="AH81" s="333"/>
      <c r="AI81" s="64"/>
      <c r="AJ81" s="43" t="str">
        <f>IF(OR(D81="",AW81="Ineligible"),"",IF(OR(F81=Lists!$I$10,F81=Lists!$I$11,F81=Lists!$I$16,F81=Lists!$J$12),"EER",IF(OR(F81=Lists!$I$17,F81=Lists!$I$18),"kW/ton",IF(D81*12000&lt;65000,"SEER","EER"))))</f>
        <v/>
      </c>
      <c r="AK81" s="64"/>
      <c r="AL81" s="43" t="str">
        <f>IF(OR(B81="",F81=Lists!$I$10,F81=Lists!$I$11,AW81="Ineligible",AR81="N/A"),"",IF(OR(F81=Lists!$I$16,F81=Lists!$I$17,F81=Lists!$I$18),"",IF(D81&lt;=5,"EER","IEER")))</f>
        <v/>
      </c>
      <c r="AM81" s="43"/>
      <c r="AN81" s="43"/>
      <c r="AO81" s="204"/>
      <c r="AP81" s="55" t="str">
        <f>IFERROR(IF(OR(D81="",F81="",W81="",R81="",W81="Please Select",R81="Please Select"),"",VLOOKUP('HVAC Efficiency Tables'!AG110&amp;R81&amp;W81,HVACEfficiencies,3,FALSE)),"")</f>
        <v/>
      </c>
      <c r="AQ81" s="43" t="str">
        <f>IF(OR(AP81="N/A",AP81=""),"",IF(OR(F81=Lists!$I$10,F81=Lists!$I$11,F81=Lists!$I$16,F81=Lists!$J$12),"EER",IF(OR(F81=Lists!$I$17,F81=Lists!$I$18),"kW/ton",IF(D81*12000&lt;65000,"SEER","EER"))))</f>
        <v/>
      </c>
      <c r="AR81" s="55" t="str">
        <f>IFERROR(IF(OR(D81="",F81="",W81="",R81="",W81="Please Select",R81="Please Select"),"",VLOOKUP('HVAC Efficiency Tables'!AG110&amp;R81&amp;W81,HVACEfficiencies,8,FALSE)),"")</f>
        <v/>
      </c>
      <c r="AS81" s="43" t="str">
        <f>IF(OR(AR81="N/A",AR81=""),"",IF(OR(F81=Lists!$I$10,F81=Lists!$I$11,F81=Lists!$I$16,F81=Lists!$I$17,F81=Lists!$I$18),"",IF(D81&lt;=5,"EER","IEER")))</f>
        <v/>
      </c>
      <c r="AT81" s="43"/>
      <c r="AU81" s="43"/>
      <c r="AV81" s="43"/>
      <c r="AW81" s="894" t="str">
        <f t="shared" si="58"/>
        <v/>
      </c>
      <c r="AX81" s="894"/>
      <c r="AY81" s="55" t="str">
        <f>IFERROR(IF(OR(D81="",F81="",W81="",R81="",W81="Please Select",R81="Please Select"),"",VLOOKUP('HVAC Efficiency Tables'!AG110&amp;R81&amp;W81,HVACEfficiencies,5,FALSE)),"")</f>
        <v/>
      </c>
      <c r="AZ81" s="43" t="str">
        <f>IF(OR(AY81="N/A",AY81=""),"",IF(OR(F81=Lists!$I$10,F81=Lists!$I$11,F81=Lists!$I$16,F81=Lists!$J$12),"EER",IF(OR(F81=Lists!$I$17,F81=Lists!$I$18),"kW/ton",IF(D81*12000&lt;65000,"SEER","EER"))))</f>
        <v/>
      </c>
      <c r="BA81" s="55" t="str">
        <f>IFERROR(IF(OR(D81="",F81="",W81="",R81="",W81="Please Select",R81="Please Select"),"",VLOOKUP('HVAC Efficiency Tables'!AG110&amp;R81&amp;W81,HVACEfficiencies,9,FALSE)),"")</f>
        <v/>
      </c>
      <c r="BB81" s="43" t="str">
        <f>IF(OR(BA81="N/A",BA81=""),"",IF(OR(F81=Lists!$I$10,F81=Lists!$I$11,F81=Lists!$I$16,F81=Lists!$I$17,F81=Lists!$I$18),"",IF(D81&lt;=5,"EER","IEER")))</f>
        <v/>
      </c>
      <c r="BC81" s="43"/>
      <c r="BD81" s="43"/>
      <c r="BE81" s="894" t="str">
        <f t="shared" si="59"/>
        <v/>
      </c>
      <c r="BF81" s="894"/>
      <c r="BG81" s="157" t="s">
        <v>142</v>
      </c>
      <c r="BH81" s="895" t="str">
        <f t="shared" si="60"/>
        <v/>
      </c>
      <c r="BI81" s="895"/>
      <c r="BJ81" s="582"/>
      <c r="BQ81" s="298">
        <f t="shared" si="61"/>
        <v>0</v>
      </c>
      <c r="BR81" s="298">
        <f t="shared" si="62"/>
        <v>0</v>
      </c>
      <c r="BS81" s="298">
        <f t="shared" si="63"/>
        <v>0</v>
      </c>
      <c r="BT81" s="298">
        <f t="shared" si="64"/>
        <v>0</v>
      </c>
      <c r="BU81" s="298">
        <f t="shared" si="65"/>
        <v>0</v>
      </c>
      <c r="BV81" s="617">
        <f t="shared" si="66"/>
        <v>0</v>
      </c>
      <c r="BW81" s="301"/>
      <c r="BY81" s="94"/>
      <c r="BZ81" s="94"/>
      <c r="CA81" s="94"/>
      <c r="CB81" s="900" t="str">
        <f>'HVAC Efficiency Tables'!$AH110</f>
        <v/>
      </c>
      <c r="CC81" s="901"/>
      <c r="CD81" s="901"/>
      <c r="CE81" s="902"/>
      <c r="CF81" s="382"/>
      <c r="CG81" s="900" t="str">
        <f>'HVAC Efficiency Tables'!$AI110</f>
        <v/>
      </c>
      <c r="CH81" s="901"/>
      <c r="CI81" s="901"/>
      <c r="CJ81" s="901"/>
      <c r="CK81" s="901"/>
      <c r="CL81" s="902"/>
      <c r="CM81" s="94"/>
      <c r="CN81" s="94"/>
      <c r="CO81" s="94"/>
      <c r="CP81" s="94"/>
      <c r="CQ81" s="94"/>
      <c r="CR81" s="94"/>
      <c r="CS81" s="94"/>
      <c r="CT81" s="94"/>
      <c r="CU81" s="94"/>
      <c r="CV81" s="94"/>
      <c r="CW81" s="94"/>
      <c r="CX81" s="94"/>
      <c r="CY81" s="94"/>
      <c r="CZ81" s="94"/>
    </row>
    <row r="82" spans="1:178" ht="14.1" customHeight="1">
      <c r="A82" s="54"/>
      <c r="B82" s="64"/>
      <c r="C82" s="333"/>
      <c r="D82" s="64"/>
      <c r="E82" s="231"/>
      <c r="F82" s="897"/>
      <c r="G82" s="898"/>
      <c r="H82" s="898"/>
      <c r="I82" s="898"/>
      <c r="J82" s="898"/>
      <c r="K82" s="898"/>
      <c r="L82" s="898"/>
      <c r="M82" s="898"/>
      <c r="N82" s="898"/>
      <c r="O82" s="898"/>
      <c r="P82" s="899"/>
      <c r="Q82" s="208"/>
      <c r="R82" s="900" t="str">
        <f>'HVAC Efficiency Tables'!$AH111</f>
        <v/>
      </c>
      <c r="S82" s="901"/>
      <c r="T82" s="901"/>
      <c r="U82" s="902"/>
      <c r="V82" s="382"/>
      <c r="W82" s="900" t="str">
        <f>'HVAC Efficiency Tables'!$AI111</f>
        <v/>
      </c>
      <c r="X82" s="901"/>
      <c r="Y82" s="901"/>
      <c r="Z82" s="901"/>
      <c r="AA82" s="901"/>
      <c r="AB82" s="902"/>
      <c r="AC82" s="204"/>
      <c r="AD82" s="890"/>
      <c r="AE82" s="890"/>
      <c r="AF82" s="890"/>
      <c r="AG82" s="890"/>
      <c r="AH82" s="333"/>
      <c r="AI82" s="64"/>
      <c r="AJ82" s="43" t="str">
        <f>IF(OR(D82="",AW82="Ineligible"),"",IF(OR(F82=Lists!$I$10,F82=Lists!$I$11,F82=Lists!$I$16,F82=Lists!$J$12),"EER",IF(OR(F82=Lists!$I$17,F82=Lists!$I$18),"kW/ton",IF(D82*12000&lt;65000,"SEER","EER"))))</f>
        <v/>
      </c>
      <c r="AK82" s="64"/>
      <c r="AL82" s="43" t="str">
        <f>IF(OR(B82="",F82=Lists!$I$10,F82=Lists!$I$11,AW82="Ineligible",AR82="N/A"),"",IF(OR(F82=Lists!$I$16,F82=Lists!$I$17,F82=Lists!$I$18),"",IF(D82&lt;=5,"EER","IEER")))</f>
        <v/>
      </c>
      <c r="AM82" s="43"/>
      <c r="AN82" s="43"/>
      <c r="AO82" s="204"/>
      <c r="AP82" s="55" t="str">
        <f>IFERROR(IF(OR(D82="",F82="",W82="",R82="",W82="Please Select",R82="Please Select"),"",VLOOKUP('HVAC Efficiency Tables'!AG111&amp;R82&amp;W82,HVACEfficiencies,3,FALSE)),"")</f>
        <v/>
      </c>
      <c r="AQ82" s="43" t="str">
        <f>IF(OR(AP82="N/A",AP82=""),"",IF(OR(F82=Lists!$I$10,F82=Lists!$I$11,F82=Lists!$I$16,F82=Lists!$J$12),"EER",IF(OR(F82=Lists!$I$17,F82=Lists!$I$18),"kW/ton",IF(D82*12000&lt;65000,"SEER","EER"))))</f>
        <v/>
      </c>
      <c r="AR82" s="55" t="str">
        <f>IFERROR(IF(OR(D82="",F82="",W82="",R82="",W82="Please Select",R82="Please Select"),"",VLOOKUP('HVAC Efficiency Tables'!AG111&amp;R82&amp;W82,HVACEfficiencies,8,FALSE)),"")</f>
        <v/>
      </c>
      <c r="AS82" s="43" t="str">
        <f>IF(OR(AR82="N/A",AR82=""),"",IF(OR(F82=Lists!$I$10,F82=Lists!$I$11,F82=Lists!$I$16,F82=Lists!$I$17,F82=Lists!$I$18),"",IF(D82&lt;=5,"EER","IEER")))</f>
        <v/>
      </c>
      <c r="AT82" s="43"/>
      <c r="AU82" s="43"/>
      <c r="AV82" s="43"/>
      <c r="AW82" s="894" t="str">
        <f t="shared" si="58"/>
        <v/>
      </c>
      <c r="AX82" s="894"/>
      <c r="AY82" s="55" t="str">
        <f>IFERROR(IF(OR(D82="",F82="",W82="",R82="",W82="Please Select",R82="Please Select"),"",VLOOKUP('HVAC Efficiency Tables'!AG111&amp;R82&amp;W82,HVACEfficiencies,5,FALSE)),"")</f>
        <v/>
      </c>
      <c r="AZ82" s="43" t="str">
        <f>IF(OR(AY82="N/A",AY82=""),"",IF(OR(F82=Lists!$I$10,F82=Lists!$I$11,F82=Lists!$I$16,F82=Lists!$J$12),"EER",IF(OR(F82=Lists!$I$17,F82=Lists!$I$18),"kW/ton",IF(D82*12000&lt;65000,"SEER","EER"))))</f>
        <v/>
      </c>
      <c r="BA82" s="55" t="str">
        <f>IFERROR(IF(OR(D82="",F82="",W82="",R82="",W82="Please Select",R82="Please Select"),"",VLOOKUP('HVAC Efficiency Tables'!AG111&amp;R82&amp;W82,HVACEfficiencies,9,FALSE)),"")</f>
        <v/>
      </c>
      <c r="BB82" s="43" t="str">
        <f>IF(OR(BA82="N/A",BA82=""),"",IF(OR(F82=Lists!$I$10,F82=Lists!$I$11,F82=Lists!$I$16,F82=Lists!$I$17,F82=Lists!$I$18),"",IF(D82&lt;=5,"EER","IEER")))</f>
        <v/>
      </c>
      <c r="BC82" s="43"/>
      <c r="BD82" s="43"/>
      <c r="BE82" s="894" t="str">
        <f t="shared" si="59"/>
        <v/>
      </c>
      <c r="BF82" s="894"/>
      <c r="BG82" s="157" t="s">
        <v>142</v>
      </c>
      <c r="BH82" s="895" t="str">
        <f t="shared" si="60"/>
        <v/>
      </c>
      <c r="BI82" s="895"/>
      <c r="BJ82" s="582"/>
      <c r="BQ82" s="298">
        <f t="shared" si="61"/>
        <v>0</v>
      </c>
      <c r="BR82" s="298">
        <f t="shared" si="62"/>
        <v>0</v>
      </c>
      <c r="BS82" s="298">
        <f t="shared" si="63"/>
        <v>0</v>
      </c>
      <c r="BT82" s="298">
        <f t="shared" si="64"/>
        <v>0</v>
      </c>
      <c r="BU82" s="298">
        <f t="shared" si="65"/>
        <v>0</v>
      </c>
      <c r="BV82" s="617">
        <f t="shared" si="66"/>
        <v>0</v>
      </c>
      <c r="BW82" s="301"/>
      <c r="BY82" s="94"/>
      <c r="BZ82" s="94"/>
      <c r="CA82" s="94"/>
      <c r="CB82" s="900" t="str">
        <f>'HVAC Efficiency Tables'!$AH111</f>
        <v/>
      </c>
      <c r="CC82" s="901"/>
      <c r="CD82" s="901"/>
      <c r="CE82" s="902"/>
      <c r="CF82" s="382"/>
      <c r="CG82" s="900" t="str">
        <f>'HVAC Efficiency Tables'!$AI111</f>
        <v/>
      </c>
      <c r="CH82" s="901"/>
      <c r="CI82" s="901"/>
      <c r="CJ82" s="901"/>
      <c r="CK82" s="901"/>
      <c r="CL82" s="902"/>
      <c r="CM82" s="94"/>
      <c r="CN82" s="94"/>
      <c r="CO82" s="94"/>
      <c r="CP82" s="94"/>
      <c r="CQ82" s="94"/>
      <c r="CR82" s="94"/>
      <c r="CS82" s="94"/>
      <c r="CT82" s="94"/>
      <c r="CU82" s="94"/>
      <c r="CV82" s="94"/>
      <c r="CW82" s="94"/>
      <c r="CX82" s="94"/>
      <c r="CY82" s="94"/>
      <c r="CZ82" s="94"/>
    </row>
    <row r="83" spans="1:178" ht="14.1" hidden="1" customHeight="1">
      <c r="A83" s="54"/>
      <c r="B83" s="64"/>
      <c r="C83" s="333"/>
      <c r="D83" s="64"/>
      <c r="E83" s="231"/>
      <c r="F83" s="903"/>
      <c r="G83" s="903"/>
      <c r="H83" s="903"/>
      <c r="I83" s="903"/>
      <c r="J83" s="903"/>
      <c r="K83" s="903"/>
      <c r="L83" s="903"/>
      <c r="M83" s="903"/>
      <c r="N83" s="903"/>
      <c r="O83" s="903"/>
      <c r="P83" s="903"/>
      <c r="Q83" s="208"/>
      <c r="R83" s="900" t="str">
        <f>'HVAC Efficiency Tables'!$AH112</f>
        <v/>
      </c>
      <c r="S83" s="901"/>
      <c r="T83" s="901"/>
      <c r="U83" s="902"/>
      <c r="V83" s="382"/>
      <c r="W83" s="900" t="str">
        <f>'HVAC Efficiency Tables'!$AI112</f>
        <v/>
      </c>
      <c r="X83" s="901"/>
      <c r="Y83" s="901"/>
      <c r="Z83" s="901"/>
      <c r="AA83" s="901"/>
      <c r="AB83" s="902"/>
      <c r="AC83" s="204"/>
      <c r="AD83" s="890"/>
      <c r="AE83" s="890"/>
      <c r="AF83" s="890"/>
      <c r="AG83" s="890"/>
      <c r="AH83" s="333"/>
      <c r="AI83" s="64"/>
      <c r="AJ83" s="43" t="str">
        <f>IF(OR(D83="",AW83="Ineligible"),"",IF(OR(F83=Lists!$I$10,F83=Lists!$I$11,F83=Lists!$I$16,F83=Lists!$J$12),"EER",IF(OR(F83=Lists!$I$17,F83=Lists!$I$18),"kW/ton",IF(D83*12000&lt;65000,"SEER","EER"))))</f>
        <v/>
      </c>
      <c r="AK83" s="64"/>
      <c r="AL83" s="43" t="str">
        <f>IF(OR(B83="",F83=Lists!$I$10,F83=Lists!$I$11,AW83="Ineligible",AR83="N/A"),"",IF(OR(F83=Lists!$I$16,F83=Lists!$I$17,F83=Lists!$I$18),"",IF(D83&lt;=5,"EER","IEER")))</f>
        <v/>
      </c>
      <c r="AM83" s="43"/>
      <c r="AN83" s="43"/>
      <c r="AO83" s="204"/>
      <c r="AP83" s="55" t="str">
        <f>IFERROR(IF(OR(D83="",F83="",W83="",R83="",W83="Please Select",R83="Please Select"),"",VLOOKUP('HVAC Efficiency Tables'!AG112&amp;R83&amp;W83,HVACEfficiencies,3,FALSE)),"")</f>
        <v/>
      </c>
      <c r="AQ83" s="43" t="str">
        <f>IF(OR(AP83="N/A",AP83=""),"",IF(OR(F83=Lists!$I$10,F83=Lists!$I$11,F83=Lists!$I$16,F83=Lists!$J$12),"EER",IF(OR(F83=Lists!$I$17,F83=Lists!$I$18),"kW/ton",IF(D83*12000&lt;65000,"SEER","EER"))))</f>
        <v/>
      </c>
      <c r="AR83" s="55" t="str">
        <f>IFERROR(IF(OR(D83="",F83="",W83="",R83="",W83="Please Select",R83="Please Select"),"",VLOOKUP('HVAC Efficiency Tables'!AG112&amp;R83&amp;W83,HVACEfficiencies,8,FALSE)),"")</f>
        <v/>
      </c>
      <c r="AS83" s="43" t="str">
        <f>IF(OR(AR83="N/A",AR83=""),"",IF(OR(F83=Lists!$I$10,F83=Lists!$I$11,F83=Lists!$I$16,F83=Lists!$I$17,F83=Lists!$I$18),"",IF(D83&lt;=5,"EER","IEER")))</f>
        <v/>
      </c>
      <c r="AT83" s="43"/>
      <c r="AU83" s="43"/>
      <c r="AV83" s="43"/>
      <c r="AW83" s="894" t="str">
        <f t="shared" si="58"/>
        <v/>
      </c>
      <c r="AX83" s="894"/>
      <c r="AY83" s="55" t="str">
        <f>IFERROR(IF(OR(D83="",F83="",W83="",R83="",W83="Please Select",R83="Please Select"),"",VLOOKUP('HVAC Efficiency Tables'!AG112&amp;R83&amp;W83,HVACEfficiencies,5,FALSE)),"")</f>
        <v/>
      </c>
      <c r="AZ83" s="43" t="str">
        <f>IF(OR(AY83="N/A",AY83=""),"",IF(OR(F83=Lists!$I$10,F83=Lists!$I$11,F83=Lists!$I$16,F83=Lists!$J$12),"EER",IF(OR(F83=Lists!$I$17,F83=Lists!$I$18),"kW/ton",IF(D83*12000&lt;65000,"SEER","EER"))))</f>
        <v/>
      </c>
      <c r="BA83" s="55" t="str">
        <f>IFERROR(IF(OR(D83="",F83="",W83="",R83="",W83="Please Select",R83="Please Select"),"",VLOOKUP('HVAC Efficiency Tables'!AG112&amp;R83&amp;W83,HVACEfficiencies,9,FALSE)),"")</f>
        <v/>
      </c>
      <c r="BB83" s="43" t="str">
        <f>IF(OR(BA83="N/A",BA83=""),"",IF(OR(F83=Lists!$I$10,F83=Lists!$I$11,F83=Lists!$I$16,F83=Lists!$I$17,F83=Lists!$I$18),"",IF(D83&lt;=5,"EER","IEER")))</f>
        <v/>
      </c>
      <c r="BC83" s="43"/>
      <c r="BD83" s="43"/>
      <c r="BE83" s="894" t="str">
        <f t="shared" si="59"/>
        <v/>
      </c>
      <c r="BF83" s="894"/>
      <c r="BG83" s="157" t="s">
        <v>142</v>
      </c>
      <c r="BH83" s="895" t="str">
        <f t="shared" si="60"/>
        <v/>
      </c>
      <c r="BI83" s="895"/>
      <c r="BJ83" s="582"/>
      <c r="BQ83" s="298">
        <f t="shared" si="61"/>
        <v>0</v>
      </c>
      <c r="BR83" s="298">
        <f t="shared" si="62"/>
        <v>0</v>
      </c>
      <c r="BS83" s="298">
        <f t="shared" si="63"/>
        <v>0</v>
      </c>
      <c r="BT83" s="298">
        <f t="shared" si="64"/>
        <v>0</v>
      </c>
      <c r="BU83" s="298">
        <f t="shared" si="65"/>
        <v>0</v>
      </c>
      <c r="BV83" s="617">
        <f t="shared" si="66"/>
        <v>0</v>
      </c>
      <c r="BW83" s="301"/>
      <c r="BY83" s="94"/>
      <c r="BZ83" s="94"/>
      <c r="CA83" s="94"/>
      <c r="CB83" s="900" t="str">
        <f>'HVAC Efficiency Tables'!$AH112</f>
        <v/>
      </c>
      <c r="CC83" s="901"/>
      <c r="CD83" s="901"/>
      <c r="CE83" s="902"/>
      <c r="CF83" s="382"/>
      <c r="CG83" s="900" t="str">
        <f>'HVAC Efficiency Tables'!$AI112</f>
        <v/>
      </c>
      <c r="CH83" s="901"/>
      <c r="CI83" s="901"/>
      <c r="CJ83" s="901"/>
      <c r="CK83" s="901"/>
      <c r="CL83" s="902"/>
      <c r="CM83" s="94"/>
      <c r="CN83" s="94"/>
      <c r="CO83" s="94"/>
      <c r="CP83" s="94"/>
      <c r="CQ83" s="94"/>
      <c r="CR83" s="94"/>
      <c r="CS83" s="94"/>
      <c r="CT83" s="94"/>
      <c r="CU83" s="94"/>
      <c r="CV83" s="94"/>
      <c r="CW83" s="94"/>
      <c r="CX83" s="94"/>
      <c r="CY83" s="94"/>
      <c r="CZ83" s="94"/>
    </row>
    <row r="84" spans="1:178" ht="14.1" hidden="1" customHeight="1">
      <c r="A84" s="54"/>
      <c r="B84" s="64"/>
      <c r="C84" s="333"/>
      <c r="D84" s="64"/>
      <c r="E84" s="231"/>
      <c r="F84" s="903"/>
      <c r="G84" s="903"/>
      <c r="H84" s="903"/>
      <c r="I84" s="903"/>
      <c r="J84" s="903"/>
      <c r="K84" s="903"/>
      <c r="L84" s="903"/>
      <c r="M84" s="903"/>
      <c r="N84" s="903"/>
      <c r="O84" s="903"/>
      <c r="P84" s="903"/>
      <c r="Q84" s="208"/>
      <c r="R84" s="900" t="str">
        <f>'HVAC Efficiency Tables'!$AH113</f>
        <v/>
      </c>
      <c r="S84" s="901"/>
      <c r="T84" s="901"/>
      <c r="U84" s="902"/>
      <c r="V84" s="382"/>
      <c r="W84" s="900" t="str">
        <f>'HVAC Efficiency Tables'!$AI113</f>
        <v/>
      </c>
      <c r="X84" s="901"/>
      <c r="Y84" s="901"/>
      <c r="Z84" s="901"/>
      <c r="AA84" s="901"/>
      <c r="AB84" s="902"/>
      <c r="AC84" s="204"/>
      <c r="AD84" s="890"/>
      <c r="AE84" s="890"/>
      <c r="AF84" s="890"/>
      <c r="AG84" s="890"/>
      <c r="AH84" s="333"/>
      <c r="AI84" s="64"/>
      <c r="AJ84" s="43" t="str">
        <f>IF(OR(D84="",AW84="Ineligible"),"",IF(OR(F84=Lists!$I$10,F84=Lists!$I$11,F84=Lists!$I$16,F84=Lists!$J$12),"EER",IF(OR(F84=Lists!$I$17,F84=Lists!$I$18),"kW/ton",IF(D84*12000&lt;65000,"SEER","EER"))))</f>
        <v/>
      </c>
      <c r="AK84" s="64"/>
      <c r="AL84" s="43" t="str">
        <f>IF(OR(B84="",F84=Lists!$I$10,F84=Lists!$I$11,AW84="Ineligible",AR84="N/A"),"",IF(OR(F84=Lists!$I$16,F84=Lists!$I$17,F84=Lists!$I$18),"",IF(D84&lt;=5,"EER","IEER")))</f>
        <v/>
      </c>
      <c r="AM84" s="43"/>
      <c r="AN84" s="43"/>
      <c r="AO84" s="204"/>
      <c r="AP84" s="55" t="str">
        <f>IFERROR(IF(OR(D84="",F84="",W84="",R84="",W84="Please Select",R84="Please Select"),"",VLOOKUP('HVAC Efficiency Tables'!AG113&amp;R84&amp;W84,HVACEfficiencies,3,FALSE)),"")</f>
        <v/>
      </c>
      <c r="AQ84" s="43" t="str">
        <f>IF(OR(AP84="N/A",AP84=""),"",IF(OR(F84=Lists!$I$10,F84=Lists!$I$11,F84=Lists!$I$16,F84=Lists!$J$12),"EER",IF(OR(F84=Lists!$I$17,F84=Lists!$I$18),"kW/ton",IF(D84*12000&lt;65000,"SEER","EER"))))</f>
        <v/>
      </c>
      <c r="AR84" s="55" t="str">
        <f>IFERROR(IF(OR(D84="",F84="",W84="",R84="",W84="Please Select",R84="Please Select"),"",VLOOKUP('HVAC Efficiency Tables'!AG113&amp;R84&amp;W84,HVACEfficiencies,8,FALSE)),"")</f>
        <v/>
      </c>
      <c r="AS84" s="43" t="str">
        <f>IF(OR(AR84="N/A",AR84=""),"",IF(OR(F84=Lists!$I$10,F84=Lists!$I$11,F84=Lists!$I$16,F84=Lists!$I$17,F84=Lists!$I$18),"",IF(D84&lt;=5,"EER","IEER")))</f>
        <v/>
      </c>
      <c r="AT84" s="43"/>
      <c r="AU84" s="43"/>
      <c r="AV84" s="43"/>
      <c r="AW84" s="894" t="str">
        <f t="shared" si="58"/>
        <v/>
      </c>
      <c r="AX84" s="894"/>
      <c r="AY84" s="55" t="str">
        <f>IFERROR(IF(OR(D84="",F84="",W84="",R84="",W84="Please Select",R84="Please Select"),"",VLOOKUP('HVAC Efficiency Tables'!AG113&amp;R84&amp;W84,HVACEfficiencies,5,FALSE)),"")</f>
        <v/>
      </c>
      <c r="AZ84" s="43" t="str">
        <f>IF(OR(AY84="N/A",AY84=""),"",IF(OR(F84=Lists!$I$10,F84=Lists!$I$11,F84=Lists!$I$16,F84=Lists!$J$12),"EER",IF(OR(F84=Lists!$I$17,F84=Lists!$I$18),"kW/ton",IF(D84*12000&lt;65000,"SEER","EER"))))</f>
        <v/>
      </c>
      <c r="BA84" s="55" t="str">
        <f>IFERROR(IF(OR(D84="",F84="",W84="",R84="",W84="Please Select",R84="Please Select"),"",VLOOKUP('HVAC Efficiency Tables'!AG113&amp;R84&amp;W84,HVACEfficiencies,9,FALSE)),"")</f>
        <v/>
      </c>
      <c r="BB84" s="43" t="str">
        <f>IF(OR(BA84="N/A",BA84=""),"",IF(OR(F84=Lists!$I$10,F84=Lists!$I$11,F84=Lists!$I$16,F84=Lists!$I$17,F84=Lists!$I$18),"",IF(D84&lt;=5,"EER","IEER")))</f>
        <v/>
      </c>
      <c r="BC84" s="43"/>
      <c r="BD84" s="43"/>
      <c r="BE84" s="894" t="str">
        <f t="shared" si="59"/>
        <v/>
      </c>
      <c r="BF84" s="894"/>
      <c r="BG84" s="157" t="s">
        <v>142</v>
      </c>
      <c r="BH84" s="895" t="str">
        <f t="shared" si="60"/>
        <v/>
      </c>
      <c r="BI84" s="895"/>
      <c r="BJ84" s="582"/>
      <c r="BQ84" s="298">
        <f t="shared" si="61"/>
        <v>0</v>
      </c>
      <c r="BR84" s="298">
        <f t="shared" si="62"/>
        <v>0</v>
      </c>
      <c r="BS84" s="298">
        <f t="shared" si="63"/>
        <v>0</v>
      </c>
      <c r="BT84" s="298">
        <f t="shared" si="64"/>
        <v>0</v>
      </c>
      <c r="BU84" s="298">
        <f t="shared" si="65"/>
        <v>0</v>
      </c>
      <c r="BV84" s="617">
        <f t="shared" si="66"/>
        <v>0</v>
      </c>
      <c r="BW84" s="301"/>
      <c r="BY84" s="94"/>
      <c r="BZ84" s="94"/>
      <c r="CA84" s="94"/>
      <c r="CB84" s="900" t="str">
        <f>'HVAC Efficiency Tables'!$AH113</f>
        <v/>
      </c>
      <c r="CC84" s="901"/>
      <c r="CD84" s="901"/>
      <c r="CE84" s="902"/>
      <c r="CF84" s="382"/>
      <c r="CG84" s="900" t="str">
        <f>'HVAC Efficiency Tables'!$AI113</f>
        <v/>
      </c>
      <c r="CH84" s="901"/>
      <c r="CI84" s="901"/>
      <c r="CJ84" s="901"/>
      <c r="CK84" s="901"/>
      <c r="CL84" s="902"/>
      <c r="CM84" s="94"/>
      <c r="CN84" s="94"/>
      <c r="CO84" s="94"/>
      <c r="CP84" s="94"/>
      <c r="CQ84" s="94"/>
      <c r="CR84" s="94"/>
      <c r="CS84" s="94"/>
      <c r="CT84" s="94"/>
      <c r="CU84" s="94"/>
      <c r="CV84" s="94"/>
      <c r="CW84" s="94"/>
      <c r="CX84" s="94"/>
      <c r="CY84" s="94"/>
      <c r="CZ84" s="94"/>
    </row>
    <row r="85" spans="1:178" ht="14.1" hidden="1" customHeight="1">
      <c r="A85" s="54"/>
      <c r="B85" s="64"/>
      <c r="C85" s="333"/>
      <c r="D85" s="64"/>
      <c r="E85" s="231"/>
      <c r="F85" s="903"/>
      <c r="G85" s="903"/>
      <c r="H85" s="903"/>
      <c r="I85" s="903"/>
      <c r="J85" s="903"/>
      <c r="K85" s="903"/>
      <c r="L85" s="903"/>
      <c r="M85" s="903"/>
      <c r="N85" s="903"/>
      <c r="O85" s="903"/>
      <c r="P85" s="903"/>
      <c r="Q85" s="208"/>
      <c r="R85" s="900" t="str">
        <f>'HVAC Efficiency Tables'!$AH114</f>
        <v/>
      </c>
      <c r="S85" s="901"/>
      <c r="T85" s="901"/>
      <c r="U85" s="902"/>
      <c r="V85" s="382"/>
      <c r="W85" s="900" t="str">
        <f>'HVAC Efficiency Tables'!$AI114</f>
        <v/>
      </c>
      <c r="X85" s="901"/>
      <c r="Y85" s="901"/>
      <c r="Z85" s="901"/>
      <c r="AA85" s="901"/>
      <c r="AB85" s="902"/>
      <c r="AC85" s="204"/>
      <c r="AD85" s="890"/>
      <c r="AE85" s="890"/>
      <c r="AF85" s="890"/>
      <c r="AG85" s="890"/>
      <c r="AH85" s="333"/>
      <c r="AI85" s="64"/>
      <c r="AJ85" s="43" t="str">
        <f>IF(OR(D85="",AW85="Ineligible"),"",IF(OR(F85=Lists!$I$10,F85=Lists!$I$11,F85=Lists!$I$16,F85=Lists!$J$12),"EER",IF(OR(F85=Lists!$I$17,F85=Lists!$I$18),"kW/ton",IF(D85*12000&lt;65000,"SEER","EER"))))</f>
        <v/>
      </c>
      <c r="AK85" s="64"/>
      <c r="AL85" s="43" t="str">
        <f>IF(OR(B85="",F85=Lists!$I$10,F85=Lists!$I$11,AW85="Ineligible",AR85="N/A"),"",IF(OR(F85=Lists!$I$16,F85=Lists!$I$17,F85=Lists!$I$18),"",IF(D85&lt;=5,"EER","IEER")))</f>
        <v/>
      </c>
      <c r="AM85" s="43"/>
      <c r="AN85" s="43"/>
      <c r="AO85" s="204"/>
      <c r="AP85" s="55" t="str">
        <f>IFERROR(IF(OR(D85="",F85="",W85="",R85="",W85="Please Select",R85="Please Select"),"",VLOOKUP('HVAC Efficiency Tables'!AG114&amp;R85&amp;W85,HVACEfficiencies,3,FALSE)),"")</f>
        <v/>
      </c>
      <c r="AQ85" s="43" t="str">
        <f>IF(OR(AP85="N/A",AP85=""),"",IF(OR(F85=Lists!$I$10,F85=Lists!$I$11,F85=Lists!$I$16,F85=Lists!$J$12),"EER",IF(OR(F85=Lists!$I$17,F85=Lists!$I$18),"kW/ton",IF(D85*12000&lt;65000,"SEER","EER"))))</f>
        <v/>
      </c>
      <c r="AR85" s="55" t="str">
        <f>IFERROR(IF(OR(D85="",F85="",W85="",R85="",W85="Please Select",R85="Please Select"),"",VLOOKUP('HVAC Efficiency Tables'!AG114&amp;R85&amp;W85,HVACEfficiencies,8,FALSE)),"")</f>
        <v/>
      </c>
      <c r="AS85" s="43" t="str">
        <f>IF(OR(AR85="N/A",AR85=""),"",IF(OR(F85=Lists!$I$10,F85=Lists!$I$11,F85=Lists!$I$16,F85=Lists!$I$17,F85=Lists!$I$18),"",IF(D85&lt;=5,"EER","IEER")))</f>
        <v/>
      </c>
      <c r="AT85" s="43"/>
      <c r="AU85" s="43"/>
      <c r="AV85" s="43"/>
      <c r="AW85" s="894" t="str">
        <f t="shared" si="58"/>
        <v/>
      </c>
      <c r="AX85" s="894"/>
      <c r="AY85" s="55" t="str">
        <f>IFERROR(IF(OR(D85="",F85="",W85="",R85="",W85="Please Select",R85="Please Select"),"",VLOOKUP('HVAC Efficiency Tables'!AG114&amp;R85&amp;W85,HVACEfficiencies,5,FALSE)),"")</f>
        <v/>
      </c>
      <c r="AZ85" s="43" t="str">
        <f>IF(OR(AY85="N/A",AY85=""),"",IF(OR(F85=Lists!$I$10,F85=Lists!$I$11,F85=Lists!$I$16,F85=Lists!$J$12),"EER",IF(OR(F85=Lists!$I$17,F85=Lists!$I$18),"kW/ton",IF(D85*12000&lt;65000,"SEER","EER"))))</f>
        <v/>
      </c>
      <c r="BA85" s="55" t="str">
        <f>IFERROR(IF(OR(D85="",F85="",W85="",R85="",W85="Please Select",R85="Please Select"),"",VLOOKUP('HVAC Efficiency Tables'!AG114&amp;R85&amp;W85,HVACEfficiencies,9,FALSE)),"")</f>
        <v/>
      </c>
      <c r="BB85" s="43" t="str">
        <f>IF(OR(BA85="N/A",BA85=""),"",IF(OR(F85=Lists!$I$10,F85=Lists!$I$11,F85=Lists!$I$16,F85=Lists!$I$17,F85=Lists!$I$18),"",IF(D85&lt;=5,"EER","IEER")))</f>
        <v/>
      </c>
      <c r="BC85" s="43"/>
      <c r="BD85" s="43"/>
      <c r="BE85" s="894" t="str">
        <f t="shared" si="59"/>
        <v/>
      </c>
      <c r="BF85" s="894"/>
      <c r="BG85" s="157" t="s">
        <v>142</v>
      </c>
      <c r="BH85" s="895" t="str">
        <f t="shared" si="60"/>
        <v/>
      </c>
      <c r="BI85" s="895"/>
      <c r="BJ85" s="582"/>
      <c r="BQ85" s="298">
        <f t="shared" si="61"/>
        <v>0</v>
      </c>
      <c r="BR85" s="298">
        <f t="shared" si="62"/>
        <v>0</v>
      </c>
      <c r="BS85" s="298">
        <f t="shared" si="63"/>
        <v>0</v>
      </c>
      <c r="BT85" s="298">
        <f t="shared" si="64"/>
        <v>0</v>
      </c>
      <c r="BU85" s="298">
        <f t="shared" si="65"/>
        <v>0</v>
      </c>
      <c r="BV85" s="617">
        <f t="shared" si="66"/>
        <v>0</v>
      </c>
      <c r="BW85" s="301"/>
      <c r="BY85" s="94"/>
      <c r="BZ85" s="94"/>
      <c r="CA85" s="94"/>
      <c r="CB85" s="900" t="str">
        <f>'HVAC Efficiency Tables'!$AH114</f>
        <v/>
      </c>
      <c r="CC85" s="901"/>
      <c r="CD85" s="901"/>
      <c r="CE85" s="902"/>
      <c r="CF85" s="382"/>
      <c r="CG85" s="900" t="str">
        <f>'HVAC Efficiency Tables'!$AI114</f>
        <v/>
      </c>
      <c r="CH85" s="901"/>
      <c r="CI85" s="901"/>
      <c r="CJ85" s="901"/>
      <c r="CK85" s="901"/>
      <c r="CL85" s="902"/>
      <c r="CM85" s="94"/>
      <c r="CN85" s="94"/>
      <c r="CO85" s="94"/>
      <c r="CP85" s="94"/>
      <c r="CQ85" s="94"/>
      <c r="CR85" s="94"/>
      <c r="CS85" s="94"/>
      <c r="CT85" s="94"/>
      <c r="CU85" s="94"/>
      <c r="CV85" s="94"/>
      <c r="CW85" s="94"/>
      <c r="CX85" s="94"/>
      <c r="CY85" s="94"/>
      <c r="CZ85" s="94"/>
    </row>
    <row r="86" spans="1:178" ht="14.1" hidden="1" customHeight="1">
      <c r="A86" s="54"/>
      <c r="B86" s="64"/>
      <c r="C86" s="333"/>
      <c r="D86" s="64"/>
      <c r="E86" s="231"/>
      <c r="F86" s="897"/>
      <c r="G86" s="898"/>
      <c r="H86" s="898"/>
      <c r="I86" s="898"/>
      <c r="J86" s="898"/>
      <c r="K86" s="898"/>
      <c r="L86" s="898"/>
      <c r="M86" s="898"/>
      <c r="N86" s="898"/>
      <c r="O86" s="898"/>
      <c r="P86" s="899"/>
      <c r="Q86" s="208"/>
      <c r="R86" s="900" t="str">
        <f>'HVAC Efficiency Tables'!$AH115</f>
        <v/>
      </c>
      <c r="S86" s="901"/>
      <c r="T86" s="901"/>
      <c r="U86" s="902"/>
      <c r="V86" s="382"/>
      <c r="W86" s="900" t="str">
        <f>'HVAC Efficiency Tables'!$AI115</f>
        <v/>
      </c>
      <c r="X86" s="901"/>
      <c r="Y86" s="901"/>
      <c r="Z86" s="901"/>
      <c r="AA86" s="901"/>
      <c r="AB86" s="902"/>
      <c r="AC86" s="204"/>
      <c r="AD86" s="890"/>
      <c r="AE86" s="890"/>
      <c r="AF86" s="890"/>
      <c r="AG86" s="890"/>
      <c r="AH86" s="333"/>
      <c r="AI86" s="64"/>
      <c r="AJ86" s="43" t="str">
        <f>IF(OR(D86="",AW86="Ineligible"),"",IF(OR(F86=Lists!$I$10,F86=Lists!$I$11,F86=Lists!$I$16,F86=Lists!$J$12),"EER",IF(OR(F86=Lists!$I$17,F86=Lists!$I$18),"kW/ton",IF(D86*12000&lt;65000,"SEER","EER"))))</f>
        <v/>
      </c>
      <c r="AK86" s="64"/>
      <c r="AL86" s="43" t="str">
        <f>IF(OR(B86="",F86=Lists!$I$10,F86=Lists!$I$11,AW86="Ineligible",AR86="N/A"),"",IF(OR(F86=Lists!$I$16,F86=Lists!$I$17,F86=Lists!$I$18),"",IF(D86&lt;=5,"EER","IEER")))</f>
        <v/>
      </c>
      <c r="AM86" s="43"/>
      <c r="AN86" s="43"/>
      <c r="AO86" s="204"/>
      <c r="AP86" s="55" t="str">
        <f>IFERROR(IF(OR(D86="",F86="",W86="",R86="",W86="Please Select",R86="Please Select"),"",VLOOKUP('HVAC Efficiency Tables'!AG115&amp;R86&amp;W86,HVACEfficiencies,3,FALSE)),"")</f>
        <v/>
      </c>
      <c r="AQ86" s="43" t="str">
        <f>IF(OR(AP86="N/A",AP86=""),"",IF(OR(F86=Lists!$I$10,F86=Lists!$I$11,F86=Lists!$I$16,F86=Lists!$J$12),"EER",IF(OR(F86=Lists!$I$17,F86=Lists!$I$18),"kW/ton",IF(D86*12000&lt;65000,"SEER","EER"))))</f>
        <v/>
      </c>
      <c r="AR86" s="55" t="str">
        <f>IFERROR(IF(OR(D86="",F86="",W86="",R86="",W86="Please Select",R86="Please Select"),"",VLOOKUP('HVAC Efficiency Tables'!AG115&amp;R86&amp;W86,HVACEfficiencies,8,FALSE)),"")</f>
        <v/>
      </c>
      <c r="AS86" s="43" t="str">
        <f>IF(OR(AR86="N/A",AR86=""),"",IF(OR(F86=Lists!$I$10,F86=Lists!$I$11,F86=Lists!$I$16,F86=Lists!$I$17,F86=Lists!$I$18),"",IF(D86&lt;=5,"EER","IEER")))</f>
        <v/>
      </c>
      <c r="AT86" s="43"/>
      <c r="AU86" s="43"/>
      <c r="AV86" s="43"/>
      <c r="AW86" s="894" t="str">
        <f t="shared" si="58"/>
        <v/>
      </c>
      <c r="AX86" s="894"/>
      <c r="AY86" s="55" t="str">
        <f>IFERROR(IF(OR(D86="",F86="",W86="",R86="",W86="Please Select",R86="Please Select"),"",VLOOKUP('HVAC Efficiency Tables'!AG115&amp;R86&amp;W86,HVACEfficiencies,5,FALSE)),"")</f>
        <v/>
      </c>
      <c r="AZ86" s="43" t="str">
        <f>IF(OR(AY86="N/A",AY86=""),"",IF(OR(F86=Lists!$I$10,F86=Lists!$I$11,F86=Lists!$I$16,F86=Lists!$J$12),"EER",IF(OR(F86=Lists!$I$17,F86=Lists!$I$18),"kW/ton",IF(D86*12000&lt;65000,"SEER","EER"))))</f>
        <v/>
      </c>
      <c r="BA86" s="55" t="str">
        <f>IFERROR(IF(OR(D86="",F86="",W86="",R86="",W86="Please Select",R86="Please Select"),"",VLOOKUP('HVAC Efficiency Tables'!AG115&amp;R86&amp;W86,HVACEfficiencies,9,FALSE)),"")</f>
        <v/>
      </c>
      <c r="BB86" s="43" t="str">
        <f>IF(OR(BA86="N/A",BA86=""),"",IF(OR(F86=Lists!$I$10,F86=Lists!$I$11,F86=Lists!$I$16,F86=Lists!$I$17,F86=Lists!$I$18),"",IF(D86&lt;=5,"EER","IEER")))</f>
        <v/>
      </c>
      <c r="BC86" s="43"/>
      <c r="BD86" s="43"/>
      <c r="BE86" s="894" t="str">
        <f t="shared" si="59"/>
        <v/>
      </c>
      <c r="BF86" s="894"/>
      <c r="BG86" s="157" t="s">
        <v>142</v>
      </c>
      <c r="BH86" s="895" t="str">
        <f t="shared" si="60"/>
        <v/>
      </c>
      <c r="BI86" s="895"/>
      <c r="BJ86" s="582"/>
      <c r="BQ86" s="298">
        <f t="shared" si="61"/>
        <v>0</v>
      </c>
      <c r="BR86" s="298">
        <f t="shared" si="62"/>
        <v>0</v>
      </c>
      <c r="BS86" s="298">
        <f t="shared" si="63"/>
        <v>0</v>
      </c>
      <c r="BT86" s="298">
        <f t="shared" si="64"/>
        <v>0</v>
      </c>
      <c r="BU86" s="298">
        <f t="shared" si="65"/>
        <v>0</v>
      </c>
      <c r="BV86" s="617">
        <f t="shared" si="66"/>
        <v>0</v>
      </c>
      <c r="BW86" s="301"/>
      <c r="BY86" s="94"/>
      <c r="BZ86" s="94"/>
      <c r="CA86" s="94"/>
      <c r="CB86" s="900" t="str">
        <f>'HVAC Efficiency Tables'!$AH115</f>
        <v/>
      </c>
      <c r="CC86" s="901"/>
      <c r="CD86" s="901"/>
      <c r="CE86" s="902"/>
      <c r="CF86" s="382"/>
      <c r="CG86" s="900" t="str">
        <f>'HVAC Efficiency Tables'!$AI115</f>
        <v/>
      </c>
      <c r="CH86" s="901"/>
      <c r="CI86" s="901"/>
      <c r="CJ86" s="901"/>
      <c r="CK86" s="901"/>
      <c r="CL86" s="902"/>
      <c r="CM86" s="94"/>
      <c r="CN86" s="94"/>
      <c r="CO86" s="94"/>
      <c r="CP86" s="94"/>
      <c r="CQ86" s="94"/>
      <c r="CR86" s="94"/>
      <c r="CS86" s="94"/>
      <c r="CT86" s="94"/>
      <c r="CU86" s="94"/>
      <c r="CV86" s="94"/>
      <c r="CW86" s="94"/>
      <c r="CX86" s="94"/>
      <c r="CY86" s="94"/>
      <c r="CZ86" s="94"/>
    </row>
    <row r="87" spans="1:178" ht="14.1" hidden="1" customHeight="1">
      <c r="A87" s="54"/>
      <c r="B87" s="64"/>
      <c r="C87" s="333"/>
      <c r="D87" s="64"/>
      <c r="E87" s="231"/>
      <c r="F87" s="897"/>
      <c r="G87" s="898"/>
      <c r="H87" s="898"/>
      <c r="I87" s="898"/>
      <c r="J87" s="898"/>
      <c r="K87" s="898"/>
      <c r="L87" s="898"/>
      <c r="M87" s="898"/>
      <c r="N87" s="898"/>
      <c r="O87" s="898"/>
      <c r="P87" s="899"/>
      <c r="Q87" s="208"/>
      <c r="R87" s="900" t="str">
        <f>'HVAC Efficiency Tables'!$AH116</f>
        <v/>
      </c>
      <c r="S87" s="901"/>
      <c r="T87" s="901"/>
      <c r="U87" s="902"/>
      <c r="V87" s="382"/>
      <c r="W87" s="900" t="str">
        <f>'HVAC Efficiency Tables'!$AI116</f>
        <v/>
      </c>
      <c r="X87" s="901"/>
      <c r="Y87" s="901"/>
      <c r="Z87" s="901"/>
      <c r="AA87" s="901"/>
      <c r="AB87" s="902"/>
      <c r="AC87" s="204"/>
      <c r="AD87" s="890"/>
      <c r="AE87" s="890"/>
      <c r="AF87" s="890"/>
      <c r="AG87" s="890"/>
      <c r="AH87" s="333"/>
      <c r="AI87" s="64"/>
      <c r="AJ87" s="43" t="str">
        <f>IF(OR(D87="",AW87="Ineligible"),"",IF(OR(F87=Lists!$I$10,F87=Lists!$I$11,F87=Lists!$I$16,F87=Lists!$J$12),"EER",IF(OR(F87=Lists!$I$17,F87=Lists!$I$18),"kW/ton",IF(D87*12000&lt;65000,"SEER","EER"))))</f>
        <v/>
      </c>
      <c r="AK87" s="64"/>
      <c r="AL87" s="43" t="str">
        <f>IF(OR(B87="",F87=Lists!$I$10,F87=Lists!$I$11,AW87="Ineligible",AR87="N/A"),"",IF(OR(F87=Lists!$I$16,F87=Lists!$I$17,F87=Lists!$I$18),"",IF(D87&lt;=5,"EER","IEER")))</f>
        <v/>
      </c>
      <c r="AM87" s="43"/>
      <c r="AN87" s="43"/>
      <c r="AO87" s="204"/>
      <c r="AP87" s="55" t="str">
        <f>IFERROR(IF(OR(D87="",F87="",W87="",R87="",W87="Please Select",R87="Please Select"),"",VLOOKUP('HVAC Efficiency Tables'!AG116&amp;R87&amp;W87,HVACEfficiencies,3,FALSE)),"")</f>
        <v/>
      </c>
      <c r="AQ87" s="43" t="str">
        <f>IF(OR(AP87="N/A",AP87=""),"",IF(OR(F87=Lists!$I$10,F87=Lists!$I$11,F87=Lists!$I$16,F87=Lists!$J$12),"EER",IF(OR(F87=Lists!$I$17,F87=Lists!$I$18),"kW/ton",IF(D87*12000&lt;65000,"SEER","EER"))))</f>
        <v/>
      </c>
      <c r="AR87" s="55" t="str">
        <f>IFERROR(IF(OR(D87="",F87="",W87="",R87="",W87="Please Select",R87="Please Select"),"",VLOOKUP('HVAC Efficiency Tables'!AG116&amp;R87&amp;W87,HVACEfficiencies,8,FALSE)),"")</f>
        <v/>
      </c>
      <c r="AS87" s="43" t="str">
        <f>IF(OR(AR87="N/A",AR87=""),"",IF(OR(F87=Lists!$I$10,F87=Lists!$I$11,F87=Lists!$I$16,F87=Lists!$I$17,F87=Lists!$I$18),"",IF(D87&lt;=5,"EER","IEER")))</f>
        <v/>
      </c>
      <c r="AT87" s="43"/>
      <c r="AU87" s="43"/>
      <c r="AV87" s="43"/>
      <c r="AW87" s="894" t="str">
        <f t="shared" si="58"/>
        <v/>
      </c>
      <c r="AX87" s="894"/>
      <c r="AY87" s="55" t="str">
        <f>IFERROR(IF(OR(D87="",F87="",W87="",R87="",W87="Please Select",R87="Please Select"),"",VLOOKUP('HVAC Efficiency Tables'!AG116&amp;R87&amp;W87,HVACEfficiencies,5,FALSE)),"")</f>
        <v/>
      </c>
      <c r="AZ87" s="43" t="str">
        <f>IF(OR(AY87="N/A",AY87=""),"",IF(OR(F87=Lists!$I$10,F87=Lists!$I$11,F87=Lists!$I$16,F87=Lists!$J$12),"EER",IF(OR(F87=Lists!$I$17,F87=Lists!$I$18),"kW/ton",IF(D87*12000&lt;65000,"SEER","EER"))))</f>
        <v/>
      </c>
      <c r="BA87" s="55" t="str">
        <f>IFERROR(IF(OR(D87="",F87="",W87="",R87="",W87="Please Select",R87="Please Select"),"",VLOOKUP('HVAC Efficiency Tables'!AG116&amp;R87&amp;W87,HVACEfficiencies,9,FALSE)),"")</f>
        <v/>
      </c>
      <c r="BB87" s="43" t="str">
        <f>IF(OR(BA87="N/A",BA87=""),"",IF(OR(F87=Lists!$I$10,F87=Lists!$I$11,F87=Lists!$I$16,F87=Lists!$I$17,F87=Lists!$I$18),"",IF(D87&lt;=5,"EER","IEER")))</f>
        <v/>
      </c>
      <c r="BC87" s="43"/>
      <c r="BD87" s="43"/>
      <c r="BE87" s="894" t="str">
        <f t="shared" si="59"/>
        <v/>
      </c>
      <c r="BF87" s="894"/>
      <c r="BG87" s="157" t="s">
        <v>142</v>
      </c>
      <c r="BH87" s="895" t="str">
        <f t="shared" si="60"/>
        <v/>
      </c>
      <c r="BI87" s="895"/>
      <c r="BJ87" s="582"/>
      <c r="BQ87" s="298">
        <f t="shared" si="61"/>
        <v>0</v>
      </c>
      <c r="BR87" s="298">
        <f t="shared" si="62"/>
        <v>0</v>
      </c>
      <c r="BS87" s="298">
        <f t="shared" si="63"/>
        <v>0</v>
      </c>
      <c r="BT87" s="298">
        <f t="shared" si="64"/>
        <v>0</v>
      </c>
      <c r="BU87" s="298">
        <f t="shared" si="65"/>
        <v>0</v>
      </c>
      <c r="BV87" s="617">
        <f t="shared" si="66"/>
        <v>0</v>
      </c>
      <c r="BW87" s="301"/>
      <c r="BY87" s="94"/>
      <c r="BZ87" s="94"/>
      <c r="CA87" s="94"/>
      <c r="CB87" s="900" t="str">
        <f>'HVAC Efficiency Tables'!$AH116</f>
        <v/>
      </c>
      <c r="CC87" s="901"/>
      <c r="CD87" s="901"/>
      <c r="CE87" s="902"/>
      <c r="CF87" s="382"/>
      <c r="CG87" s="900" t="str">
        <f>'HVAC Efficiency Tables'!$AI116</f>
        <v/>
      </c>
      <c r="CH87" s="901"/>
      <c r="CI87" s="901"/>
      <c r="CJ87" s="901"/>
      <c r="CK87" s="901"/>
      <c r="CL87" s="902"/>
      <c r="CM87" s="94"/>
      <c r="CN87" s="94"/>
      <c r="CO87" s="94"/>
      <c r="CP87" s="94"/>
      <c r="CQ87" s="94"/>
      <c r="CR87" s="94"/>
      <c r="CS87" s="94"/>
      <c r="CT87" s="94"/>
      <c r="CU87" s="94"/>
      <c r="CV87" s="94"/>
      <c r="CW87" s="94"/>
      <c r="CX87" s="94"/>
      <c r="CY87" s="94"/>
      <c r="CZ87" s="94"/>
    </row>
    <row r="88" spans="1:178" ht="14.1" hidden="1" customHeight="1">
      <c r="A88" s="54"/>
      <c r="B88" s="64"/>
      <c r="C88" s="333"/>
      <c r="D88" s="64"/>
      <c r="E88" s="231"/>
      <c r="F88" s="897"/>
      <c r="G88" s="898"/>
      <c r="H88" s="898"/>
      <c r="I88" s="898"/>
      <c r="J88" s="898"/>
      <c r="K88" s="898"/>
      <c r="L88" s="898"/>
      <c r="M88" s="898"/>
      <c r="N88" s="898"/>
      <c r="O88" s="898"/>
      <c r="P88" s="899"/>
      <c r="Q88" s="208"/>
      <c r="R88" s="900" t="str">
        <f>'HVAC Efficiency Tables'!$AH117</f>
        <v/>
      </c>
      <c r="S88" s="901"/>
      <c r="T88" s="901"/>
      <c r="U88" s="902"/>
      <c r="V88" s="382"/>
      <c r="W88" s="900" t="str">
        <f>'HVAC Efficiency Tables'!$AI117</f>
        <v/>
      </c>
      <c r="X88" s="901"/>
      <c r="Y88" s="901"/>
      <c r="Z88" s="901"/>
      <c r="AA88" s="901"/>
      <c r="AB88" s="902"/>
      <c r="AC88" s="204"/>
      <c r="AD88" s="890"/>
      <c r="AE88" s="890"/>
      <c r="AF88" s="890"/>
      <c r="AG88" s="890"/>
      <c r="AH88" s="333"/>
      <c r="AI88" s="64"/>
      <c r="AJ88" s="43" t="str">
        <f>IF(OR(D88="",AW88="Ineligible"),"",IF(OR(F88=Lists!$I$10,F88=Lists!$I$11,F88=Lists!$I$16,F88=Lists!$J$12),"EER",IF(OR(F88=Lists!$I$17,F88=Lists!$I$18),"kW/ton",IF(D88*12000&lt;65000,"SEER","EER"))))</f>
        <v/>
      </c>
      <c r="AK88" s="64"/>
      <c r="AL88" s="43" t="str">
        <f>IF(OR(B88="",F88=Lists!$I$10,F88=Lists!$I$11,AW88="Ineligible",AR88="N/A"),"",IF(OR(F88=Lists!$I$16,F88=Lists!$I$17,F88=Lists!$I$18),"",IF(D88&lt;=5,"EER","IEER")))</f>
        <v/>
      </c>
      <c r="AM88" s="43"/>
      <c r="AN88" s="43"/>
      <c r="AO88" s="204"/>
      <c r="AP88" s="55" t="str">
        <f>IFERROR(IF(OR(D88="",F88="",W88="",R88="",W88="Please Select",R88="Please Select"),"",VLOOKUP('HVAC Efficiency Tables'!AG117&amp;R88&amp;W88,HVACEfficiencies,3,FALSE)),"")</f>
        <v/>
      </c>
      <c r="AQ88" s="43" t="str">
        <f>IF(OR(AP88="N/A",AP88=""),"",IF(OR(F88=Lists!$I$10,F88=Lists!$I$11,F88=Lists!$I$16,F88=Lists!$J$12),"EER",IF(OR(F88=Lists!$I$17,F88=Lists!$I$18),"kW/ton",IF(D88*12000&lt;65000,"SEER","EER"))))</f>
        <v/>
      </c>
      <c r="AR88" s="55" t="str">
        <f>IFERROR(IF(OR(D88="",F88="",W88="",R88="",W88="Please Select",R88="Please Select"),"",VLOOKUP('HVAC Efficiency Tables'!AG117&amp;R88&amp;W88,HVACEfficiencies,8,FALSE)),"")</f>
        <v/>
      </c>
      <c r="AS88" s="43" t="str">
        <f>IF(OR(AR88="N/A",AR88=""),"",IF(OR(F88=Lists!$I$10,F88=Lists!$I$11,F88=Lists!$I$16,F88=Lists!$I$17,F88=Lists!$I$18),"",IF(D88&lt;=5,"EER","IEER")))</f>
        <v/>
      </c>
      <c r="AT88" s="43"/>
      <c r="AU88" s="43"/>
      <c r="AV88" s="43"/>
      <c r="AW88" s="894" t="str">
        <f t="shared" si="58"/>
        <v/>
      </c>
      <c r="AX88" s="894"/>
      <c r="AY88" s="55" t="str">
        <f>IFERROR(IF(OR(D88="",F88="",W88="",R88="",W88="Please Select",R88="Please Select"),"",VLOOKUP('HVAC Efficiency Tables'!AG117&amp;R88&amp;W88,HVACEfficiencies,5,FALSE)),"")</f>
        <v/>
      </c>
      <c r="AZ88" s="43" t="str">
        <f>IF(OR(AY88="N/A",AY88=""),"",IF(OR(F88=Lists!$I$10,F88=Lists!$I$11,F88=Lists!$I$16,F88=Lists!$J$12),"EER",IF(OR(F88=Lists!$I$17,F88=Lists!$I$18),"kW/ton",IF(D88*12000&lt;65000,"SEER","EER"))))</f>
        <v/>
      </c>
      <c r="BA88" s="55" t="str">
        <f>IFERROR(IF(OR(D88="",F88="",W88="",R88="",W88="Please Select",R88="Please Select"),"",VLOOKUP('HVAC Efficiency Tables'!AG117&amp;R88&amp;W88,HVACEfficiencies,9,FALSE)),"")</f>
        <v/>
      </c>
      <c r="BB88" s="43" t="str">
        <f>IF(OR(BA88="N/A",BA88=""),"",IF(OR(F88=Lists!$I$10,F88=Lists!$I$11,F88=Lists!$I$16,F88=Lists!$I$17,F88=Lists!$I$18),"",IF(D88&lt;=5,"EER","IEER")))</f>
        <v/>
      </c>
      <c r="BC88" s="43"/>
      <c r="BD88" s="43"/>
      <c r="BE88" s="894" t="str">
        <f t="shared" si="59"/>
        <v/>
      </c>
      <c r="BF88" s="894"/>
      <c r="BG88" s="157" t="s">
        <v>142</v>
      </c>
      <c r="BH88" s="895" t="str">
        <f t="shared" si="60"/>
        <v/>
      </c>
      <c r="BI88" s="895"/>
      <c r="BJ88" s="582"/>
      <c r="BQ88" s="298">
        <f t="shared" si="61"/>
        <v>0</v>
      </c>
      <c r="BR88" s="298">
        <f t="shared" si="62"/>
        <v>0</v>
      </c>
      <c r="BS88" s="298">
        <f t="shared" si="63"/>
        <v>0</v>
      </c>
      <c r="BT88" s="298">
        <f t="shared" si="64"/>
        <v>0</v>
      </c>
      <c r="BU88" s="298">
        <f t="shared" si="65"/>
        <v>0</v>
      </c>
      <c r="BV88" s="617">
        <f t="shared" si="66"/>
        <v>0</v>
      </c>
      <c r="BW88" s="301"/>
      <c r="BY88" s="94"/>
      <c r="BZ88" s="94"/>
      <c r="CA88" s="94"/>
      <c r="CB88" s="900" t="str">
        <f>'HVAC Efficiency Tables'!$AH117</f>
        <v/>
      </c>
      <c r="CC88" s="901"/>
      <c r="CD88" s="901"/>
      <c r="CE88" s="902"/>
      <c r="CF88" s="382"/>
      <c r="CG88" s="900" t="str">
        <f>'HVAC Efficiency Tables'!$AI117</f>
        <v/>
      </c>
      <c r="CH88" s="901"/>
      <c r="CI88" s="901"/>
      <c r="CJ88" s="901"/>
      <c r="CK88" s="901"/>
      <c r="CL88" s="902"/>
      <c r="CM88" s="94"/>
      <c r="CN88" s="94"/>
      <c r="CO88" s="94"/>
      <c r="CP88" s="94"/>
      <c r="CQ88" s="94"/>
      <c r="CR88" s="94"/>
      <c r="CS88" s="94"/>
      <c r="CT88" s="94"/>
      <c r="CU88" s="94"/>
      <c r="CV88" s="94"/>
      <c r="CW88" s="94"/>
      <c r="CX88" s="94"/>
      <c r="CY88" s="94"/>
      <c r="CZ88" s="94"/>
    </row>
    <row r="89" spans="1:178" ht="14.1" hidden="1" customHeight="1">
      <c r="A89" s="54"/>
      <c r="B89" s="64"/>
      <c r="C89" s="333"/>
      <c r="D89" s="64"/>
      <c r="E89" s="231"/>
      <c r="F89" s="897"/>
      <c r="G89" s="898"/>
      <c r="H89" s="898"/>
      <c r="I89" s="898"/>
      <c r="J89" s="898"/>
      <c r="K89" s="898"/>
      <c r="L89" s="898"/>
      <c r="M89" s="898"/>
      <c r="N89" s="898"/>
      <c r="O89" s="898"/>
      <c r="P89" s="899"/>
      <c r="Q89" s="208"/>
      <c r="R89" s="900" t="str">
        <f>'HVAC Efficiency Tables'!$AH118</f>
        <v/>
      </c>
      <c r="S89" s="901"/>
      <c r="T89" s="901"/>
      <c r="U89" s="902"/>
      <c r="V89" s="382"/>
      <c r="W89" s="900" t="str">
        <f>'HVAC Efficiency Tables'!$AI118</f>
        <v/>
      </c>
      <c r="X89" s="901"/>
      <c r="Y89" s="901"/>
      <c r="Z89" s="901"/>
      <c r="AA89" s="901"/>
      <c r="AB89" s="902"/>
      <c r="AC89" s="204"/>
      <c r="AD89" s="890"/>
      <c r="AE89" s="890"/>
      <c r="AF89" s="890"/>
      <c r="AG89" s="890"/>
      <c r="AH89" s="333"/>
      <c r="AI89" s="64"/>
      <c r="AJ89" s="43" t="str">
        <f>IF(OR(D89="",AW89="Ineligible"),"",IF(OR(F89=Lists!$I$10,F89=Lists!$I$11,F89=Lists!$I$16,F89=Lists!$J$12),"EER",IF(OR(F89=Lists!$I$17,F89=Lists!$I$18),"kW/ton",IF(D89*12000&lt;65000,"SEER","EER"))))</f>
        <v/>
      </c>
      <c r="AK89" s="64"/>
      <c r="AL89" s="43" t="str">
        <f>IF(OR(B89="",F89=Lists!$I$10,F89=Lists!$I$11,AW89="Ineligible",AR89="N/A"),"",IF(OR(F89=Lists!$I$16,F89=Lists!$I$17,F89=Lists!$I$18),"",IF(D89&lt;=5,"EER","IEER")))</f>
        <v/>
      </c>
      <c r="AM89" s="43"/>
      <c r="AN89" s="43"/>
      <c r="AO89" s="204"/>
      <c r="AP89" s="55" t="str">
        <f>IFERROR(IF(OR(D89="",F89="",W89="",R89="",W89="Please Select",R89="Please Select"),"",VLOOKUP('HVAC Efficiency Tables'!AG118&amp;R89&amp;W89,HVACEfficiencies,3,FALSE)),"")</f>
        <v/>
      </c>
      <c r="AQ89" s="43" t="str">
        <f>IF(OR(AP89="N/A",AP89=""),"",IF(OR(F89=Lists!$I$10,F89=Lists!$I$11,F89=Lists!$I$16,F89=Lists!$J$12),"EER",IF(OR(F89=Lists!$I$17,F89=Lists!$I$18),"kW/ton",IF(D89*12000&lt;65000,"SEER","EER"))))</f>
        <v/>
      </c>
      <c r="AR89" s="55" t="str">
        <f>IFERROR(IF(OR(D89="",F89="",W89="",R89="",W89="Please Select",R89="Please Select"),"",VLOOKUP('HVAC Efficiency Tables'!AG118&amp;R89&amp;W89,HVACEfficiencies,8,FALSE)),"")</f>
        <v/>
      </c>
      <c r="AS89" s="43" t="str">
        <f>IF(OR(AR89="N/A",AR89=""),"",IF(OR(F89=Lists!$I$10,F89=Lists!$I$11,F89=Lists!$I$16,F89=Lists!$I$17,F89=Lists!$I$18),"",IF(D89&lt;=5,"EER","IEER")))</f>
        <v/>
      </c>
      <c r="AT89" s="43"/>
      <c r="AU89" s="43"/>
      <c r="AV89" s="43"/>
      <c r="AW89" s="894" t="str">
        <f t="shared" si="58"/>
        <v/>
      </c>
      <c r="AX89" s="894"/>
      <c r="AY89" s="55" t="str">
        <f>IFERROR(IF(OR(D89="",F89="",W89="",R89="",W89="Please Select",R89="Please Select"),"",VLOOKUP('HVAC Efficiency Tables'!AG118&amp;R89&amp;W89,HVACEfficiencies,5,FALSE)),"")</f>
        <v/>
      </c>
      <c r="AZ89" s="43" t="str">
        <f>IF(OR(AY89="N/A",AY89=""),"",IF(OR(F89=Lists!$I$10,F89=Lists!$I$11,F89=Lists!$I$16,F89=Lists!$J$12),"EER",IF(OR(F89=Lists!$I$17,F89=Lists!$I$18),"kW/ton",IF(D89*12000&lt;65000,"SEER","EER"))))</f>
        <v/>
      </c>
      <c r="BA89" s="55" t="str">
        <f>IFERROR(IF(OR(D89="",F89="",W89="",R89="",W89="Please Select",R89="Please Select"),"",VLOOKUP('HVAC Efficiency Tables'!AG118&amp;R89&amp;W89,HVACEfficiencies,9,FALSE)),"")</f>
        <v/>
      </c>
      <c r="BB89" s="43" t="str">
        <f>IF(OR(BA89="N/A",BA89=""),"",IF(OR(F89=Lists!$I$10,F89=Lists!$I$11,F89=Lists!$I$16,F89=Lists!$I$17,F89=Lists!$I$18),"",IF(D89&lt;=5,"EER","IEER")))</f>
        <v/>
      </c>
      <c r="BC89" s="43"/>
      <c r="BD89" s="43"/>
      <c r="BE89" s="894" t="str">
        <f t="shared" si="59"/>
        <v/>
      </c>
      <c r="BF89" s="894"/>
      <c r="BG89" s="157" t="s">
        <v>142</v>
      </c>
      <c r="BH89" s="895" t="str">
        <f t="shared" si="60"/>
        <v/>
      </c>
      <c r="BI89" s="895"/>
      <c r="BJ89" s="582"/>
      <c r="BQ89" s="298">
        <f t="shared" si="61"/>
        <v>0</v>
      </c>
      <c r="BR89" s="298">
        <f t="shared" si="62"/>
        <v>0</v>
      </c>
      <c r="BS89" s="298">
        <f t="shared" si="63"/>
        <v>0</v>
      </c>
      <c r="BT89" s="298">
        <f t="shared" si="64"/>
        <v>0</v>
      </c>
      <c r="BU89" s="298">
        <f t="shared" si="65"/>
        <v>0</v>
      </c>
      <c r="BV89" s="617">
        <f t="shared" si="66"/>
        <v>0</v>
      </c>
      <c r="BW89" s="301"/>
      <c r="BY89" s="94"/>
      <c r="BZ89" s="94"/>
      <c r="CA89" s="94"/>
      <c r="CB89" s="900" t="str">
        <f>'HVAC Efficiency Tables'!$AH118</f>
        <v/>
      </c>
      <c r="CC89" s="901"/>
      <c r="CD89" s="901"/>
      <c r="CE89" s="902"/>
      <c r="CF89" s="382"/>
      <c r="CG89" s="900" t="str">
        <f>'HVAC Efficiency Tables'!$AI118</f>
        <v/>
      </c>
      <c r="CH89" s="901"/>
      <c r="CI89" s="901"/>
      <c r="CJ89" s="901"/>
      <c r="CK89" s="901"/>
      <c r="CL89" s="902"/>
      <c r="CM89" s="94"/>
      <c r="CN89" s="94"/>
      <c r="CO89" s="94"/>
      <c r="CP89" s="94"/>
      <c r="CQ89" s="94"/>
      <c r="CR89" s="94"/>
      <c r="CS89" s="94"/>
      <c r="CT89" s="94"/>
      <c r="CU89" s="94"/>
      <c r="CV89" s="94"/>
      <c r="CW89" s="94"/>
      <c r="CX89" s="94"/>
      <c r="CY89" s="94"/>
      <c r="CZ89" s="94"/>
    </row>
    <row r="90" spans="1:178" ht="14.1" hidden="1" customHeight="1">
      <c r="A90" s="54"/>
      <c r="B90" s="64"/>
      <c r="C90" s="333"/>
      <c r="D90" s="64"/>
      <c r="E90" s="231"/>
      <c r="F90" s="903"/>
      <c r="G90" s="903"/>
      <c r="H90" s="903"/>
      <c r="I90" s="903"/>
      <c r="J90" s="903"/>
      <c r="K90" s="903"/>
      <c r="L90" s="903"/>
      <c r="M90" s="903"/>
      <c r="N90" s="903"/>
      <c r="O90" s="903"/>
      <c r="P90" s="903"/>
      <c r="Q90" s="208"/>
      <c r="R90" s="900" t="str">
        <f>'HVAC Efficiency Tables'!$AH119</f>
        <v/>
      </c>
      <c r="S90" s="901"/>
      <c r="T90" s="901"/>
      <c r="U90" s="902"/>
      <c r="V90" s="382"/>
      <c r="W90" s="900" t="str">
        <f>'HVAC Efficiency Tables'!$AI119</f>
        <v/>
      </c>
      <c r="X90" s="901"/>
      <c r="Y90" s="901"/>
      <c r="Z90" s="901"/>
      <c r="AA90" s="901"/>
      <c r="AB90" s="902"/>
      <c r="AC90" s="204"/>
      <c r="AD90" s="890"/>
      <c r="AE90" s="890"/>
      <c r="AF90" s="890"/>
      <c r="AG90" s="890"/>
      <c r="AH90" s="333"/>
      <c r="AI90" s="64"/>
      <c r="AJ90" s="43" t="str">
        <f>IF(OR(D90="",AW90="Ineligible"),"",IF(OR(F90=Lists!$I$10,F90=Lists!$I$11,F90=Lists!$I$16,F90=Lists!$J$12),"EER",IF(OR(F90=Lists!$I$17,F90=Lists!$I$18),"kW/ton",IF(D90*12000&lt;65000,"SEER","EER"))))</f>
        <v/>
      </c>
      <c r="AK90" s="64"/>
      <c r="AL90" s="43" t="str">
        <f>IF(OR(B90="",F90=Lists!$I$10,F90=Lists!$I$11,AW90="Ineligible",AR90="N/A"),"",IF(OR(F90=Lists!$I$16,F90=Lists!$I$17,F90=Lists!$I$18),"",IF(D90&lt;=5,"EER","IEER")))</f>
        <v/>
      </c>
      <c r="AM90" s="43"/>
      <c r="AN90" s="43"/>
      <c r="AO90" s="204"/>
      <c r="AP90" s="55" t="str">
        <f>IFERROR(IF(OR(D90="",F90="",W90="",R90="",W90="Please Select",R90="Please Select"),"",VLOOKUP('HVAC Efficiency Tables'!AG119&amp;R90&amp;W90,HVACEfficiencies,3,FALSE)),"")</f>
        <v/>
      </c>
      <c r="AQ90" s="43" t="str">
        <f>IF(OR(AP90="N/A",AP90=""),"",IF(OR(F90=Lists!$I$10,F90=Lists!$I$11,F90=Lists!$I$16,F90=Lists!$J$12),"EER",IF(OR(F90=Lists!$I$17,F90=Lists!$I$18),"kW/ton",IF(D90*12000&lt;65000,"SEER","EER"))))</f>
        <v/>
      </c>
      <c r="AR90" s="55" t="str">
        <f>IFERROR(IF(OR(D90="",F90="",W90="",R90="",W90="Please Select",R90="Please Select"),"",VLOOKUP('HVAC Efficiency Tables'!AG119&amp;R90&amp;W90,HVACEfficiencies,8,FALSE)),"")</f>
        <v/>
      </c>
      <c r="AS90" s="43" t="str">
        <f>IF(OR(AR90="N/A",AR90=""),"",IF(OR(F90=Lists!$I$10,F90=Lists!$I$11,F90=Lists!$I$16,F90=Lists!$I$17,F90=Lists!$I$18),"",IF(D90&lt;=5,"EER","IEER")))</f>
        <v/>
      </c>
      <c r="AT90" s="43"/>
      <c r="AU90" s="43"/>
      <c r="AV90" s="43"/>
      <c r="AW90" s="894" t="str">
        <f t="shared" si="58"/>
        <v/>
      </c>
      <c r="AX90" s="894"/>
      <c r="AY90" s="55" t="str">
        <f>IFERROR(IF(OR(D90="",F90="",W90="",R90="",W90="Please Select",R90="Please Select"),"",VLOOKUP('HVAC Efficiency Tables'!AG119&amp;R90&amp;W90,HVACEfficiencies,5,FALSE)),"")</f>
        <v/>
      </c>
      <c r="AZ90" s="43" t="str">
        <f>IF(OR(AY90="N/A",AY90=""),"",IF(OR(F90=Lists!$I$10,F90=Lists!$I$11,F90=Lists!$I$16,F90=Lists!$J$12),"EER",IF(OR(F90=Lists!$I$17,F90=Lists!$I$18),"kW/ton",IF(D90*12000&lt;65000,"SEER","EER"))))</f>
        <v/>
      </c>
      <c r="BA90" s="55" t="str">
        <f>IFERROR(IF(OR(D90="",F90="",W90="",R90="",W90="Please Select",R90="Please Select"),"",VLOOKUP('HVAC Efficiency Tables'!AG119&amp;R90&amp;W90,HVACEfficiencies,9,FALSE)),"")</f>
        <v/>
      </c>
      <c r="BB90" s="43" t="str">
        <f>IF(OR(BA90="N/A",BA90=""),"",IF(OR(F90=Lists!$I$10,F90=Lists!$I$11,F90=Lists!$I$16,F90=Lists!$I$17,F90=Lists!$I$18),"",IF(D90&lt;=5,"EER","IEER")))</f>
        <v/>
      </c>
      <c r="BC90" s="43"/>
      <c r="BD90" s="43"/>
      <c r="BE90" s="894" t="str">
        <f t="shared" si="59"/>
        <v/>
      </c>
      <c r="BF90" s="894"/>
      <c r="BG90" s="157" t="s">
        <v>142</v>
      </c>
      <c r="BH90" s="895" t="str">
        <f t="shared" si="60"/>
        <v/>
      </c>
      <c r="BI90" s="895"/>
      <c r="BJ90" s="582"/>
      <c r="BQ90" s="298">
        <f t="shared" si="61"/>
        <v>0</v>
      </c>
      <c r="BR90" s="298">
        <f t="shared" si="62"/>
        <v>0</v>
      </c>
      <c r="BS90" s="298">
        <f t="shared" si="63"/>
        <v>0</v>
      </c>
      <c r="BT90" s="298">
        <f t="shared" si="64"/>
        <v>0</v>
      </c>
      <c r="BU90" s="298">
        <f t="shared" si="65"/>
        <v>0</v>
      </c>
      <c r="BV90" s="617">
        <f t="shared" si="66"/>
        <v>0</v>
      </c>
      <c r="BW90" s="301"/>
      <c r="BY90" s="94"/>
      <c r="BZ90" s="94"/>
      <c r="CA90" s="94"/>
      <c r="CB90" s="900" t="str">
        <f>'HVAC Efficiency Tables'!$AH119</f>
        <v/>
      </c>
      <c r="CC90" s="901"/>
      <c r="CD90" s="901"/>
      <c r="CE90" s="902"/>
      <c r="CF90" s="382"/>
      <c r="CG90" s="900" t="str">
        <f>'HVAC Efficiency Tables'!$AI119</f>
        <v/>
      </c>
      <c r="CH90" s="901"/>
      <c r="CI90" s="901"/>
      <c r="CJ90" s="901"/>
      <c r="CK90" s="901"/>
      <c r="CL90" s="902"/>
      <c r="CM90" s="94"/>
      <c r="CN90" s="94"/>
      <c r="CO90" s="94"/>
      <c r="CP90" s="94"/>
      <c r="CQ90" s="94"/>
      <c r="CR90" s="94"/>
      <c r="CS90" s="94"/>
      <c r="CT90" s="94"/>
      <c r="CU90" s="94"/>
      <c r="CV90" s="94"/>
      <c r="CW90" s="94"/>
      <c r="CX90" s="94"/>
      <c r="CY90" s="94"/>
      <c r="CZ90" s="94"/>
    </row>
    <row r="91" spans="1:178" ht="14.1" hidden="1" customHeight="1">
      <c r="A91" s="54"/>
      <c r="B91" s="64"/>
      <c r="C91" s="333"/>
      <c r="D91" s="64"/>
      <c r="E91" s="231"/>
      <c r="F91" s="903"/>
      <c r="G91" s="903"/>
      <c r="H91" s="903"/>
      <c r="I91" s="903"/>
      <c r="J91" s="903"/>
      <c r="K91" s="903"/>
      <c r="L91" s="903"/>
      <c r="M91" s="903"/>
      <c r="N91" s="903"/>
      <c r="O91" s="903"/>
      <c r="P91" s="903"/>
      <c r="Q91" s="208"/>
      <c r="R91" s="900" t="str">
        <f>'HVAC Efficiency Tables'!$AH120</f>
        <v/>
      </c>
      <c r="S91" s="901"/>
      <c r="T91" s="901"/>
      <c r="U91" s="902"/>
      <c r="V91" s="382"/>
      <c r="W91" s="900" t="str">
        <f>'HVAC Efficiency Tables'!$AI120</f>
        <v/>
      </c>
      <c r="X91" s="901"/>
      <c r="Y91" s="901"/>
      <c r="Z91" s="901"/>
      <c r="AA91" s="901"/>
      <c r="AB91" s="902"/>
      <c r="AC91" s="204"/>
      <c r="AD91" s="890"/>
      <c r="AE91" s="890"/>
      <c r="AF91" s="890"/>
      <c r="AG91" s="890"/>
      <c r="AH91" s="333"/>
      <c r="AI91" s="64"/>
      <c r="AJ91" s="43" t="str">
        <f>IF(OR(D91="",AW91="Ineligible"),"",IF(OR(F91=Lists!$I$10,F91=Lists!$I$11,F91=Lists!$I$16,F91=Lists!$J$12),"EER",IF(OR(F91=Lists!$I$17,F91=Lists!$I$18),"kW/ton",IF(D91*12000&lt;65000,"SEER","EER"))))</f>
        <v/>
      </c>
      <c r="AK91" s="64"/>
      <c r="AL91" s="43" t="str">
        <f>IF(OR(B91="",F91=Lists!$I$10,F91=Lists!$I$11,AW91="Ineligible",AR91="N/A"),"",IF(OR(F91=Lists!$I$16,F91=Lists!$I$17,F91=Lists!$I$18),"",IF(D91&lt;=5,"EER","IEER")))</f>
        <v/>
      </c>
      <c r="AM91" s="43"/>
      <c r="AN91" s="43"/>
      <c r="AO91" s="204"/>
      <c r="AP91" s="55" t="str">
        <f>IFERROR(IF(OR(D91="",F91="",W91="",R91="",W91="Please Select",R91="Please Select"),"",VLOOKUP('HVAC Efficiency Tables'!AG120&amp;R91&amp;W91,HVACEfficiencies,3,FALSE)),"")</f>
        <v/>
      </c>
      <c r="AQ91" s="43" t="str">
        <f>IF(OR(AP91="N/A",AP91=""),"",IF(OR(F91=Lists!$I$10,F91=Lists!$I$11,F91=Lists!$I$16,F91=Lists!$J$12),"EER",IF(OR(F91=Lists!$I$17,F91=Lists!$I$18),"kW/ton",IF(D91*12000&lt;65000,"SEER","EER"))))</f>
        <v/>
      </c>
      <c r="AR91" s="55" t="str">
        <f>IFERROR(IF(OR(D91="",F91="",W91="",R91="",W91="Please Select",R91="Please Select"),"",VLOOKUP('HVAC Efficiency Tables'!AG120&amp;R91&amp;W91,HVACEfficiencies,8,FALSE)),"")</f>
        <v/>
      </c>
      <c r="AS91" s="43" t="str">
        <f>IF(OR(AR91="N/A",AR91=""),"",IF(OR(F91=Lists!$I$10,F91=Lists!$I$11,F91=Lists!$I$16,F91=Lists!$I$17,F91=Lists!$I$18),"",IF(D91&lt;=5,"EER","IEER")))</f>
        <v/>
      </c>
      <c r="AT91" s="43"/>
      <c r="AU91" s="43"/>
      <c r="AV91" s="43"/>
      <c r="AW91" s="894" t="str">
        <f t="shared" si="58"/>
        <v/>
      </c>
      <c r="AX91" s="894"/>
      <c r="AY91" s="55" t="str">
        <f>IFERROR(IF(OR(D91="",F91="",W91="",R91="",W91="Please Select",R91="Please Select"),"",VLOOKUP('HVAC Efficiency Tables'!AG120&amp;R91&amp;W91,HVACEfficiencies,5,FALSE)),"")</f>
        <v/>
      </c>
      <c r="AZ91" s="43" t="str">
        <f>IF(OR(AY91="N/A",AY91=""),"",IF(OR(F91=Lists!$I$10,F91=Lists!$I$11,F91=Lists!$I$16,F91=Lists!$J$12),"EER",IF(OR(F91=Lists!$I$17,F91=Lists!$I$18),"kW/ton",IF(D91*12000&lt;65000,"SEER","EER"))))</f>
        <v/>
      </c>
      <c r="BA91" s="55" t="str">
        <f>IFERROR(IF(OR(D91="",F91="",W91="",R91="",W91="Please Select",R91="Please Select"),"",VLOOKUP('HVAC Efficiency Tables'!AG120&amp;R91&amp;W91,HVACEfficiencies,9,FALSE)),"")</f>
        <v/>
      </c>
      <c r="BB91" s="43" t="str">
        <f>IF(OR(BA91="N/A",BA91=""),"",IF(OR(F91=Lists!$I$10,F91=Lists!$I$11,F91=Lists!$I$16,F91=Lists!$I$17,F91=Lists!$I$18),"",IF(D91&lt;=5,"EER","IEER")))</f>
        <v/>
      </c>
      <c r="BC91" s="43"/>
      <c r="BD91" s="43"/>
      <c r="BE91" s="894" t="str">
        <f t="shared" si="59"/>
        <v/>
      </c>
      <c r="BF91" s="894"/>
      <c r="BG91" s="157" t="s">
        <v>142</v>
      </c>
      <c r="BH91" s="895" t="str">
        <f t="shared" si="60"/>
        <v/>
      </c>
      <c r="BI91" s="895"/>
      <c r="BJ91" s="582"/>
      <c r="BQ91" s="298">
        <f t="shared" si="61"/>
        <v>0</v>
      </c>
      <c r="BR91" s="298">
        <f t="shared" si="62"/>
        <v>0</v>
      </c>
      <c r="BS91" s="298">
        <f t="shared" si="63"/>
        <v>0</v>
      </c>
      <c r="BT91" s="298">
        <f t="shared" si="64"/>
        <v>0</v>
      </c>
      <c r="BU91" s="298">
        <f t="shared" si="65"/>
        <v>0</v>
      </c>
      <c r="BV91" s="617">
        <f t="shared" si="66"/>
        <v>0</v>
      </c>
      <c r="BW91" s="301"/>
      <c r="BY91" s="94"/>
      <c r="BZ91" s="94"/>
      <c r="CA91" s="94"/>
      <c r="CB91" s="900" t="str">
        <f>'HVAC Efficiency Tables'!$AH120</f>
        <v/>
      </c>
      <c r="CC91" s="901"/>
      <c r="CD91" s="901"/>
      <c r="CE91" s="902"/>
      <c r="CF91" s="382"/>
      <c r="CG91" s="900" t="str">
        <f>'HVAC Efficiency Tables'!$AI120</f>
        <v/>
      </c>
      <c r="CH91" s="901"/>
      <c r="CI91" s="901"/>
      <c r="CJ91" s="901"/>
      <c r="CK91" s="901"/>
      <c r="CL91" s="902"/>
      <c r="CM91" s="94"/>
      <c r="CN91" s="94"/>
      <c r="CO91" s="94"/>
      <c r="CP91" s="94"/>
      <c r="CQ91" s="94"/>
      <c r="CR91" s="94"/>
      <c r="CS91" s="94"/>
      <c r="CT91" s="94"/>
      <c r="CU91" s="94"/>
      <c r="CV91" s="94"/>
      <c r="CW91" s="94"/>
      <c r="CX91" s="94"/>
      <c r="CY91" s="94"/>
      <c r="CZ91" s="94"/>
    </row>
    <row r="92" spans="1:178" ht="14.1" hidden="1" customHeight="1">
      <c r="A92" s="54"/>
      <c r="B92" s="64"/>
      <c r="C92" s="333"/>
      <c r="D92" s="64"/>
      <c r="E92" s="231"/>
      <c r="F92" s="903"/>
      <c r="G92" s="903"/>
      <c r="H92" s="903"/>
      <c r="I92" s="903"/>
      <c r="J92" s="903"/>
      <c r="K92" s="903"/>
      <c r="L92" s="903"/>
      <c r="M92" s="903"/>
      <c r="N92" s="903"/>
      <c r="O92" s="903"/>
      <c r="P92" s="903"/>
      <c r="Q92" s="208"/>
      <c r="R92" s="900" t="str">
        <f>'HVAC Efficiency Tables'!$AH121</f>
        <v/>
      </c>
      <c r="S92" s="901"/>
      <c r="T92" s="901"/>
      <c r="U92" s="902"/>
      <c r="V92" s="382"/>
      <c r="W92" s="900" t="str">
        <f>'HVAC Efficiency Tables'!$AI121</f>
        <v/>
      </c>
      <c r="X92" s="901"/>
      <c r="Y92" s="901"/>
      <c r="Z92" s="901"/>
      <c r="AA92" s="901"/>
      <c r="AB92" s="902"/>
      <c r="AC92" s="204"/>
      <c r="AD92" s="890"/>
      <c r="AE92" s="890"/>
      <c r="AF92" s="890"/>
      <c r="AG92" s="890"/>
      <c r="AH92" s="333"/>
      <c r="AI92" s="64"/>
      <c r="AJ92" s="43" t="str">
        <f>IF(OR(D92="",AW92="Ineligible"),"",IF(OR(F92=Lists!$I$10,F92=Lists!$I$11,F92=Lists!$I$16,F92=Lists!$J$12),"EER",IF(OR(F92=Lists!$I$17,F92=Lists!$I$18),"kW/ton",IF(D92*12000&lt;65000,"SEER","EER"))))</f>
        <v/>
      </c>
      <c r="AK92" s="64"/>
      <c r="AL92" s="43" t="str">
        <f>IF(OR(B92="",F92=Lists!$I$10,F92=Lists!$I$11,AW92="Ineligible",AR92="N/A"),"",IF(OR(F92=Lists!$I$16,F92=Lists!$I$17,F92=Lists!$I$18),"",IF(D92&lt;=5,"EER","IEER")))</f>
        <v/>
      </c>
      <c r="AM92" s="43"/>
      <c r="AN92" s="43"/>
      <c r="AO92" s="204"/>
      <c r="AP92" s="55" t="str">
        <f>IFERROR(IF(OR(D92="",F92="",W92="",R92="",W92="Please Select",R92="Please Select"),"",VLOOKUP('HVAC Efficiency Tables'!AG121&amp;R92&amp;W92,HVACEfficiencies,3,FALSE)),"")</f>
        <v/>
      </c>
      <c r="AQ92" s="43" t="str">
        <f>IF(OR(AP92="N/A",AP92=""),"",IF(OR(F92=Lists!$I$10,F92=Lists!$I$11,F92=Lists!$I$16,F92=Lists!$J$12),"EER",IF(OR(F92=Lists!$I$17,F92=Lists!$I$18),"kW/ton",IF(D92*12000&lt;65000,"SEER","EER"))))</f>
        <v/>
      </c>
      <c r="AR92" s="55" t="str">
        <f>IFERROR(IF(OR(D92="",F92="",W92="",R92="",W92="Please Select",R92="Please Select"),"",VLOOKUP('HVAC Efficiency Tables'!AG121&amp;R92&amp;W92,HVACEfficiencies,8,FALSE)),"")</f>
        <v/>
      </c>
      <c r="AS92" s="43" t="str">
        <f>IF(OR(AR92="N/A",AR92=""),"",IF(OR(F92=Lists!$I$10,F92=Lists!$I$11,F92=Lists!$I$16,F92=Lists!$I$17,F92=Lists!$I$18),"",IF(D92&lt;=5,"EER","IEER")))</f>
        <v/>
      </c>
      <c r="AT92" s="43"/>
      <c r="AU92" s="43"/>
      <c r="AV92" s="43"/>
      <c r="AW92" s="894" t="str">
        <f t="shared" si="58"/>
        <v/>
      </c>
      <c r="AX92" s="894"/>
      <c r="AY92" s="55" t="str">
        <f>IFERROR(IF(OR(D92="",F92="",W92="",R92="",W92="Please Select",R92="Please Select"),"",VLOOKUP('HVAC Efficiency Tables'!AG121&amp;R92&amp;W92,HVACEfficiencies,5,FALSE)),"")</f>
        <v/>
      </c>
      <c r="AZ92" s="43" t="str">
        <f>IF(OR(AY92="N/A",AY92=""),"",IF(OR(F92=Lists!$I$10,F92=Lists!$I$11,F92=Lists!$I$16,F92=Lists!$J$12),"EER",IF(OR(F92=Lists!$I$17,F92=Lists!$I$18),"kW/ton",IF(D92*12000&lt;65000,"SEER","EER"))))</f>
        <v/>
      </c>
      <c r="BA92" s="55" t="str">
        <f>IFERROR(IF(OR(D92="",F92="",W92="",R92="",W92="Please Select",R92="Please Select"),"",VLOOKUP('HVAC Efficiency Tables'!AG121&amp;R92&amp;W92,HVACEfficiencies,9,FALSE)),"")</f>
        <v/>
      </c>
      <c r="BB92" s="43" t="str">
        <f>IF(OR(BA92="N/A",BA92=""),"",IF(OR(F92=Lists!$I$10,F92=Lists!$I$11,F92=Lists!$I$16,F92=Lists!$I$17,F92=Lists!$I$18),"",IF(D92&lt;=5,"EER","IEER")))</f>
        <v/>
      </c>
      <c r="BC92" s="43"/>
      <c r="BD92" s="43"/>
      <c r="BE92" s="894" t="str">
        <f t="shared" si="59"/>
        <v/>
      </c>
      <c r="BF92" s="894"/>
      <c r="BG92" s="157" t="s">
        <v>142</v>
      </c>
      <c r="BH92" s="895" t="str">
        <f t="shared" si="60"/>
        <v/>
      </c>
      <c r="BI92" s="895"/>
      <c r="BJ92" s="582"/>
      <c r="BQ92" s="298">
        <f t="shared" si="61"/>
        <v>0</v>
      </c>
      <c r="BR92" s="298">
        <f t="shared" si="62"/>
        <v>0</v>
      </c>
      <c r="BS92" s="298">
        <f t="shared" si="63"/>
        <v>0</v>
      </c>
      <c r="BT92" s="298">
        <f t="shared" si="64"/>
        <v>0</v>
      </c>
      <c r="BU92" s="298">
        <f t="shared" si="65"/>
        <v>0</v>
      </c>
      <c r="BV92" s="617">
        <f t="shared" si="66"/>
        <v>0</v>
      </c>
      <c r="BW92" s="301"/>
      <c r="BY92" s="94"/>
      <c r="BZ92" s="94"/>
      <c r="CA92" s="94"/>
      <c r="CB92" s="900" t="str">
        <f>'HVAC Efficiency Tables'!$AH121</f>
        <v/>
      </c>
      <c r="CC92" s="901"/>
      <c r="CD92" s="901"/>
      <c r="CE92" s="902"/>
      <c r="CF92" s="382"/>
      <c r="CG92" s="900" t="str">
        <f>'HVAC Efficiency Tables'!$AI121</f>
        <v/>
      </c>
      <c r="CH92" s="901"/>
      <c r="CI92" s="901"/>
      <c r="CJ92" s="901"/>
      <c r="CK92" s="901"/>
      <c r="CL92" s="902"/>
      <c r="CM92" s="94"/>
      <c r="CN92" s="94"/>
      <c r="CO92" s="94"/>
      <c r="CP92" s="94"/>
      <c r="CQ92" s="94"/>
      <c r="CR92" s="94"/>
      <c r="CS92" s="94"/>
      <c r="CT92" s="94"/>
      <c r="CU92" s="94"/>
      <c r="CV92" s="94"/>
      <c r="CW92" s="94"/>
      <c r="CX92" s="94"/>
      <c r="CY92" s="94"/>
      <c r="CZ92" s="94"/>
    </row>
    <row r="93" spans="1:178" s="22" customFormat="1" ht="15.6" hidden="1" customHeight="1">
      <c r="A93" s="584"/>
      <c r="B93" s="208"/>
      <c r="C93" s="208"/>
      <c r="D93" s="208"/>
      <c r="E93" s="208"/>
      <c r="F93" s="208"/>
      <c r="G93" s="208"/>
      <c r="H93" s="208"/>
      <c r="I93" s="208"/>
      <c r="J93" s="208"/>
      <c r="K93" s="208"/>
      <c r="L93" s="208"/>
      <c r="M93" s="208"/>
      <c r="N93" s="208"/>
      <c r="O93" s="208"/>
      <c r="P93" s="208"/>
      <c r="Q93" s="208"/>
      <c r="R93" s="208"/>
      <c r="S93" s="208"/>
      <c r="T93" s="208"/>
      <c r="U93" s="208"/>
      <c r="V93" s="208"/>
      <c r="W93" s="208"/>
      <c r="X93" s="208"/>
      <c r="Y93" s="208"/>
      <c r="Z93" s="208"/>
      <c r="AA93" s="208"/>
      <c r="AB93" s="208"/>
      <c r="AC93" s="208"/>
      <c r="AD93" s="208"/>
      <c r="AE93" s="208"/>
      <c r="AF93" s="208"/>
      <c r="AG93" s="208"/>
      <c r="AH93" s="208"/>
      <c r="AI93" s="208"/>
      <c r="AJ93" s="208"/>
      <c r="AK93" s="208"/>
      <c r="AL93" s="208"/>
      <c r="AM93" s="713"/>
      <c r="AN93" s="713"/>
      <c r="AO93" s="208"/>
      <c r="AP93" s="208"/>
      <c r="AQ93" s="208"/>
      <c r="AR93" s="208"/>
      <c r="AS93" s="208"/>
      <c r="AT93" s="713"/>
      <c r="AU93" s="713"/>
      <c r="AV93" s="208"/>
      <c r="AW93" s="208"/>
      <c r="AX93" s="208"/>
      <c r="AY93" s="208"/>
      <c r="AZ93" s="208"/>
      <c r="BA93" s="208"/>
      <c r="BB93" s="208"/>
      <c r="BC93" s="713"/>
      <c r="BD93" s="713"/>
      <c r="BE93" s="208"/>
      <c r="BF93" s="208"/>
      <c r="BG93" s="157"/>
      <c r="BH93" s="414"/>
      <c r="BI93" s="414"/>
      <c r="BJ93" s="53"/>
      <c r="BK93" s="1"/>
      <c r="BL93" s="1"/>
      <c r="BM93" s="1"/>
      <c r="BN93" s="1"/>
      <c r="BQ93" s="928"/>
      <c r="BR93" s="928"/>
      <c r="BS93" s="928"/>
      <c r="BT93" s="928"/>
      <c r="BU93" s="928"/>
      <c r="BV93" s="928"/>
      <c r="BW93" s="928"/>
      <c r="BY93" s="102"/>
      <c r="BZ93" s="102"/>
      <c r="CA93" s="102"/>
      <c r="CB93" s="208"/>
      <c r="CC93" s="208"/>
      <c r="CD93" s="208"/>
      <c r="CE93" s="208"/>
      <c r="CF93" s="208"/>
      <c r="CG93" s="208"/>
      <c r="CH93" s="208"/>
      <c r="CI93" s="208"/>
      <c r="CJ93" s="208"/>
      <c r="CK93" s="208"/>
      <c r="CL93" s="208"/>
      <c r="CM93" s="102"/>
      <c r="CN93" s="102"/>
      <c r="CO93" s="102"/>
      <c r="CP93" s="102"/>
      <c r="CQ93" s="102"/>
      <c r="CR93" s="102"/>
      <c r="CS93" s="102"/>
      <c r="CT93" s="102"/>
      <c r="CU93" s="102"/>
      <c r="CV93" s="102"/>
      <c r="CW93" s="102"/>
      <c r="CX93" s="102"/>
      <c r="CY93" s="102"/>
      <c r="CZ93" s="102"/>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row>
    <row r="94" spans="1:178" s="22" customFormat="1" ht="15.6" hidden="1" customHeight="1">
      <c r="A94" s="584"/>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c r="Z94" s="208"/>
      <c r="AA94" s="208"/>
      <c r="AB94" s="208"/>
      <c r="AC94" s="208"/>
      <c r="AD94" s="208"/>
      <c r="AE94" s="208"/>
      <c r="AF94" s="208"/>
      <c r="AG94" s="208"/>
      <c r="AH94" s="208"/>
      <c r="AI94" s="208"/>
      <c r="AJ94" s="208"/>
      <c r="AK94" s="208"/>
      <c r="AL94" s="208"/>
      <c r="AM94" s="713"/>
      <c r="AN94" s="713"/>
      <c r="AO94" s="208"/>
      <c r="AP94" s="921" t="s">
        <v>2655</v>
      </c>
      <c r="AQ94" s="921"/>
      <c r="AR94" s="921"/>
      <c r="AS94" s="921"/>
      <c r="AT94" s="921"/>
      <c r="AU94" s="921"/>
      <c r="AV94" s="921"/>
      <c r="AW94" s="921"/>
      <c r="AX94" s="921"/>
      <c r="AY94" s="921"/>
      <c r="AZ94" s="921"/>
      <c r="BA94" s="921"/>
      <c r="BB94" s="921"/>
      <c r="BC94" s="921"/>
      <c r="BD94" s="921"/>
      <c r="BE94" s="921"/>
      <c r="BF94" s="921"/>
      <c r="BG94" s="882" t="s">
        <v>2723</v>
      </c>
      <c r="BH94" s="882"/>
      <c r="BI94" s="882"/>
      <c r="BJ94" s="53"/>
      <c r="BK94" s="1"/>
      <c r="BL94" s="1"/>
      <c r="BM94" s="1"/>
      <c r="BN94" s="1"/>
      <c r="BQ94" s="928" t="s">
        <v>2724</v>
      </c>
      <c r="BR94" s="928"/>
      <c r="BS94" s="928"/>
      <c r="BT94" s="928"/>
      <c r="BU94" s="928"/>
      <c r="BV94" s="928"/>
      <c r="BW94" s="928"/>
      <c r="BY94" s="102"/>
      <c r="BZ94" s="102"/>
      <c r="CA94" s="102"/>
      <c r="CB94" s="208"/>
      <c r="CC94" s="208"/>
      <c r="CD94" s="208"/>
      <c r="CE94" s="208"/>
      <c r="CF94" s="208"/>
      <c r="CG94" s="208"/>
      <c r="CH94" s="208"/>
      <c r="CI94" s="208"/>
      <c r="CJ94" s="208"/>
      <c r="CK94" s="208"/>
      <c r="CL94" s="208"/>
      <c r="CM94" s="102"/>
      <c r="CN94" s="102"/>
      <c r="CO94" s="102"/>
      <c r="CP94" s="102"/>
      <c r="CQ94" s="102"/>
      <c r="CR94" s="102"/>
      <c r="CS94" s="102"/>
      <c r="CT94" s="102"/>
      <c r="CU94" s="102"/>
      <c r="CV94" s="102"/>
      <c r="CW94" s="102"/>
      <c r="CX94" s="102"/>
      <c r="CY94" s="102"/>
      <c r="CZ94" s="102"/>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row>
    <row r="95" spans="1:178" s="22" customFormat="1" ht="22.5" hidden="1">
      <c r="A95" s="519" t="s">
        <v>2725</v>
      </c>
      <c r="B95" s="208"/>
      <c r="C95" s="49"/>
      <c r="D95" s="208"/>
      <c r="E95" s="208"/>
      <c r="F95" s="50"/>
      <c r="G95" s="50"/>
      <c r="H95" s="50"/>
      <c r="I95" s="50"/>
      <c r="J95" s="50"/>
      <c r="K95" s="50"/>
      <c r="L95" s="50"/>
      <c r="M95" s="50"/>
      <c r="N95" s="50"/>
      <c r="O95" s="50"/>
      <c r="P95" s="50"/>
      <c r="Q95" s="208"/>
      <c r="R95" s="909" t="s">
        <v>2714</v>
      </c>
      <c r="S95" s="909"/>
      <c r="T95" s="909"/>
      <c r="U95" s="909"/>
      <c r="V95" s="204"/>
      <c r="W95" s="909" t="s">
        <v>2680</v>
      </c>
      <c r="X95" s="909"/>
      <c r="Y95" s="909"/>
      <c r="Z95" s="909"/>
      <c r="AA95" s="909"/>
      <c r="AB95" s="909"/>
      <c r="AC95" s="204"/>
      <c r="AD95" s="204"/>
      <c r="AE95" s="204"/>
      <c r="AF95" s="204"/>
      <c r="AG95" s="204"/>
      <c r="AH95" s="51"/>
      <c r="AI95" s="51" t="s">
        <v>2715</v>
      </c>
      <c r="AJ95" s="204"/>
      <c r="AK95" s="52" t="s">
        <v>2716</v>
      </c>
      <c r="AL95" s="204"/>
      <c r="AM95" s="712"/>
      <c r="AN95" s="712"/>
      <c r="AO95" s="204"/>
      <c r="AP95" s="910" t="s">
        <v>2683</v>
      </c>
      <c r="AQ95" s="910"/>
      <c r="AR95" s="910"/>
      <c r="AS95" s="910"/>
      <c r="AT95" s="910"/>
      <c r="AU95" s="910"/>
      <c r="AV95" s="910"/>
      <c r="AW95" s="910"/>
      <c r="AX95" s="910"/>
      <c r="AY95" s="921"/>
      <c r="AZ95" s="921"/>
      <c r="BA95" s="921"/>
      <c r="BB95" s="921"/>
      <c r="BC95" s="921"/>
      <c r="BD95" s="921"/>
      <c r="BE95" s="921"/>
      <c r="BF95" s="921"/>
      <c r="BG95" s="882"/>
      <c r="BH95" s="882"/>
      <c r="BI95" s="882"/>
      <c r="BJ95" s="53"/>
      <c r="BK95" s="1"/>
      <c r="BL95" s="1"/>
      <c r="BM95" s="1"/>
      <c r="BN95" s="1"/>
      <c r="BQ95" s="84"/>
      <c r="BR95" s="84"/>
      <c r="BS95" s="84"/>
      <c r="BT95" s="84"/>
      <c r="BU95" s="84"/>
      <c r="BV95" s="84"/>
      <c r="BW95" s="84"/>
      <c r="BY95" s="102"/>
      <c r="BZ95" s="102"/>
      <c r="CA95" s="102"/>
      <c r="CB95" s="909" t="s">
        <v>2714</v>
      </c>
      <c r="CC95" s="909"/>
      <c r="CD95" s="909"/>
      <c r="CE95" s="909"/>
      <c r="CF95" s="204"/>
      <c r="CG95" s="909" t="s">
        <v>2680</v>
      </c>
      <c r="CH95" s="909"/>
      <c r="CI95" s="909"/>
      <c r="CJ95" s="909"/>
      <c r="CK95" s="909"/>
      <c r="CL95" s="909"/>
      <c r="CM95" s="102"/>
      <c r="CN95" s="102"/>
      <c r="CO95" s="102"/>
      <c r="CP95" s="102"/>
      <c r="CQ95" s="102"/>
      <c r="CR95" s="102"/>
      <c r="CS95" s="102"/>
      <c r="CT95" s="102"/>
      <c r="CU95" s="102"/>
      <c r="CV95" s="102"/>
      <c r="CW95" s="102"/>
      <c r="CX95" s="102"/>
      <c r="CY95" s="102"/>
      <c r="CZ95" s="102"/>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row>
    <row r="96" spans="1:178" s="22" customFormat="1" ht="26.25" hidden="1">
      <c r="A96" s="48"/>
      <c r="B96" s="159" t="s">
        <v>2661</v>
      </c>
      <c r="C96" s="411"/>
      <c r="D96" s="159" t="s">
        <v>2662</v>
      </c>
      <c r="E96" s="159"/>
      <c r="F96" s="159" t="s">
        <v>2717</v>
      </c>
      <c r="G96" s="50"/>
      <c r="H96" s="50"/>
      <c r="I96" s="50"/>
      <c r="J96" s="50"/>
      <c r="K96" s="50"/>
      <c r="L96" s="50"/>
      <c r="M96" s="50"/>
      <c r="N96" s="50"/>
      <c r="O96" s="50"/>
      <c r="P96" s="50"/>
      <c r="Q96" s="208"/>
      <c r="R96" s="909"/>
      <c r="S96" s="909"/>
      <c r="T96" s="909"/>
      <c r="U96" s="909"/>
      <c r="V96" s="204"/>
      <c r="W96" s="909"/>
      <c r="X96" s="909"/>
      <c r="Y96" s="909"/>
      <c r="Z96" s="909"/>
      <c r="AA96" s="909"/>
      <c r="AB96" s="909"/>
      <c r="AC96" s="204"/>
      <c r="AD96" s="159" t="s">
        <v>2664</v>
      </c>
      <c r="AE96" s="197"/>
      <c r="AF96" s="159"/>
      <c r="AG96" s="159"/>
      <c r="AH96" s="410"/>
      <c r="AI96" s="159" t="s">
        <v>2665</v>
      </c>
      <c r="AJ96" s="197"/>
      <c r="AK96" s="159" t="s">
        <v>2665</v>
      </c>
      <c r="AL96" s="204"/>
      <c r="AM96" s="712"/>
      <c r="AN96" s="712"/>
      <c r="AO96" s="204"/>
      <c r="AP96" s="911" t="s">
        <v>2726</v>
      </c>
      <c r="AQ96" s="911"/>
      <c r="AR96" s="911"/>
      <c r="AS96" s="911"/>
      <c r="AT96" s="911"/>
      <c r="AU96" s="911"/>
      <c r="AV96" s="911"/>
      <c r="AW96" s="911"/>
      <c r="AX96" s="50"/>
      <c r="AY96" s="779"/>
      <c r="AZ96" s="779"/>
      <c r="BA96" s="779"/>
      <c r="BB96" s="779"/>
      <c r="BC96" s="779"/>
      <c r="BD96" s="779"/>
      <c r="BE96" s="779"/>
      <c r="BF96" s="50"/>
      <c r="BG96" s="882"/>
      <c r="BH96" s="882"/>
      <c r="BI96" s="882"/>
      <c r="BJ96" s="53"/>
      <c r="BK96" s="1"/>
      <c r="BL96" s="1"/>
      <c r="BM96" s="1"/>
      <c r="BN96" s="1"/>
      <c r="BQ96" s="297" t="s">
        <v>2718</v>
      </c>
      <c r="BR96" s="306" t="s">
        <v>2719</v>
      </c>
      <c r="BS96" s="306" t="s">
        <v>2720</v>
      </c>
      <c r="BT96" s="306" t="s">
        <v>2721</v>
      </c>
      <c r="BU96" s="306" t="s">
        <v>2722</v>
      </c>
      <c r="BV96" s="306" t="s">
        <v>2687</v>
      </c>
      <c r="BW96" s="307" t="s">
        <v>2688</v>
      </c>
      <c r="BY96" s="102"/>
      <c r="BZ96" s="102"/>
      <c r="CA96" s="102"/>
      <c r="CB96" s="909"/>
      <c r="CC96" s="909"/>
      <c r="CD96" s="909"/>
      <c r="CE96" s="909"/>
      <c r="CF96" s="204"/>
      <c r="CG96" s="909"/>
      <c r="CH96" s="909"/>
      <c r="CI96" s="909"/>
      <c r="CJ96" s="909"/>
      <c r="CK96" s="909"/>
      <c r="CL96" s="909"/>
      <c r="CM96" s="102"/>
      <c r="CN96" s="102"/>
      <c r="CO96" s="102"/>
      <c r="CP96" s="102"/>
      <c r="CQ96" s="102"/>
      <c r="CR96" s="102"/>
      <c r="CS96" s="102"/>
      <c r="CT96" s="102"/>
      <c r="CU96" s="102"/>
      <c r="CV96" s="102"/>
      <c r="CW96" s="102"/>
      <c r="CX96" s="102"/>
      <c r="CY96" s="102"/>
      <c r="CZ96" s="102"/>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row>
    <row r="97" spans="1:178" ht="14.1" hidden="1" customHeight="1">
      <c r="A97" s="54"/>
      <c r="B97" s="64"/>
      <c r="C97" s="333"/>
      <c r="D97" s="64"/>
      <c r="E97" s="231"/>
      <c r="F97" s="903"/>
      <c r="G97" s="903"/>
      <c r="H97" s="903"/>
      <c r="I97" s="903"/>
      <c r="J97" s="903"/>
      <c r="K97" s="903"/>
      <c r="L97" s="903"/>
      <c r="M97" s="903"/>
      <c r="N97" s="903"/>
      <c r="O97" s="903"/>
      <c r="P97" s="903"/>
      <c r="Q97" s="208"/>
      <c r="R97" s="900" t="str">
        <f>'HVAC Efficiency Tables'!$Y124</f>
        <v/>
      </c>
      <c r="S97" s="901"/>
      <c r="T97" s="901"/>
      <c r="U97" s="902"/>
      <c r="V97" s="382"/>
      <c r="W97" s="900" t="str">
        <f>'HVAC Efficiency Tables'!$Z124</f>
        <v/>
      </c>
      <c r="X97" s="901"/>
      <c r="Y97" s="901"/>
      <c r="Z97" s="901"/>
      <c r="AA97" s="901"/>
      <c r="AB97" s="902"/>
      <c r="AC97" s="204"/>
      <c r="AD97" s="890"/>
      <c r="AE97" s="890"/>
      <c r="AF97" s="890"/>
      <c r="AG97" s="890"/>
      <c r="AH97" s="333"/>
      <c r="AI97" s="64"/>
      <c r="AJ97" s="43" t="str">
        <f>IF(OR(D97="",AW97="Ineligible"),"",IF(OR(F97=Lists!$I$11,F97=Lists!$I$16,F97=Lists!$J$12,F97=Lists!$I$13,F97=Lists!$I$14),"EER",IF(OR(F97=Lists!$I$17,F97=Lists!$I$18),"kW/ton",IF(D97*12000&lt;65000,"SEER","EER"))))</f>
        <v/>
      </c>
      <c r="AK97" s="64"/>
      <c r="AL97" s="43" t="str">
        <f>IF(OR(B97="",AW97="Ineligible",AR97="N/A"),"",IF(OR(F97=Lists!$I$16,F97=Lists!$I$17,F97=Lists!$I$18),"",IF(D97&lt;=5,"EER","IEER")))</f>
        <v/>
      </c>
      <c r="AM97" s="43"/>
      <c r="AN97" s="43"/>
      <c r="AO97" s="204"/>
      <c r="AP97" s="55" t="str">
        <f>IFERROR(IF(OR(D97="",F97="",W97="",R97="",W97="Please Select",R97="Please Select"),"",VLOOKUP('HVAC Efficiency Tables'!X124&amp;R97&amp;W97,HVACEfficiencies,3,FALSE)),"")</f>
        <v/>
      </c>
      <c r="AQ97" s="43" t="str">
        <f>IF(OR(AP97="N/A",AP97=""),"",IF(OR(F97=Lists!$I$11,F97=Lists!$I$16,F97=Lists!$J$12,F97=Lists!$I$13,F97=Lists!$I$14),"EER",IF(OR(F97=Lists!$I$17,F97=Lists!$I$18),"kW/ton",IF(D97*12000&lt;65000,"SEER","EER"))))</f>
        <v/>
      </c>
      <c r="AR97" s="55" t="str">
        <f>IFERROR(IF(OR(D97="",F97="",W97="",R97="",W97="Please Select",R97="Please Select"),"",VLOOKUP('HVAC Efficiency Tables'!X124&amp;R97&amp;W97,HVACEfficiencies,8,FALSE)),"")</f>
        <v/>
      </c>
      <c r="AS97" s="43" t="str">
        <f>IF(OR(AR97="N/A",AR97=""),"",IF(OR(F97=Lists!$I$16,F97=Lists!$I$17,F97=Lists!$I$18),"",IF(D97&lt;=5,"EER","IEER")))</f>
        <v/>
      </c>
      <c r="AT97" s="43"/>
      <c r="AU97" s="43"/>
      <c r="AV97" s="43"/>
      <c r="AW97" s="894" t="str">
        <f t="shared" ref="AW97:AW106" si="67">IF(AND($BR$1="OR",F97&lt;&gt;""),"ID Only*",IF(AND(F97="Heat Pumps, Water-Cooled",(D97*12000)&gt;134999),"Ineligible",IF(AR97="N/A",IF($AP97&lt;=AI97,"Qualified","Not Qualified"),IF(AND($AP97="",$AR97=""),"",IF(AND($AP97&lt;=$AI97,$AR97&lt;=$AK97),"Qualified","Not Qualified")))))</f>
        <v/>
      </c>
      <c r="AX97" s="894"/>
      <c r="AY97" s="463" t="str">
        <f>IFERROR(IF(OR(D97="",F97="",W97="",R97="",W97="Please Select",R97="Please Select"),"",VLOOKUP('HVAC Efficiency Tables'!X124&amp;R97&amp;W97,HVACEfficiencies,5,FALSE)),"")</f>
        <v/>
      </c>
      <c r="AZ97" s="420" t="str">
        <f>IF(OR(AY97="N/A",AY97=""),"",IF(F97=Lists!$I$16,"EER",IF(OR(F97=Lists!$I$17,F97=Lists!$I$18),"kW/ton",IF(D97*12000&lt;65000,"SEER","EER"))))</f>
        <v/>
      </c>
      <c r="BA97" s="463" t="str">
        <f>IFERROR(IF(OR(D97="",F97="",W97="",R97="",W97="Please Select",R97="Please Select"),"",VLOOKUP('HVAC Efficiency Tables'!X124&amp;R97&amp;W97,HVACEfficiencies,9,FALSE)),"")</f>
        <v/>
      </c>
      <c r="BB97" s="420" t="str">
        <f>IF(OR(AY97="N/A",AY97=""),"",IF(OR(F97=Lists!$I$16,F97=Lists!$I$17,F97=Lists!$I$18),"",IF(D97&lt;=5,"EER","IEER")))</f>
        <v/>
      </c>
      <c r="BC97" s="706"/>
      <c r="BD97" s="706"/>
      <c r="BE97" s="904" t="str">
        <f t="shared" ref="BE97:BE106" si="68">IF(AND($BR$1="OR",F97&lt;&gt;""),"ID Only*",IF(OR(AI97="",$AY97="",$AY97="N/A"),"",IF(AND($AY97&lt;=AI97,OR($BA97&lt;=AK97,$BA97="N/A")),"Qualified","Not Qualified")))</f>
        <v/>
      </c>
      <c r="BF97" s="904"/>
      <c r="BG97" s="157" t="s">
        <v>142</v>
      </c>
      <c r="BH97" s="895" t="str">
        <f t="shared" ref="BH97:BH106" si="69">IF(AW97="ID Only*","ID Only*",IF(AND(F97="Unitary Commercial Air Conditioners, Water-Cooled",AW97="Qualified"),D97*B97*40,IF(AND(F97="Heat Pumps, Water-Cooled",AW97="Qualified"),B97*D97*100,"")))</f>
        <v/>
      </c>
      <c r="BI97" s="895"/>
      <c r="BJ97" s="582"/>
      <c r="BQ97" s="298" t="e">
        <f>VLOOKUP('HVAC Efficiency Tables'!X124&amp;R97&amp;W97,HVACEfficiencies,7,FALSE)</f>
        <v>#N/A</v>
      </c>
      <c r="BR97" s="298">
        <f t="shared" ref="BR97:BR106" si="70">IF($BX$1="",0,VLOOKUP($BX$1,CoolingHours,3,FALSE))</f>
        <v>599</v>
      </c>
      <c r="BS97" s="298" t="e">
        <f t="shared" ref="BS97:BS106" si="71">B97*D97*(1/BQ97-1/AI97)*12000/1000*BR97</f>
        <v>#N/A</v>
      </c>
      <c r="BT97" s="298" t="e">
        <f t="shared" ref="BT97:BT106" si="72">B97*D97*(1/(BQ97*0.857)-1/(AI97*0.857))*12000/1000*BR97</f>
        <v>#N/A</v>
      </c>
      <c r="BU97" s="298" t="e">
        <f t="shared" ref="BU97:BU106" si="73">B97*D97*(BQ97-AI97)*BR97</f>
        <v>#N/A</v>
      </c>
      <c r="BV97" s="617">
        <f t="shared" ref="BV97:BV106" si="74">IF(OR(BE97="Qualified",AW97="Qualified"),IF(AJ97="EER",BS97,IF(AJ97="SEER",BT97,IF(AJ97="kW/ton",BU97,0))),0)</f>
        <v>0</v>
      </c>
      <c r="BW97" s="301">
        <f>IF(BR97=0,"Select Bldg Type",BV97/BR97)</f>
        <v>0</v>
      </c>
      <c r="BY97" s="94"/>
      <c r="BZ97" s="94"/>
      <c r="CA97" s="94"/>
      <c r="CB97" s="900" t="str">
        <f>'HVAC Efficiency Tables'!$Y124</f>
        <v/>
      </c>
      <c r="CC97" s="901"/>
      <c r="CD97" s="901"/>
      <c r="CE97" s="902"/>
      <c r="CF97" s="382"/>
      <c r="CG97" s="900" t="str">
        <f>'HVAC Efficiency Tables'!$Z124</f>
        <v/>
      </c>
      <c r="CH97" s="901"/>
      <c r="CI97" s="901"/>
      <c r="CJ97" s="901"/>
      <c r="CK97" s="901"/>
      <c r="CL97" s="902"/>
      <c r="CM97" s="94"/>
      <c r="CN97" s="94"/>
      <c r="CO97" s="94"/>
      <c r="CP97" s="94"/>
      <c r="CQ97" s="94"/>
      <c r="CR97" s="94"/>
      <c r="CS97" s="94"/>
      <c r="CT97" s="94"/>
      <c r="CU97" s="94"/>
      <c r="CV97" s="94"/>
      <c r="CW97" s="94"/>
      <c r="CX97" s="94"/>
      <c r="CY97" s="94"/>
      <c r="CZ97" s="94"/>
    </row>
    <row r="98" spans="1:178" ht="14.1" hidden="1" customHeight="1">
      <c r="A98" s="54"/>
      <c r="B98" s="64"/>
      <c r="C98" s="333"/>
      <c r="D98" s="64"/>
      <c r="E98" s="231"/>
      <c r="F98" s="903"/>
      <c r="G98" s="903"/>
      <c r="H98" s="903"/>
      <c r="I98" s="903"/>
      <c r="J98" s="903"/>
      <c r="K98" s="903"/>
      <c r="L98" s="903"/>
      <c r="M98" s="903"/>
      <c r="N98" s="903"/>
      <c r="O98" s="903"/>
      <c r="P98" s="903"/>
      <c r="Q98" s="208"/>
      <c r="R98" s="900" t="str">
        <f>'HVAC Efficiency Tables'!$Y125</f>
        <v/>
      </c>
      <c r="S98" s="901"/>
      <c r="T98" s="901"/>
      <c r="U98" s="902"/>
      <c r="V98" s="382"/>
      <c r="W98" s="900" t="str">
        <f>'HVAC Efficiency Tables'!$Z125</f>
        <v/>
      </c>
      <c r="X98" s="901"/>
      <c r="Y98" s="901"/>
      <c r="Z98" s="901"/>
      <c r="AA98" s="901"/>
      <c r="AB98" s="902"/>
      <c r="AC98" s="204"/>
      <c r="AD98" s="890"/>
      <c r="AE98" s="890"/>
      <c r="AF98" s="890"/>
      <c r="AG98" s="890"/>
      <c r="AH98" s="333"/>
      <c r="AI98" s="64"/>
      <c r="AJ98" s="43" t="str">
        <f>IF(OR(D98="",AW98="Ineligible"),"",IF(OR(F98=Lists!$I$11,F98=Lists!$I$16,F98=Lists!$J$12,F98=Lists!$I$13,F98=Lists!$I$14),"EER",IF(OR(F98=Lists!$I$17,F98=Lists!$I$18),"kW/ton",IF(D98*12000&lt;65000,"SEER","EER"))))</f>
        <v/>
      </c>
      <c r="AK98" s="64"/>
      <c r="AL98" s="43" t="str">
        <f>IF(OR(B98="",AW98="Ineligible",AR98="N/A"),"",IF(OR(F98=Lists!$I$16,F98=Lists!$I$17,F98=Lists!$I$18),"",IF(D98&lt;=5,"EER","IEER")))</f>
        <v/>
      </c>
      <c r="AM98" s="43"/>
      <c r="AN98" s="43"/>
      <c r="AO98" s="204"/>
      <c r="AP98" s="55" t="str">
        <f>IFERROR(IF(OR(D98="",F98="",W98="",R98="",W98="Please Select",R98="Please Select"),"",VLOOKUP('HVAC Efficiency Tables'!X125&amp;R98&amp;W98,HVACEfficiencies,3,FALSE)),"")</f>
        <v/>
      </c>
      <c r="AQ98" s="43" t="str">
        <f>IF(OR(AP98="N/A",AP98=""),"",IF(OR(F98=Lists!$I$11,F98=Lists!$I$16,F98=Lists!$J$12,F98=Lists!$I$13,F98=Lists!$I$14),"EER",IF(OR(F98=Lists!$I$17,F98=Lists!$I$18),"kW/ton",IF(D98*12000&lt;65000,"SEER","EER"))))</f>
        <v/>
      </c>
      <c r="AR98" s="55" t="str">
        <f>IFERROR(IF(OR(D98="",F98="",W98="",R98="",W98="Please Select",R98="Please Select"),"",VLOOKUP('HVAC Efficiency Tables'!X125&amp;R98&amp;W98,HVACEfficiencies,8,FALSE)),"")</f>
        <v/>
      </c>
      <c r="AS98" s="43" t="str">
        <f>IF(OR(AR98="N/A",AR98=""),"",IF(OR(F98=Lists!$I$16,F98=Lists!$I$17,F98=Lists!$I$18),"",IF(D98&lt;=5,"EER","IEER")))</f>
        <v/>
      </c>
      <c r="AT98" s="43"/>
      <c r="AU98" s="43"/>
      <c r="AV98" s="43"/>
      <c r="AW98" s="894" t="str">
        <f t="shared" si="67"/>
        <v/>
      </c>
      <c r="AX98" s="894"/>
      <c r="AY98" s="463" t="str">
        <f>IFERROR(IF(OR(D98="",F98="",W98="",R98="",W98="Please Select",R98="Please Select"),"",VLOOKUP('HVAC Efficiency Tables'!X125&amp;R98&amp;W98,HVACEfficiencies,5,FALSE)),"")</f>
        <v/>
      </c>
      <c r="AZ98" s="420" t="str">
        <f>IF(OR(AY98="N/A",AY98=""),"",IF(F98=Lists!$I$16,"EER",IF(OR(F98=Lists!$I$17,F98=Lists!$I$18),"kW/ton",IF(D98*12000&lt;65000,"SEER","EER"))))</f>
        <v/>
      </c>
      <c r="BA98" s="463" t="str">
        <f>IFERROR(IF(OR(D98="",F98="",W98="",R98="",W98="Please Select",R98="Please Select"),"",VLOOKUP('HVAC Efficiency Tables'!X125&amp;R98&amp;W98,HVACEfficiencies,9,FALSE)),"")</f>
        <v/>
      </c>
      <c r="BB98" s="420" t="str">
        <f>IF(OR(AY98="N/A",AY98=""),"",IF(OR(F98=Lists!$I$16,F98=Lists!$I$17,F98=Lists!$I$18),"",IF(D98&lt;=5,"EER","IEER")))</f>
        <v/>
      </c>
      <c r="BC98" s="706"/>
      <c r="BD98" s="706"/>
      <c r="BE98" s="904" t="str">
        <f t="shared" si="68"/>
        <v/>
      </c>
      <c r="BF98" s="904"/>
      <c r="BG98" s="157" t="s">
        <v>142</v>
      </c>
      <c r="BH98" s="895" t="str">
        <f t="shared" si="69"/>
        <v/>
      </c>
      <c r="BI98" s="895"/>
      <c r="BJ98" s="582"/>
      <c r="BQ98" s="298" t="e">
        <f>VLOOKUP('HVAC Efficiency Tables'!X125&amp;R98&amp;W98,HVACEfficiencies,7,FALSE)</f>
        <v>#N/A</v>
      </c>
      <c r="BR98" s="298">
        <f t="shared" si="70"/>
        <v>599</v>
      </c>
      <c r="BS98" s="298" t="e">
        <f t="shared" si="71"/>
        <v>#N/A</v>
      </c>
      <c r="BT98" s="298" t="e">
        <f t="shared" si="72"/>
        <v>#N/A</v>
      </c>
      <c r="BU98" s="298" t="e">
        <f t="shared" si="73"/>
        <v>#N/A</v>
      </c>
      <c r="BV98" s="617">
        <f t="shared" si="74"/>
        <v>0</v>
      </c>
      <c r="BW98" s="301">
        <f t="shared" ref="BW98:BW106" si="75">IF(BR98=0,"Select Bldg Type",BV98/BR98)</f>
        <v>0</v>
      </c>
      <c r="BY98" s="94"/>
      <c r="BZ98" s="94"/>
      <c r="CA98" s="94"/>
      <c r="CB98" s="900" t="str">
        <f>'HVAC Efficiency Tables'!$Y125</f>
        <v/>
      </c>
      <c r="CC98" s="901"/>
      <c r="CD98" s="901"/>
      <c r="CE98" s="902"/>
      <c r="CF98" s="382"/>
      <c r="CG98" s="900" t="str">
        <f>'HVAC Efficiency Tables'!$Z125</f>
        <v/>
      </c>
      <c r="CH98" s="901"/>
      <c r="CI98" s="901"/>
      <c r="CJ98" s="901"/>
      <c r="CK98" s="901"/>
      <c r="CL98" s="902"/>
      <c r="CM98" s="94"/>
      <c r="CN98" s="94"/>
      <c r="CO98" s="94"/>
      <c r="CP98" s="94"/>
      <c r="CQ98" s="94"/>
      <c r="CR98" s="94"/>
      <c r="CS98" s="94"/>
      <c r="CT98" s="94"/>
      <c r="CU98" s="94"/>
      <c r="CV98" s="94"/>
      <c r="CW98" s="94"/>
      <c r="CX98" s="94"/>
      <c r="CY98" s="94"/>
      <c r="CZ98" s="94"/>
    </row>
    <row r="99" spans="1:178" ht="14.1" hidden="1" customHeight="1">
      <c r="A99" s="54"/>
      <c r="B99" s="64"/>
      <c r="C99" s="333"/>
      <c r="D99" s="64"/>
      <c r="E99" s="231"/>
      <c r="F99" s="903"/>
      <c r="G99" s="903"/>
      <c r="H99" s="903"/>
      <c r="I99" s="903"/>
      <c r="J99" s="903"/>
      <c r="K99" s="903"/>
      <c r="L99" s="903"/>
      <c r="M99" s="903"/>
      <c r="N99" s="903"/>
      <c r="O99" s="903"/>
      <c r="P99" s="903"/>
      <c r="Q99" s="208"/>
      <c r="R99" s="900" t="str">
        <f>'HVAC Efficiency Tables'!$Y126</f>
        <v/>
      </c>
      <c r="S99" s="901"/>
      <c r="T99" s="901"/>
      <c r="U99" s="902"/>
      <c r="V99" s="382"/>
      <c r="W99" s="900" t="str">
        <f>'HVAC Efficiency Tables'!$Z126</f>
        <v/>
      </c>
      <c r="X99" s="901"/>
      <c r="Y99" s="901"/>
      <c r="Z99" s="901"/>
      <c r="AA99" s="901"/>
      <c r="AB99" s="902"/>
      <c r="AC99" s="204"/>
      <c r="AD99" s="890"/>
      <c r="AE99" s="890"/>
      <c r="AF99" s="890"/>
      <c r="AG99" s="890"/>
      <c r="AH99" s="333"/>
      <c r="AI99" s="64"/>
      <c r="AJ99" s="43" t="str">
        <f>IF(OR(D99="",AW99="Ineligible"),"",IF(OR(F99=Lists!$I$11,F99=Lists!$I$16,F99=Lists!$J$12,F99=Lists!$I$13,F99=Lists!$I$14),"EER",IF(OR(F99=Lists!$I$17,F99=Lists!$I$18),"kW/ton",IF(D99*12000&lt;65000,"SEER","EER"))))</f>
        <v/>
      </c>
      <c r="AK99" s="64"/>
      <c r="AL99" s="43" t="str">
        <f>IF(OR(B99="",AW99="Ineligible",AR99="N/A"),"",IF(OR(F99=Lists!$I$16,F99=Lists!$I$17,F99=Lists!$I$18),"",IF(D99&lt;=5,"EER","IEER")))</f>
        <v/>
      </c>
      <c r="AM99" s="43"/>
      <c r="AN99" s="43"/>
      <c r="AO99" s="204"/>
      <c r="AP99" s="55" t="str">
        <f>IFERROR(IF(OR(D99="",F99="",W99="",R99="",W99="Please Select",R99="Please Select"),"",VLOOKUP('HVAC Efficiency Tables'!X126&amp;R99&amp;W99,HVACEfficiencies,3,FALSE)),"")</f>
        <v/>
      </c>
      <c r="AQ99" s="43" t="str">
        <f>IF(OR(AP99="N/A",AP99=""),"",IF(OR(F99=Lists!$I$11,F99=Lists!$I$16,F99=Lists!$J$12,F99=Lists!$I$13,F99=Lists!$I$14),"EER",IF(OR(F99=Lists!$I$17,F99=Lists!$I$18),"kW/ton",IF(D99*12000&lt;65000,"SEER","EER"))))</f>
        <v/>
      </c>
      <c r="AR99" s="55" t="str">
        <f>IFERROR(IF(OR(D99="",F99="",W99="",R99="",W99="Please Select",R99="Please Select"),"",VLOOKUP('HVAC Efficiency Tables'!X126&amp;R99&amp;W99,HVACEfficiencies,8,FALSE)),"")</f>
        <v/>
      </c>
      <c r="AS99" s="43" t="str">
        <f>IF(OR(AR99="N/A",AR99=""),"",IF(OR(F99=Lists!$I$16,F99=Lists!$I$17,F99=Lists!$I$18),"",IF(D99&lt;=5,"EER","IEER")))</f>
        <v/>
      </c>
      <c r="AT99" s="43"/>
      <c r="AU99" s="43"/>
      <c r="AV99" s="43"/>
      <c r="AW99" s="894" t="str">
        <f t="shared" si="67"/>
        <v/>
      </c>
      <c r="AX99" s="894"/>
      <c r="AY99" s="463" t="str">
        <f>IFERROR(IF(OR(D99="",F99="",W99="",R99="",W99="Please Select",R99="Please Select"),"",VLOOKUP('HVAC Efficiency Tables'!X126&amp;R99&amp;W99,HVACEfficiencies,5,FALSE)),"")</f>
        <v/>
      </c>
      <c r="AZ99" s="420" t="str">
        <f>IF(OR(AY99="N/A",AY99=""),"",IF(F99=Lists!$I$16,"EER",IF(OR(F99=Lists!$I$17,F99=Lists!$I$18),"kW/ton",IF(D99*12000&lt;65000,"SEER","EER"))))</f>
        <v/>
      </c>
      <c r="BA99" s="463" t="str">
        <f>IFERROR(IF(OR(D99="",F99="",W99="",R99="",W99="Please Select",R99="Please Select"),"",VLOOKUP('HVAC Efficiency Tables'!X126&amp;R99&amp;W99,HVACEfficiencies,9,FALSE)),"")</f>
        <v/>
      </c>
      <c r="BB99" s="420" t="str">
        <f>IF(OR(AY99="N/A",AY99=""),"",IF(OR(F99=Lists!$I$16,F99=Lists!$I$17,F99=Lists!$I$18),"",IF(D99&lt;=5,"EER","IEER")))</f>
        <v/>
      </c>
      <c r="BC99" s="706"/>
      <c r="BD99" s="706"/>
      <c r="BE99" s="904" t="str">
        <f t="shared" si="68"/>
        <v/>
      </c>
      <c r="BF99" s="904"/>
      <c r="BG99" s="157" t="s">
        <v>142</v>
      </c>
      <c r="BH99" s="895" t="str">
        <f t="shared" si="69"/>
        <v/>
      </c>
      <c r="BI99" s="895"/>
      <c r="BJ99" s="582"/>
      <c r="BQ99" s="298" t="e">
        <f>VLOOKUP('HVAC Efficiency Tables'!X126&amp;R99&amp;W99,HVACEfficiencies,7,FALSE)</f>
        <v>#N/A</v>
      </c>
      <c r="BR99" s="298">
        <f t="shared" si="70"/>
        <v>599</v>
      </c>
      <c r="BS99" s="298" t="e">
        <f t="shared" si="71"/>
        <v>#N/A</v>
      </c>
      <c r="BT99" s="298" t="e">
        <f t="shared" si="72"/>
        <v>#N/A</v>
      </c>
      <c r="BU99" s="298" t="e">
        <f t="shared" si="73"/>
        <v>#N/A</v>
      </c>
      <c r="BV99" s="617">
        <f t="shared" si="74"/>
        <v>0</v>
      </c>
      <c r="BW99" s="301">
        <f t="shared" si="75"/>
        <v>0</v>
      </c>
      <c r="BY99" s="94"/>
      <c r="BZ99" s="94"/>
      <c r="CA99" s="94"/>
      <c r="CB99" s="900" t="str">
        <f>'HVAC Efficiency Tables'!$Y126</f>
        <v/>
      </c>
      <c r="CC99" s="901"/>
      <c r="CD99" s="901"/>
      <c r="CE99" s="902"/>
      <c r="CF99" s="382"/>
      <c r="CG99" s="900" t="str">
        <f>'HVAC Efficiency Tables'!$Z126</f>
        <v/>
      </c>
      <c r="CH99" s="901"/>
      <c r="CI99" s="901"/>
      <c r="CJ99" s="901"/>
      <c r="CK99" s="901"/>
      <c r="CL99" s="902"/>
      <c r="CM99" s="94"/>
      <c r="CN99" s="94"/>
      <c r="CO99" s="94"/>
      <c r="CP99" s="94"/>
      <c r="CQ99" s="94"/>
      <c r="CR99" s="94"/>
      <c r="CS99" s="94"/>
      <c r="CT99" s="94"/>
      <c r="CU99" s="94"/>
      <c r="CV99" s="94"/>
      <c r="CW99" s="94"/>
      <c r="CX99" s="94"/>
      <c r="CY99" s="94"/>
      <c r="CZ99" s="94"/>
    </row>
    <row r="100" spans="1:178" ht="14.1" hidden="1" customHeight="1">
      <c r="A100" s="54"/>
      <c r="B100" s="64"/>
      <c r="C100" s="333"/>
      <c r="D100" s="64"/>
      <c r="E100" s="231"/>
      <c r="F100" s="903"/>
      <c r="G100" s="903"/>
      <c r="H100" s="903"/>
      <c r="I100" s="903"/>
      <c r="J100" s="903"/>
      <c r="K100" s="903"/>
      <c r="L100" s="903"/>
      <c r="M100" s="903"/>
      <c r="N100" s="903"/>
      <c r="O100" s="903"/>
      <c r="P100" s="903"/>
      <c r="Q100" s="208"/>
      <c r="R100" s="900" t="str">
        <f>'HVAC Efficiency Tables'!$Y127</f>
        <v/>
      </c>
      <c r="S100" s="901"/>
      <c r="T100" s="901"/>
      <c r="U100" s="902"/>
      <c r="V100" s="382"/>
      <c r="W100" s="900" t="str">
        <f>'HVAC Efficiency Tables'!$Z127</f>
        <v/>
      </c>
      <c r="X100" s="901"/>
      <c r="Y100" s="901"/>
      <c r="Z100" s="901"/>
      <c r="AA100" s="901"/>
      <c r="AB100" s="902"/>
      <c r="AC100" s="204"/>
      <c r="AD100" s="890"/>
      <c r="AE100" s="890"/>
      <c r="AF100" s="890"/>
      <c r="AG100" s="890"/>
      <c r="AH100" s="333"/>
      <c r="AI100" s="64"/>
      <c r="AJ100" s="43" t="str">
        <f>IF(OR(D100="",AW100="Ineligible"),"",IF(OR(F100=Lists!$I$11,F100=Lists!$I$16,F100=Lists!$J$12,F100=Lists!$I$13,F100=Lists!$I$14),"EER",IF(OR(F100=Lists!$I$17,F100=Lists!$I$18),"kW/ton",IF(D100*12000&lt;65000,"SEER","EER"))))</f>
        <v/>
      </c>
      <c r="AK100" s="64"/>
      <c r="AL100" s="43" t="str">
        <f>IF(OR(B100="",AW100="Ineligible",AR100="N/A"),"",IF(OR(F100=Lists!$I$16,F100=Lists!$I$17,F100=Lists!$I$18),"",IF(D100&lt;=5,"EER","IEER")))</f>
        <v/>
      </c>
      <c r="AM100" s="43"/>
      <c r="AN100" s="43"/>
      <c r="AO100" s="204"/>
      <c r="AP100" s="55" t="str">
        <f>IFERROR(IF(OR(D100="",F100="",W100="",R100="",W100="Please Select",R100="Please Select"),"",VLOOKUP('HVAC Efficiency Tables'!X127&amp;R100&amp;W100,HVACEfficiencies,3,FALSE)),"")</f>
        <v/>
      </c>
      <c r="AQ100" s="43" t="str">
        <f>IF(OR(AP100="N/A",AP100=""),"",IF(OR(F100=Lists!$I$11,F100=Lists!$I$16,F100=Lists!$J$12,F100=Lists!$I$13,F100=Lists!$I$14),"EER",IF(OR(F100=Lists!$I$17,F100=Lists!$I$18),"kW/ton",IF(D100*12000&lt;65000,"SEER","EER"))))</f>
        <v/>
      </c>
      <c r="AR100" s="55" t="str">
        <f>IFERROR(IF(OR(D100="",F100="",W100="",R100="",W100="Please Select",R100="Please Select"),"",VLOOKUP('HVAC Efficiency Tables'!X127&amp;R100&amp;W100,HVACEfficiencies,8,FALSE)),"")</f>
        <v/>
      </c>
      <c r="AS100" s="43" t="str">
        <f>IF(OR(AR100="N/A",AR100=""),"",IF(OR(F100=Lists!$I$16,F100=Lists!$I$17,F100=Lists!$I$18),"",IF(D100&lt;=5,"EER","IEER")))</f>
        <v/>
      </c>
      <c r="AT100" s="43"/>
      <c r="AU100" s="43"/>
      <c r="AV100" s="43"/>
      <c r="AW100" s="894" t="str">
        <f t="shared" si="67"/>
        <v/>
      </c>
      <c r="AX100" s="894"/>
      <c r="AY100" s="463" t="str">
        <f>IFERROR(IF(OR(D100="",F100="",W100="",R100="",W100="Please Select",R100="Please Select"),"",VLOOKUP('HVAC Efficiency Tables'!X127&amp;R100&amp;W100,HVACEfficiencies,5,FALSE)),"")</f>
        <v/>
      </c>
      <c r="AZ100" s="420" t="str">
        <f>IF(OR(AY100="N/A",AY100=""),"",IF(F100=Lists!$I$16,"EER",IF(OR(F100=Lists!$I$17,F100=Lists!$I$18),"kW/ton",IF(D100*12000&lt;65000,"SEER","EER"))))</f>
        <v/>
      </c>
      <c r="BA100" s="463" t="str">
        <f>IFERROR(IF(OR(D100="",F100="",W100="",R100="",W100="Please Select",R100="Please Select"),"",VLOOKUP('HVAC Efficiency Tables'!X127&amp;R100&amp;W100,HVACEfficiencies,9,FALSE)),"")</f>
        <v/>
      </c>
      <c r="BB100" s="420" t="str">
        <f>IF(OR(AY100="N/A",AY100=""),"",IF(OR(F100=Lists!$I$16,F100=Lists!$I$17,F100=Lists!$I$18),"",IF(D100&lt;=5,"EER","IEER")))</f>
        <v/>
      </c>
      <c r="BC100" s="706"/>
      <c r="BD100" s="706"/>
      <c r="BE100" s="904" t="str">
        <f t="shared" si="68"/>
        <v/>
      </c>
      <c r="BF100" s="904"/>
      <c r="BG100" s="157" t="s">
        <v>142</v>
      </c>
      <c r="BH100" s="895" t="str">
        <f t="shared" si="69"/>
        <v/>
      </c>
      <c r="BI100" s="895"/>
      <c r="BJ100" s="582"/>
      <c r="BQ100" s="298" t="e">
        <f>VLOOKUP('HVAC Efficiency Tables'!X127&amp;R100&amp;W100,HVACEfficiencies,7,FALSE)</f>
        <v>#N/A</v>
      </c>
      <c r="BR100" s="298">
        <f t="shared" si="70"/>
        <v>599</v>
      </c>
      <c r="BS100" s="298" t="e">
        <f t="shared" si="71"/>
        <v>#N/A</v>
      </c>
      <c r="BT100" s="298" t="e">
        <f t="shared" si="72"/>
        <v>#N/A</v>
      </c>
      <c r="BU100" s="298" t="e">
        <f t="shared" si="73"/>
        <v>#N/A</v>
      </c>
      <c r="BV100" s="617">
        <f t="shared" si="74"/>
        <v>0</v>
      </c>
      <c r="BW100" s="301">
        <f t="shared" si="75"/>
        <v>0</v>
      </c>
      <c r="BY100" s="94"/>
      <c r="BZ100" s="94"/>
      <c r="CA100" s="94"/>
      <c r="CB100" s="900" t="str">
        <f>'HVAC Efficiency Tables'!$Y127</f>
        <v/>
      </c>
      <c r="CC100" s="901"/>
      <c r="CD100" s="901"/>
      <c r="CE100" s="902"/>
      <c r="CF100" s="382"/>
      <c r="CG100" s="900" t="str">
        <f>'HVAC Efficiency Tables'!$Z127</f>
        <v/>
      </c>
      <c r="CH100" s="901"/>
      <c r="CI100" s="901"/>
      <c r="CJ100" s="901"/>
      <c r="CK100" s="901"/>
      <c r="CL100" s="902"/>
      <c r="CM100" s="94"/>
      <c r="CN100" s="94"/>
      <c r="CO100" s="94"/>
      <c r="CP100" s="94"/>
      <c r="CQ100" s="94"/>
      <c r="CR100" s="94"/>
      <c r="CS100" s="94"/>
      <c r="CT100" s="94"/>
      <c r="CU100" s="94"/>
      <c r="CV100" s="94"/>
      <c r="CW100" s="94"/>
      <c r="CX100" s="94"/>
      <c r="CY100" s="94"/>
      <c r="CZ100" s="94"/>
    </row>
    <row r="101" spans="1:178" ht="14.1" hidden="1" customHeight="1">
      <c r="A101" s="54"/>
      <c r="B101" s="64"/>
      <c r="C101" s="333"/>
      <c r="D101" s="64"/>
      <c r="E101" s="231"/>
      <c r="F101" s="903"/>
      <c r="G101" s="903"/>
      <c r="H101" s="903"/>
      <c r="I101" s="903"/>
      <c r="J101" s="903"/>
      <c r="K101" s="903"/>
      <c r="L101" s="903"/>
      <c r="M101" s="903"/>
      <c r="N101" s="903"/>
      <c r="O101" s="903"/>
      <c r="P101" s="903"/>
      <c r="Q101" s="208"/>
      <c r="R101" s="900" t="str">
        <f>'HVAC Efficiency Tables'!$Y128</f>
        <v/>
      </c>
      <c r="S101" s="901"/>
      <c r="T101" s="901"/>
      <c r="U101" s="902"/>
      <c r="V101" s="382"/>
      <c r="W101" s="900" t="str">
        <f>'HVAC Efficiency Tables'!$Z128</f>
        <v/>
      </c>
      <c r="X101" s="901"/>
      <c r="Y101" s="901"/>
      <c r="Z101" s="901"/>
      <c r="AA101" s="901"/>
      <c r="AB101" s="902"/>
      <c r="AC101" s="204"/>
      <c r="AD101" s="890"/>
      <c r="AE101" s="890"/>
      <c r="AF101" s="890"/>
      <c r="AG101" s="890"/>
      <c r="AH101" s="333"/>
      <c r="AI101" s="64"/>
      <c r="AJ101" s="43" t="str">
        <f>IF(OR(D101="",AW101="Ineligible"),"",IF(OR(F101=Lists!$I$11,F101=Lists!$I$16,F101=Lists!$J$12,F101=Lists!$I$13,F101=Lists!$I$14),"EER",IF(OR(F101=Lists!$I$17,F101=Lists!$I$18),"kW/ton",IF(D101*12000&lt;65000,"SEER","EER"))))</f>
        <v/>
      </c>
      <c r="AK101" s="64"/>
      <c r="AL101" s="43" t="str">
        <f>IF(OR(B101="",AW101="Ineligible",AR101="N/A"),"",IF(OR(F101=Lists!$I$16,F101=Lists!$I$17,F101=Lists!$I$18),"",IF(D101&lt;=5,"EER","IEER")))</f>
        <v/>
      </c>
      <c r="AM101" s="43"/>
      <c r="AN101" s="43"/>
      <c r="AO101" s="204"/>
      <c r="AP101" s="55" t="str">
        <f>IFERROR(IF(OR(D101="",F101="",W101="",R101="",W101="Please Select",R101="Please Select"),"",VLOOKUP('HVAC Efficiency Tables'!X128&amp;R101&amp;W101,HVACEfficiencies,3,FALSE)),"")</f>
        <v/>
      </c>
      <c r="AQ101" s="43" t="str">
        <f>IF(OR(AP101="N/A",AP101=""),"",IF(OR(F101=Lists!$I$11,F101=Lists!$I$16,F101=Lists!$J$12,F101=Lists!$I$13,F101=Lists!$I$14),"EER",IF(OR(F101=Lists!$I$17,F101=Lists!$I$18),"kW/ton",IF(D101*12000&lt;65000,"SEER","EER"))))</f>
        <v/>
      </c>
      <c r="AR101" s="55" t="str">
        <f>IFERROR(IF(OR(D101="",F101="",W101="",R101="",W101="Please Select",R101="Please Select"),"",VLOOKUP('HVAC Efficiency Tables'!X128&amp;R101&amp;W101,HVACEfficiencies,8,FALSE)),"")</f>
        <v/>
      </c>
      <c r="AS101" s="43" t="str">
        <f>IF(OR(AR101="N/A",AR101=""),"",IF(OR(F101=Lists!$I$16,F101=Lists!$I$17,F101=Lists!$I$18),"",IF(D101&lt;=5,"EER","IEER")))</f>
        <v/>
      </c>
      <c r="AT101" s="43"/>
      <c r="AU101" s="43"/>
      <c r="AV101" s="43"/>
      <c r="AW101" s="894" t="str">
        <f t="shared" si="67"/>
        <v/>
      </c>
      <c r="AX101" s="894"/>
      <c r="AY101" s="463" t="str">
        <f>IFERROR(IF(OR(D101="",F101="",W101="",R101="",W101="Please Select",R101="Please Select"),"",VLOOKUP('HVAC Efficiency Tables'!X128&amp;R101&amp;W101,HVACEfficiencies,5,FALSE)),"")</f>
        <v/>
      </c>
      <c r="AZ101" s="420" t="str">
        <f>IF(OR(AY101="N/A",AY101=""),"",IF(F101=Lists!$I$16,"EER",IF(OR(F101=Lists!$I$17,F101=Lists!$I$18),"kW/ton",IF(D101*12000&lt;65000,"SEER","EER"))))</f>
        <v/>
      </c>
      <c r="BA101" s="463" t="str">
        <f>IFERROR(IF(OR(D101="",F101="",W101="",R101="",W101="Please Select",R101="Please Select"),"",VLOOKUP('HVAC Efficiency Tables'!X128&amp;R101&amp;W101,HVACEfficiencies,9,FALSE)),"")</f>
        <v/>
      </c>
      <c r="BB101" s="420" t="str">
        <f>IF(OR(AY101="N/A",AY101=""),"",IF(OR(F101=Lists!$I$16,F101=Lists!$I$17,F101=Lists!$I$18),"",IF(D101&lt;=5,"EER","IEER")))</f>
        <v/>
      </c>
      <c r="BC101" s="706"/>
      <c r="BD101" s="706"/>
      <c r="BE101" s="904" t="str">
        <f t="shared" si="68"/>
        <v/>
      </c>
      <c r="BF101" s="904"/>
      <c r="BG101" s="157" t="s">
        <v>142</v>
      </c>
      <c r="BH101" s="895" t="str">
        <f t="shared" si="69"/>
        <v/>
      </c>
      <c r="BI101" s="895"/>
      <c r="BJ101" s="582"/>
      <c r="BQ101" s="298" t="e">
        <f>VLOOKUP('HVAC Efficiency Tables'!X128&amp;R101&amp;W101,HVACEfficiencies,7,FALSE)</f>
        <v>#N/A</v>
      </c>
      <c r="BR101" s="298">
        <f t="shared" si="70"/>
        <v>599</v>
      </c>
      <c r="BS101" s="298" t="e">
        <f t="shared" si="71"/>
        <v>#N/A</v>
      </c>
      <c r="BT101" s="298" t="e">
        <f t="shared" si="72"/>
        <v>#N/A</v>
      </c>
      <c r="BU101" s="298" t="e">
        <f t="shared" si="73"/>
        <v>#N/A</v>
      </c>
      <c r="BV101" s="617">
        <f t="shared" si="74"/>
        <v>0</v>
      </c>
      <c r="BW101" s="301">
        <f t="shared" si="75"/>
        <v>0</v>
      </c>
      <c r="BY101" s="94"/>
      <c r="BZ101" s="94"/>
      <c r="CA101" s="94"/>
      <c r="CB101" s="900" t="str">
        <f>'HVAC Efficiency Tables'!$Y128</f>
        <v/>
      </c>
      <c r="CC101" s="901"/>
      <c r="CD101" s="901"/>
      <c r="CE101" s="902"/>
      <c r="CF101" s="382"/>
      <c r="CG101" s="900" t="str">
        <f>'HVAC Efficiency Tables'!$Z128</f>
        <v/>
      </c>
      <c r="CH101" s="901"/>
      <c r="CI101" s="901"/>
      <c r="CJ101" s="901"/>
      <c r="CK101" s="901"/>
      <c r="CL101" s="902"/>
      <c r="CM101" s="94"/>
      <c r="CN101" s="94"/>
      <c r="CO101" s="94"/>
      <c r="CP101" s="94"/>
      <c r="CQ101" s="94"/>
      <c r="CR101" s="94"/>
      <c r="CS101" s="94"/>
      <c r="CT101" s="94"/>
      <c r="CU101" s="94"/>
      <c r="CV101" s="94"/>
      <c r="CW101" s="94"/>
      <c r="CX101" s="94"/>
      <c r="CY101" s="94"/>
      <c r="CZ101" s="94"/>
    </row>
    <row r="102" spans="1:178" ht="14.1" hidden="1" customHeight="1">
      <c r="A102" s="54"/>
      <c r="B102" s="64"/>
      <c r="C102" s="333"/>
      <c r="D102" s="64"/>
      <c r="E102" s="231"/>
      <c r="F102" s="903"/>
      <c r="G102" s="903"/>
      <c r="H102" s="903"/>
      <c r="I102" s="903"/>
      <c r="J102" s="903"/>
      <c r="K102" s="903"/>
      <c r="L102" s="903"/>
      <c r="M102" s="903"/>
      <c r="N102" s="903"/>
      <c r="O102" s="903"/>
      <c r="P102" s="903"/>
      <c r="Q102" s="208"/>
      <c r="R102" s="900" t="str">
        <f>'HVAC Efficiency Tables'!$Y129</f>
        <v/>
      </c>
      <c r="S102" s="901"/>
      <c r="T102" s="901"/>
      <c r="U102" s="902"/>
      <c r="V102" s="382"/>
      <c r="W102" s="900" t="str">
        <f>'HVAC Efficiency Tables'!$Z129</f>
        <v/>
      </c>
      <c r="X102" s="901"/>
      <c r="Y102" s="901"/>
      <c r="Z102" s="901"/>
      <c r="AA102" s="901"/>
      <c r="AB102" s="902"/>
      <c r="AC102" s="204"/>
      <c r="AD102" s="890"/>
      <c r="AE102" s="890"/>
      <c r="AF102" s="890"/>
      <c r="AG102" s="890"/>
      <c r="AH102" s="333"/>
      <c r="AI102" s="64"/>
      <c r="AJ102" s="43" t="str">
        <f>IF(OR(D102="",AW102="Ineligible"),"",IF(OR(F102=Lists!$I$11,F102=Lists!$I$16,F102=Lists!$J$12,F102=Lists!$I$13,F102=Lists!$I$14),"EER",IF(OR(F102=Lists!$I$17,F102=Lists!$I$18),"kW/ton",IF(D102*12000&lt;65000,"SEER","EER"))))</f>
        <v/>
      </c>
      <c r="AK102" s="64"/>
      <c r="AL102" s="43" t="str">
        <f>IF(OR(B102="",AW102="Ineligible",AR102="N/A"),"",IF(OR(F102=Lists!$I$16,F102=Lists!$I$17,F102=Lists!$I$18),"",IF(D102&lt;=5,"EER","IEER")))</f>
        <v/>
      </c>
      <c r="AM102" s="43"/>
      <c r="AN102" s="43"/>
      <c r="AO102" s="204"/>
      <c r="AP102" s="55" t="str">
        <f>IFERROR(IF(OR(D102="",F102="",W102="",R102="",W102="Please Select",R102="Please Select"),"",VLOOKUP('HVAC Efficiency Tables'!X129&amp;R102&amp;W102,HVACEfficiencies,3,FALSE)),"")</f>
        <v/>
      </c>
      <c r="AQ102" s="43" t="str">
        <f>IF(OR(AP102="N/A",AP102=""),"",IF(OR(F102=Lists!$I$11,F102=Lists!$I$16,F102=Lists!$J$12,F102=Lists!$I$13,F102=Lists!$I$14),"EER",IF(OR(F102=Lists!$I$17,F102=Lists!$I$18),"kW/ton",IF(D102*12000&lt;65000,"SEER","EER"))))</f>
        <v/>
      </c>
      <c r="AR102" s="55" t="str">
        <f>IFERROR(IF(OR(D102="",F102="",W102="",R102="",W102="Please Select",R102="Please Select"),"",VLOOKUP('HVAC Efficiency Tables'!X129&amp;R102&amp;W102,HVACEfficiencies,8,FALSE)),"")</f>
        <v/>
      </c>
      <c r="AS102" s="43" t="str">
        <f>IF(OR(AR102="N/A",AR102=""),"",IF(OR(F102=Lists!$I$16,F102=Lists!$I$17,F102=Lists!$I$18),"",IF(D102&lt;=5,"EER","IEER")))</f>
        <v/>
      </c>
      <c r="AT102" s="43"/>
      <c r="AU102" s="43"/>
      <c r="AV102" s="43"/>
      <c r="AW102" s="894" t="str">
        <f t="shared" si="67"/>
        <v/>
      </c>
      <c r="AX102" s="894"/>
      <c r="AY102" s="463" t="str">
        <f>IFERROR(IF(OR(D102="",F102="",W102="",R102="",W102="Please Select",R102="Please Select"),"",VLOOKUP('HVAC Efficiency Tables'!X129&amp;R102&amp;W102,HVACEfficiencies,5,FALSE)),"")</f>
        <v/>
      </c>
      <c r="AZ102" s="420" t="str">
        <f>IF(OR(AY102="N/A",AY102=""),"",IF(F102=Lists!$I$16,"EER",IF(OR(F102=Lists!$I$17,F102=Lists!$I$18),"kW/ton",IF(D102*12000&lt;65000,"SEER","EER"))))</f>
        <v/>
      </c>
      <c r="BA102" s="463" t="str">
        <f>IFERROR(IF(OR(D102="",F102="",W102="",R102="",W102="Please Select",R102="Please Select"),"",VLOOKUP('HVAC Efficiency Tables'!X129&amp;R102&amp;W102,HVACEfficiencies,9,FALSE)),"")</f>
        <v/>
      </c>
      <c r="BB102" s="420" t="str">
        <f>IF(OR(AY102="N/A",AY102=""),"",IF(OR(F102=Lists!$I$16,F102=Lists!$I$17,F102=Lists!$I$18),"",IF(D102&lt;=5,"EER","IEER")))</f>
        <v/>
      </c>
      <c r="BC102" s="706"/>
      <c r="BD102" s="706"/>
      <c r="BE102" s="904" t="str">
        <f t="shared" si="68"/>
        <v/>
      </c>
      <c r="BF102" s="904"/>
      <c r="BG102" s="157" t="s">
        <v>142</v>
      </c>
      <c r="BH102" s="895" t="str">
        <f t="shared" si="69"/>
        <v/>
      </c>
      <c r="BI102" s="895"/>
      <c r="BJ102" s="582"/>
      <c r="BQ102" s="298" t="e">
        <f>VLOOKUP('HVAC Efficiency Tables'!X129&amp;R102&amp;W102,HVACEfficiencies,7,FALSE)</f>
        <v>#N/A</v>
      </c>
      <c r="BR102" s="298">
        <f t="shared" si="70"/>
        <v>599</v>
      </c>
      <c r="BS102" s="298" t="e">
        <f t="shared" si="71"/>
        <v>#N/A</v>
      </c>
      <c r="BT102" s="298" t="e">
        <f t="shared" si="72"/>
        <v>#N/A</v>
      </c>
      <c r="BU102" s="298" t="e">
        <f t="shared" si="73"/>
        <v>#N/A</v>
      </c>
      <c r="BV102" s="617">
        <f t="shared" si="74"/>
        <v>0</v>
      </c>
      <c r="BW102" s="301">
        <f t="shared" si="75"/>
        <v>0</v>
      </c>
      <c r="BY102" s="94"/>
      <c r="BZ102" s="94"/>
      <c r="CA102" s="94"/>
      <c r="CB102" s="900" t="str">
        <f>'HVAC Efficiency Tables'!$Y129</f>
        <v/>
      </c>
      <c r="CC102" s="901"/>
      <c r="CD102" s="901"/>
      <c r="CE102" s="902"/>
      <c r="CF102" s="382"/>
      <c r="CG102" s="900" t="str">
        <f>'HVAC Efficiency Tables'!$Z129</f>
        <v/>
      </c>
      <c r="CH102" s="901"/>
      <c r="CI102" s="901"/>
      <c r="CJ102" s="901"/>
      <c r="CK102" s="901"/>
      <c r="CL102" s="902"/>
      <c r="CM102" s="94"/>
      <c r="CN102" s="94"/>
      <c r="CO102" s="94"/>
      <c r="CP102" s="94"/>
      <c r="CQ102" s="94"/>
      <c r="CR102" s="94"/>
      <c r="CS102" s="94"/>
      <c r="CT102" s="94"/>
      <c r="CU102" s="94"/>
      <c r="CV102" s="94"/>
      <c r="CW102" s="94"/>
      <c r="CX102" s="94"/>
      <c r="CY102" s="94"/>
      <c r="CZ102" s="94"/>
    </row>
    <row r="103" spans="1:178" ht="14.1" hidden="1" customHeight="1">
      <c r="A103" s="54"/>
      <c r="B103" s="64"/>
      <c r="C103" s="333"/>
      <c r="D103" s="64"/>
      <c r="E103" s="231"/>
      <c r="F103" s="903"/>
      <c r="G103" s="903"/>
      <c r="H103" s="903"/>
      <c r="I103" s="903"/>
      <c r="J103" s="903"/>
      <c r="K103" s="903"/>
      <c r="L103" s="903"/>
      <c r="M103" s="903"/>
      <c r="N103" s="903"/>
      <c r="O103" s="903"/>
      <c r="P103" s="903"/>
      <c r="Q103" s="208"/>
      <c r="R103" s="900" t="str">
        <f>'HVAC Efficiency Tables'!$Y130</f>
        <v/>
      </c>
      <c r="S103" s="901"/>
      <c r="T103" s="901"/>
      <c r="U103" s="902"/>
      <c r="V103" s="382"/>
      <c r="W103" s="900" t="str">
        <f>'HVAC Efficiency Tables'!$Z130</f>
        <v/>
      </c>
      <c r="X103" s="901"/>
      <c r="Y103" s="901"/>
      <c r="Z103" s="901"/>
      <c r="AA103" s="901"/>
      <c r="AB103" s="902"/>
      <c r="AC103" s="204"/>
      <c r="AD103" s="890"/>
      <c r="AE103" s="890"/>
      <c r="AF103" s="890"/>
      <c r="AG103" s="890"/>
      <c r="AH103" s="333"/>
      <c r="AI103" s="64"/>
      <c r="AJ103" s="43" t="str">
        <f>IF(OR(D103="",AW103="Ineligible"),"",IF(OR(F103=Lists!$I$11,F103=Lists!$I$16,F103=Lists!$J$12,F103=Lists!$I$13,F103=Lists!$I$14),"EER",IF(OR(F103=Lists!$I$17,F103=Lists!$I$18),"kW/ton",IF(D103*12000&lt;65000,"SEER","EER"))))</f>
        <v/>
      </c>
      <c r="AK103" s="64"/>
      <c r="AL103" s="43" t="str">
        <f>IF(OR(B103="",AW103="Ineligible",AR103="N/A"),"",IF(OR(F103=Lists!$I$16,F103=Lists!$I$17,F103=Lists!$I$18),"",IF(D103&lt;=5,"EER","IEER")))</f>
        <v/>
      </c>
      <c r="AM103" s="43"/>
      <c r="AN103" s="43"/>
      <c r="AO103" s="204"/>
      <c r="AP103" s="55" t="str">
        <f>IFERROR(IF(OR(D103="",F103="",W103="",R103="",W103="Please Select",R103="Please Select"),"",VLOOKUP('HVAC Efficiency Tables'!X130&amp;R103&amp;W103,HVACEfficiencies,3,FALSE)),"")</f>
        <v/>
      </c>
      <c r="AQ103" s="43" t="str">
        <f>IF(OR(AP103="N/A",AP103=""),"",IF(OR(F103=Lists!$I$11,F103=Lists!$I$16,F103=Lists!$J$12,F103=Lists!$I$13,F103=Lists!$I$14),"EER",IF(OR(F103=Lists!$I$17,F103=Lists!$I$18),"kW/ton",IF(D103*12000&lt;65000,"SEER","EER"))))</f>
        <v/>
      </c>
      <c r="AR103" s="55" t="str">
        <f>IFERROR(IF(OR(D103="",F103="",W103="",R103="",W103="Please Select",R103="Please Select"),"",VLOOKUP('HVAC Efficiency Tables'!X130&amp;R103&amp;W103,HVACEfficiencies,8,FALSE)),"")</f>
        <v/>
      </c>
      <c r="AS103" s="43" t="str">
        <f>IF(OR(AR103="N/A",AR103=""),"",IF(OR(F103=Lists!$I$16,F103=Lists!$I$17,F103=Lists!$I$18),"",IF(D103&lt;=5,"EER","IEER")))</f>
        <v/>
      </c>
      <c r="AT103" s="43"/>
      <c r="AU103" s="43"/>
      <c r="AV103" s="43"/>
      <c r="AW103" s="894" t="str">
        <f t="shared" si="67"/>
        <v/>
      </c>
      <c r="AX103" s="894"/>
      <c r="AY103" s="463" t="str">
        <f>IFERROR(IF(OR(D103="",F103="",W103="",R103="",W103="Please Select",R103="Please Select"),"",VLOOKUP('HVAC Efficiency Tables'!X130&amp;R103&amp;W103,HVACEfficiencies,5,FALSE)),"")</f>
        <v/>
      </c>
      <c r="AZ103" s="420" t="str">
        <f>IF(OR(AY103="N/A",AY103=""),"",IF(F103=Lists!$I$16,"EER",IF(OR(F103=Lists!$I$17,F103=Lists!$I$18),"kW/ton",IF(D103*12000&lt;65000,"SEER","EER"))))</f>
        <v/>
      </c>
      <c r="BA103" s="463" t="str">
        <f>IFERROR(IF(OR(D103="",F103="",W103="",R103="",W103="Please Select",R103="Please Select"),"",VLOOKUP('HVAC Efficiency Tables'!X130&amp;R103&amp;W103,HVACEfficiencies,9,FALSE)),"")</f>
        <v/>
      </c>
      <c r="BB103" s="420" t="str">
        <f>IF(OR(AY103="N/A",AY103=""),"",IF(OR(F103=Lists!$I$16,F103=Lists!$I$17,F103=Lists!$I$18),"",IF(D103&lt;=5,"EER","IEER")))</f>
        <v/>
      </c>
      <c r="BC103" s="706"/>
      <c r="BD103" s="706"/>
      <c r="BE103" s="904" t="str">
        <f t="shared" si="68"/>
        <v/>
      </c>
      <c r="BF103" s="904"/>
      <c r="BG103" s="157" t="s">
        <v>142</v>
      </c>
      <c r="BH103" s="895" t="str">
        <f t="shared" si="69"/>
        <v/>
      </c>
      <c r="BI103" s="895"/>
      <c r="BJ103" s="582"/>
      <c r="BQ103" s="298" t="e">
        <f>VLOOKUP('HVAC Efficiency Tables'!X130&amp;R103&amp;W103,HVACEfficiencies,7,FALSE)</f>
        <v>#N/A</v>
      </c>
      <c r="BR103" s="298">
        <f t="shared" si="70"/>
        <v>599</v>
      </c>
      <c r="BS103" s="298" t="e">
        <f t="shared" si="71"/>
        <v>#N/A</v>
      </c>
      <c r="BT103" s="298" t="e">
        <f t="shared" si="72"/>
        <v>#N/A</v>
      </c>
      <c r="BU103" s="298" t="e">
        <f t="shared" si="73"/>
        <v>#N/A</v>
      </c>
      <c r="BV103" s="617">
        <f t="shared" si="74"/>
        <v>0</v>
      </c>
      <c r="BW103" s="301">
        <f t="shared" si="75"/>
        <v>0</v>
      </c>
      <c r="BY103" s="94"/>
      <c r="BZ103" s="94"/>
      <c r="CA103" s="94"/>
      <c r="CB103" s="900" t="str">
        <f>'HVAC Efficiency Tables'!$Y130</f>
        <v/>
      </c>
      <c r="CC103" s="901"/>
      <c r="CD103" s="901"/>
      <c r="CE103" s="902"/>
      <c r="CF103" s="382"/>
      <c r="CG103" s="900" t="str">
        <f>'HVAC Efficiency Tables'!$Z130</f>
        <v/>
      </c>
      <c r="CH103" s="901"/>
      <c r="CI103" s="901"/>
      <c r="CJ103" s="901"/>
      <c r="CK103" s="901"/>
      <c r="CL103" s="902"/>
      <c r="CM103" s="94"/>
      <c r="CN103" s="94"/>
      <c r="CO103" s="94"/>
      <c r="CP103" s="94"/>
      <c r="CQ103" s="94"/>
      <c r="CR103" s="94"/>
      <c r="CS103" s="94"/>
      <c r="CT103" s="94"/>
      <c r="CU103" s="94"/>
      <c r="CV103" s="94"/>
      <c r="CW103" s="94"/>
      <c r="CX103" s="94"/>
      <c r="CY103" s="94"/>
      <c r="CZ103" s="94"/>
    </row>
    <row r="104" spans="1:178" ht="14.1" hidden="1" customHeight="1">
      <c r="A104" s="54"/>
      <c r="B104" s="64"/>
      <c r="C104" s="333"/>
      <c r="D104" s="64"/>
      <c r="E104" s="231"/>
      <c r="F104" s="903"/>
      <c r="G104" s="903"/>
      <c r="H104" s="903"/>
      <c r="I104" s="903"/>
      <c r="J104" s="903"/>
      <c r="K104" s="903"/>
      <c r="L104" s="903"/>
      <c r="M104" s="903"/>
      <c r="N104" s="903"/>
      <c r="O104" s="903"/>
      <c r="P104" s="903"/>
      <c r="Q104" s="208"/>
      <c r="R104" s="900" t="str">
        <f>'HVAC Efficiency Tables'!$Y131</f>
        <v/>
      </c>
      <c r="S104" s="901"/>
      <c r="T104" s="901"/>
      <c r="U104" s="902"/>
      <c r="V104" s="382"/>
      <c r="W104" s="900" t="str">
        <f>'HVAC Efficiency Tables'!$Z131</f>
        <v/>
      </c>
      <c r="X104" s="901"/>
      <c r="Y104" s="901"/>
      <c r="Z104" s="901"/>
      <c r="AA104" s="901"/>
      <c r="AB104" s="902"/>
      <c r="AC104" s="204"/>
      <c r="AD104" s="890"/>
      <c r="AE104" s="890"/>
      <c r="AF104" s="890"/>
      <c r="AG104" s="890"/>
      <c r="AH104" s="333"/>
      <c r="AI104" s="64"/>
      <c r="AJ104" s="43" t="str">
        <f>IF(OR(D104="",AW104="Ineligible"),"",IF(OR(F104=Lists!$I$11,F104=Lists!$I$16,F104=Lists!$J$12,F104=Lists!$I$13,F104=Lists!$I$14),"EER",IF(OR(F104=Lists!$I$17,F104=Lists!$I$18),"kW/ton",IF(D104*12000&lt;65000,"SEER","EER"))))</f>
        <v/>
      </c>
      <c r="AK104" s="64"/>
      <c r="AL104" s="43" t="str">
        <f>IF(OR(B104="",AW104="Ineligible",AR104="N/A"),"",IF(OR(F104=Lists!$I$16,F104=Lists!$I$17,F104=Lists!$I$18),"",IF(D104&lt;=5,"EER","IEER")))</f>
        <v/>
      </c>
      <c r="AM104" s="43"/>
      <c r="AN104" s="43"/>
      <c r="AO104" s="204"/>
      <c r="AP104" s="55" t="str">
        <f>IFERROR(IF(OR(D104="",F104="",W104="",R104="",W104="Please Select",R104="Please Select"),"",VLOOKUP('HVAC Efficiency Tables'!X131&amp;R104&amp;W104,HVACEfficiencies,3,FALSE)),"")</f>
        <v/>
      </c>
      <c r="AQ104" s="43" t="str">
        <f>IF(OR(AP104="N/A",AP104=""),"",IF(OR(F104=Lists!$I$11,F104=Lists!$I$16,F104=Lists!$J$12,F104=Lists!$I$13,F104=Lists!$I$14),"EER",IF(OR(F104=Lists!$I$17,F104=Lists!$I$18),"kW/ton",IF(D104*12000&lt;65000,"SEER","EER"))))</f>
        <v/>
      </c>
      <c r="AR104" s="55" t="str">
        <f>IFERROR(IF(OR(D104="",F104="",W104="",R104="",W104="Please Select",R104="Please Select"),"",VLOOKUP('HVAC Efficiency Tables'!X131&amp;R104&amp;W104,HVACEfficiencies,8,FALSE)),"")</f>
        <v/>
      </c>
      <c r="AS104" s="43" t="str">
        <f>IF(OR(AR104="N/A",AR104=""),"",IF(OR(F104=Lists!$I$16,F104=Lists!$I$17,F104=Lists!$I$18),"",IF(D104&lt;=5,"EER","IEER")))</f>
        <v/>
      </c>
      <c r="AT104" s="43"/>
      <c r="AU104" s="43"/>
      <c r="AV104" s="43"/>
      <c r="AW104" s="894" t="str">
        <f t="shared" si="67"/>
        <v/>
      </c>
      <c r="AX104" s="894"/>
      <c r="AY104" s="463" t="str">
        <f>IFERROR(IF(OR(D104="",F104="",W104="",R104="",W104="Please Select",R104="Please Select"),"",VLOOKUP('HVAC Efficiency Tables'!X131&amp;R104&amp;W104,HVACEfficiencies,5,FALSE)),"")</f>
        <v/>
      </c>
      <c r="AZ104" s="420" t="str">
        <f>IF(OR(AY104="N/A",AY104=""),"",IF(F104=Lists!$I$16,"EER",IF(OR(F104=Lists!$I$17,F104=Lists!$I$18),"kW/ton",IF(D104*12000&lt;65000,"SEER","EER"))))</f>
        <v/>
      </c>
      <c r="BA104" s="463" t="str">
        <f>IFERROR(IF(OR(D104="",F104="",W104="",R104="",W104="Please Select",R104="Please Select"),"",VLOOKUP('HVAC Efficiency Tables'!X131&amp;R104&amp;W104,HVACEfficiencies,9,FALSE)),"")</f>
        <v/>
      </c>
      <c r="BB104" s="420" t="str">
        <f>IF(OR(AY104="N/A",AY104=""),"",IF(OR(F104=Lists!$I$16,F104=Lists!$I$17,F104=Lists!$I$18),"",IF(D104&lt;=5,"EER","IEER")))</f>
        <v/>
      </c>
      <c r="BC104" s="706"/>
      <c r="BD104" s="706"/>
      <c r="BE104" s="904" t="str">
        <f t="shared" si="68"/>
        <v/>
      </c>
      <c r="BF104" s="904"/>
      <c r="BG104" s="157" t="s">
        <v>142</v>
      </c>
      <c r="BH104" s="895" t="str">
        <f t="shared" si="69"/>
        <v/>
      </c>
      <c r="BI104" s="895"/>
      <c r="BJ104" s="582"/>
      <c r="BQ104" s="298" t="e">
        <f>VLOOKUP('HVAC Efficiency Tables'!X131&amp;R104&amp;W104,HVACEfficiencies,7,FALSE)</f>
        <v>#N/A</v>
      </c>
      <c r="BR104" s="298">
        <f t="shared" si="70"/>
        <v>599</v>
      </c>
      <c r="BS104" s="298" t="e">
        <f t="shared" si="71"/>
        <v>#N/A</v>
      </c>
      <c r="BT104" s="298" t="e">
        <f t="shared" si="72"/>
        <v>#N/A</v>
      </c>
      <c r="BU104" s="298" t="e">
        <f t="shared" si="73"/>
        <v>#N/A</v>
      </c>
      <c r="BV104" s="617">
        <f t="shared" si="74"/>
        <v>0</v>
      </c>
      <c r="BW104" s="301">
        <f t="shared" si="75"/>
        <v>0</v>
      </c>
      <c r="BY104" s="94"/>
      <c r="BZ104" s="94"/>
      <c r="CA104" s="94"/>
      <c r="CB104" s="900" t="str">
        <f>'HVAC Efficiency Tables'!$Y131</f>
        <v/>
      </c>
      <c r="CC104" s="901"/>
      <c r="CD104" s="901"/>
      <c r="CE104" s="902"/>
      <c r="CF104" s="382"/>
      <c r="CG104" s="900" t="str">
        <f>'HVAC Efficiency Tables'!$Z131</f>
        <v/>
      </c>
      <c r="CH104" s="901"/>
      <c r="CI104" s="901"/>
      <c r="CJ104" s="901"/>
      <c r="CK104" s="901"/>
      <c r="CL104" s="902"/>
      <c r="CM104" s="94"/>
      <c r="CN104" s="94"/>
      <c r="CO104" s="94"/>
      <c r="CP104" s="94"/>
      <c r="CQ104" s="94"/>
      <c r="CR104" s="94"/>
      <c r="CS104" s="94"/>
      <c r="CT104" s="94"/>
      <c r="CU104" s="94"/>
      <c r="CV104" s="94"/>
      <c r="CW104" s="94"/>
      <c r="CX104" s="94"/>
      <c r="CY104" s="94"/>
      <c r="CZ104" s="94"/>
    </row>
    <row r="105" spans="1:178" ht="14.1" hidden="1" customHeight="1">
      <c r="A105" s="54"/>
      <c r="B105" s="64"/>
      <c r="C105" s="333"/>
      <c r="D105" s="64"/>
      <c r="E105" s="231"/>
      <c r="F105" s="903"/>
      <c r="G105" s="903"/>
      <c r="H105" s="903"/>
      <c r="I105" s="903"/>
      <c r="J105" s="903"/>
      <c r="K105" s="903"/>
      <c r="L105" s="903"/>
      <c r="M105" s="903"/>
      <c r="N105" s="903"/>
      <c r="O105" s="903"/>
      <c r="P105" s="903"/>
      <c r="Q105" s="208"/>
      <c r="R105" s="900" t="str">
        <f>'HVAC Efficiency Tables'!$Y132</f>
        <v/>
      </c>
      <c r="S105" s="901"/>
      <c r="T105" s="901"/>
      <c r="U105" s="902"/>
      <c r="V105" s="382"/>
      <c r="W105" s="900" t="str">
        <f>'HVAC Efficiency Tables'!$Z132</f>
        <v/>
      </c>
      <c r="X105" s="901"/>
      <c r="Y105" s="901"/>
      <c r="Z105" s="901"/>
      <c r="AA105" s="901"/>
      <c r="AB105" s="902"/>
      <c r="AC105" s="204"/>
      <c r="AD105" s="890"/>
      <c r="AE105" s="890"/>
      <c r="AF105" s="890"/>
      <c r="AG105" s="890"/>
      <c r="AH105" s="333"/>
      <c r="AI105" s="64"/>
      <c r="AJ105" s="43" t="str">
        <f>IF(OR(D105="",AW105="Ineligible"),"",IF(OR(F105=Lists!$I$11,F105=Lists!$I$16,F105=Lists!$J$12,F105=Lists!$I$13,F105=Lists!$I$14),"EER",IF(OR(F105=Lists!$I$17,F105=Lists!$I$18),"kW/ton",IF(D105*12000&lt;65000,"SEER","EER"))))</f>
        <v/>
      </c>
      <c r="AK105" s="64"/>
      <c r="AL105" s="43" t="str">
        <f>IF(OR(B105="",AW105="Ineligible",AR105="N/A"),"",IF(OR(F105=Lists!$I$16,F105=Lists!$I$17,F105=Lists!$I$18),"",IF(D105&lt;=5,"EER","IEER")))</f>
        <v/>
      </c>
      <c r="AM105" s="43"/>
      <c r="AN105" s="43"/>
      <c r="AO105" s="204"/>
      <c r="AP105" s="55" t="str">
        <f>IFERROR(IF(OR(D105="",F105="",W105="",R105="",W105="Please Select",R105="Please Select"),"",VLOOKUP('HVAC Efficiency Tables'!X132&amp;R105&amp;W105,HVACEfficiencies,3,FALSE)),"")</f>
        <v/>
      </c>
      <c r="AQ105" s="43" t="str">
        <f>IF(OR(AP105="N/A",AP105=""),"",IF(OR(F105=Lists!$I$11,F105=Lists!$I$16,F105=Lists!$J$12,F105=Lists!$I$13,F105=Lists!$I$14),"EER",IF(OR(F105=Lists!$I$17,F105=Lists!$I$18),"kW/ton",IF(D105*12000&lt;65000,"SEER","EER"))))</f>
        <v/>
      </c>
      <c r="AR105" s="55" t="str">
        <f>IFERROR(IF(OR(D105="",F105="",W105="",R105="",W105="Please Select",R105="Please Select"),"",VLOOKUP('HVAC Efficiency Tables'!X132&amp;R105&amp;W105,HVACEfficiencies,8,FALSE)),"")</f>
        <v/>
      </c>
      <c r="AS105" s="43" t="str">
        <f>IF(OR(AR105="N/A",AR105=""),"",IF(OR(F105=Lists!$I$16,F105=Lists!$I$17,F105=Lists!$I$18),"",IF(D105&lt;=5,"EER","IEER")))</f>
        <v/>
      </c>
      <c r="AT105" s="43"/>
      <c r="AU105" s="43"/>
      <c r="AV105" s="43"/>
      <c r="AW105" s="894" t="str">
        <f t="shared" si="67"/>
        <v/>
      </c>
      <c r="AX105" s="894"/>
      <c r="AY105" s="463" t="str">
        <f>IFERROR(IF(OR(D105="",F105="",W105="",R105="",W105="Please Select",R105="Please Select"),"",VLOOKUP('HVAC Efficiency Tables'!X132&amp;R105&amp;W105,HVACEfficiencies,5,FALSE)),"")</f>
        <v/>
      </c>
      <c r="AZ105" s="420" t="str">
        <f>IF(OR(AY105="N/A",AY105=""),"",IF(F105=Lists!$I$16,"EER",IF(OR(F105=Lists!$I$17,F105=Lists!$I$18),"kW/ton",IF(D105*12000&lt;65000,"SEER","EER"))))</f>
        <v/>
      </c>
      <c r="BA105" s="463" t="str">
        <f>IFERROR(IF(OR(D105="",F105="",W105="",R105="",W105="Please Select",R105="Please Select"),"",VLOOKUP('HVAC Efficiency Tables'!X132&amp;R105&amp;W105,HVACEfficiencies,9,FALSE)),"")</f>
        <v/>
      </c>
      <c r="BB105" s="420" t="str">
        <f>IF(OR(AY105="N/A",AY105=""),"",IF(OR(F105=Lists!$I$16,F105=Lists!$I$17,F105=Lists!$I$18),"",IF(D105&lt;=5,"EER","IEER")))</f>
        <v/>
      </c>
      <c r="BC105" s="706"/>
      <c r="BD105" s="706"/>
      <c r="BE105" s="904" t="str">
        <f t="shared" si="68"/>
        <v/>
      </c>
      <c r="BF105" s="904"/>
      <c r="BG105" s="157" t="s">
        <v>142</v>
      </c>
      <c r="BH105" s="895" t="str">
        <f t="shared" si="69"/>
        <v/>
      </c>
      <c r="BI105" s="895"/>
      <c r="BJ105" s="582"/>
      <c r="BQ105" s="298" t="e">
        <f>VLOOKUP('HVAC Efficiency Tables'!X132&amp;R105&amp;W105,HVACEfficiencies,7,FALSE)</f>
        <v>#N/A</v>
      </c>
      <c r="BR105" s="298">
        <f t="shared" si="70"/>
        <v>599</v>
      </c>
      <c r="BS105" s="298" t="e">
        <f t="shared" si="71"/>
        <v>#N/A</v>
      </c>
      <c r="BT105" s="298" t="e">
        <f t="shared" si="72"/>
        <v>#N/A</v>
      </c>
      <c r="BU105" s="298" t="e">
        <f t="shared" si="73"/>
        <v>#N/A</v>
      </c>
      <c r="BV105" s="617">
        <f t="shared" si="74"/>
        <v>0</v>
      </c>
      <c r="BW105" s="301">
        <f t="shared" si="75"/>
        <v>0</v>
      </c>
      <c r="BY105" s="94"/>
      <c r="BZ105" s="94"/>
      <c r="CA105" s="94"/>
      <c r="CB105" s="900" t="str">
        <f>'HVAC Efficiency Tables'!$Y132</f>
        <v/>
      </c>
      <c r="CC105" s="901"/>
      <c r="CD105" s="901"/>
      <c r="CE105" s="902"/>
      <c r="CF105" s="382"/>
      <c r="CG105" s="900" t="str">
        <f>'HVAC Efficiency Tables'!$Z132</f>
        <v/>
      </c>
      <c r="CH105" s="901"/>
      <c r="CI105" s="901"/>
      <c r="CJ105" s="901"/>
      <c r="CK105" s="901"/>
      <c r="CL105" s="902"/>
      <c r="CM105" s="94"/>
      <c r="CN105" s="94"/>
      <c r="CO105" s="94"/>
      <c r="CP105" s="94"/>
      <c r="CQ105" s="94"/>
      <c r="CR105" s="94"/>
      <c r="CS105" s="94"/>
      <c r="CT105" s="94"/>
      <c r="CU105" s="94"/>
      <c r="CV105" s="94"/>
      <c r="CW105" s="94"/>
      <c r="CX105" s="94"/>
      <c r="CY105" s="94"/>
      <c r="CZ105" s="94"/>
    </row>
    <row r="106" spans="1:178" ht="14.1" hidden="1" customHeight="1">
      <c r="A106" s="54"/>
      <c r="B106" s="64"/>
      <c r="C106" s="333"/>
      <c r="D106" s="64"/>
      <c r="E106" s="231"/>
      <c r="F106" s="897"/>
      <c r="G106" s="898"/>
      <c r="H106" s="898"/>
      <c r="I106" s="898"/>
      <c r="J106" s="898"/>
      <c r="K106" s="898"/>
      <c r="L106" s="898"/>
      <c r="M106" s="898"/>
      <c r="N106" s="898"/>
      <c r="O106" s="898"/>
      <c r="P106" s="899"/>
      <c r="Q106" s="208"/>
      <c r="R106" s="900" t="str">
        <f>'HVAC Efficiency Tables'!$Y133</f>
        <v/>
      </c>
      <c r="S106" s="901"/>
      <c r="T106" s="901"/>
      <c r="U106" s="902"/>
      <c r="V106" s="382"/>
      <c r="W106" s="900" t="str">
        <f>'HVAC Efficiency Tables'!$Z133</f>
        <v/>
      </c>
      <c r="X106" s="901"/>
      <c r="Y106" s="901"/>
      <c r="Z106" s="901"/>
      <c r="AA106" s="901"/>
      <c r="AB106" s="902"/>
      <c r="AC106" s="204"/>
      <c r="AD106" s="890"/>
      <c r="AE106" s="890"/>
      <c r="AF106" s="890"/>
      <c r="AG106" s="890"/>
      <c r="AH106" s="333"/>
      <c r="AI106" s="64"/>
      <c r="AJ106" s="43" t="str">
        <f>IF(OR(D106="",AW106="Ineligible"),"",IF(OR(F106=Lists!$I$11,F106=Lists!$I$16,F106=Lists!$J$12,F106=Lists!$I$13,F106=Lists!$I$14),"EER",IF(OR(F106=Lists!$I$17,F106=Lists!$I$18),"kW/ton",IF(D106*12000&lt;65000,"SEER","EER"))))</f>
        <v/>
      </c>
      <c r="AK106" s="64"/>
      <c r="AL106" s="43" t="str">
        <f>IF(OR(B106="",AW106="Ineligible",AR106="N/A"),"",IF(OR(F106=Lists!$I$16,F106=Lists!$I$17,F106=Lists!$I$18),"",IF(D106&lt;=5,"EER","IEER")))</f>
        <v/>
      </c>
      <c r="AM106" s="43"/>
      <c r="AN106" s="43"/>
      <c r="AO106" s="204"/>
      <c r="AP106" s="55" t="str">
        <f>IFERROR(IF(OR(D106="",F106="",W106="",R106="",W106="Please Select",R106="Please Select"),"",VLOOKUP('HVAC Efficiency Tables'!X133&amp;R106&amp;W106,HVACEfficiencies,3,FALSE)),"")</f>
        <v/>
      </c>
      <c r="AQ106" s="43" t="str">
        <f>IF(OR(AP106="N/A",AP106=""),"",IF(OR(F106=Lists!$I$11,F106=Lists!$I$16,F106=Lists!$J$12,F106=Lists!$I$13,F106=Lists!$I$14),"EER",IF(OR(F106=Lists!$I$17,F106=Lists!$I$18),"kW/ton",IF(D106*12000&lt;65000,"SEER","EER"))))</f>
        <v/>
      </c>
      <c r="AR106" s="55" t="str">
        <f>IFERROR(IF(OR(D106="",F106="",W106="",R106="",W106="Please Select",R106="Please Select"),"",VLOOKUP('HVAC Efficiency Tables'!X133&amp;R106&amp;W106,HVACEfficiencies,8,FALSE)),"")</f>
        <v/>
      </c>
      <c r="AS106" s="43" t="str">
        <f>IF(OR(AR106="N/A",AR106=""),"",IF(OR(F106=Lists!$I$16,F106=Lists!$I$17,F106=Lists!$I$18),"",IF(D106&lt;=5,"EER","IEER")))</f>
        <v/>
      </c>
      <c r="AT106" s="43"/>
      <c r="AU106" s="43"/>
      <c r="AV106" s="43"/>
      <c r="AW106" s="894" t="str">
        <f t="shared" si="67"/>
        <v/>
      </c>
      <c r="AX106" s="894"/>
      <c r="AY106" s="463" t="str">
        <f>IFERROR(IF(OR(D106="",F106="",W106="",R106="",W106="Please Select",R106="Please Select"),"",VLOOKUP('HVAC Efficiency Tables'!X133&amp;R106&amp;W106,HVACEfficiencies,5,FALSE)),"")</f>
        <v/>
      </c>
      <c r="AZ106" s="420" t="str">
        <f>IF(OR(AY106="N/A",AY106=""),"",IF(F106=Lists!$I$16,"EER",IF(OR(F106=Lists!$I$17,F106=Lists!$I$18),"kW/ton",IF(D106*12000&lt;65000,"SEER","EER"))))</f>
        <v/>
      </c>
      <c r="BA106" s="463" t="str">
        <f>IFERROR(IF(OR(D106="",F106="",W106="",R106="",W106="Please Select",R106="Please Select"),"",VLOOKUP('HVAC Efficiency Tables'!X133&amp;R106&amp;W106,HVACEfficiencies,9,FALSE)),"")</f>
        <v/>
      </c>
      <c r="BB106" s="420" t="str">
        <f>IF(OR(AY106="N/A",AY106=""),"",IF(OR(F106=Lists!$I$16,F106=Lists!$I$17,F106=Lists!$I$18),"",IF(D106&lt;=5,"EER","IEER")))</f>
        <v/>
      </c>
      <c r="BC106" s="706"/>
      <c r="BD106" s="706"/>
      <c r="BE106" s="904" t="str">
        <f t="shared" si="68"/>
        <v/>
      </c>
      <c r="BF106" s="904"/>
      <c r="BG106" s="157" t="s">
        <v>142</v>
      </c>
      <c r="BH106" s="895" t="str">
        <f t="shared" si="69"/>
        <v/>
      </c>
      <c r="BI106" s="895"/>
      <c r="BJ106" s="582"/>
      <c r="BQ106" s="298" t="e">
        <f>VLOOKUP('HVAC Efficiency Tables'!X133&amp;R106&amp;W106,HVACEfficiencies,7,FALSE)</f>
        <v>#N/A</v>
      </c>
      <c r="BR106" s="298">
        <f t="shared" si="70"/>
        <v>599</v>
      </c>
      <c r="BS106" s="298" t="e">
        <f t="shared" si="71"/>
        <v>#N/A</v>
      </c>
      <c r="BT106" s="298" t="e">
        <f t="shared" si="72"/>
        <v>#N/A</v>
      </c>
      <c r="BU106" s="298" t="e">
        <f t="shared" si="73"/>
        <v>#N/A</v>
      </c>
      <c r="BV106" s="617">
        <f t="shared" si="74"/>
        <v>0</v>
      </c>
      <c r="BW106" s="301">
        <f t="shared" si="75"/>
        <v>0</v>
      </c>
      <c r="BY106" s="94"/>
      <c r="BZ106" s="94"/>
      <c r="CA106" s="94"/>
      <c r="CB106" s="900" t="str">
        <f>'HVAC Efficiency Tables'!$Y133</f>
        <v/>
      </c>
      <c r="CC106" s="901"/>
      <c r="CD106" s="901"/>
      <c r="CE106" s="902"/>
      <c r="CF106" s="382"/>
      <c r="CG106" s="900" t="str">
        <f>'HVAC Efficiency Tables'!$Z133</f>
        <v/>
      </c>
      <c r="CH106" s="901"/>
      <c r="CI106" s="901"/>
      <c r="CJ106" s="901"/>
      <c r="CK106" s="901"/>
      <c r="CL106" s="902"/>
      <c r="CM106" s="94"/>
      <c r="CN106" s="94"/>
      <c r="CO106" s="94"/>
      <c r="CP106" s="94"/>
      <c r="CQ106" s="94"/>
      <c r="CR106" s="94"/>
      <c r="CS106" s="94"/>
      <c r="CT106" s="94"/>
      <c r="CU106" s="94"/>
      <c r="CV106" s="94"/>
      <c r="CW106" s="94"/>
      <c r="CX106" s="94"/>
      <c r="CY106" s="94"/>
      <c r="CZ106" s="94"/>
    </row>
    <row r="107" spans="1:178" ht="12.75" customHeight="1" thickBot="1">
      <c r="A107" s="56"/>
      <c r="B107" s="57"/>
      <c r="C107" s="57"/>
      <c r="D107" s="57"/>
      <c r="E107" s="57"/>
      <c r="F107" s="58"/>
      <c r="G107" s="58"/>
      <c r="H107" s="58"/>
      <c r="I107" s="58"/>
      <c r="J107" s="58"/>
      <c r="K107" s="58"/>
      <c r="L107" s="58"/>
      <c r="M107" s="58"/>
      <c r="N107" s="58"/>
      <c r="O107" s="58"/>
      <c r="P107" s="58"/>
      <c r="Q107" s="58"/>
      <c r="R107" s="724"/>
      <c r="S107" s="724"/>
      <c r="T107" s="724"/>
      <c r="U107" s="725"/>
      <c r="V107" s="725"/>
      <c r="W107" s="724"/>
      <c r="X107" s="724"/>
      <c r="Y107" s="724"/>
      <c r="Z107" s="724"/>
      <c r="AA107" s="724"/>
      <c r="AB107" s="725"/>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8"/>
      <c r="BH107" s="58"/>
      <c r="BI107" s="57"/>
      <c r="BJ107" s="59"/>
      <c r="BQ107" s="303"/>
      <c r="BR107" s="303"/>
      <c r="BS107" s="303"/>
      <c r="BT107" s="303"/>
      <c r="BU107" s="303"/>
      <c r="BV107" s="304" t="s">
        <v>2727</v>
      </c>
      <c r="BW107" s="304" t="s">
        <v>2728</v>
      </c>
      <c r="BY107" s="94"/>
      <c r="BZ107" s="94"/>
      <c r="CA107" s="94"/>
      <c r="CB107" s="94"/>
      <c r="CC107" s="94"/>
      <c r="CD107" s="94"/>
      <c r="CE107" s="94"/>
      <c r="CF107" s="94"/>
      <c r="CG107" s="94"/>
      <c r="CH107" s="94"/>
      <c r="CI107" s="94"/>
      <c r="CJ107" s="94"/>
      <c r="CK107" s="94"/>
      <c r="CL107" s="94"/>
      <c r="CM107" s="94"/>
      <c r="CN107" s="94"/>
      <c r="CO107" s="94"/>
      <c r="CP107" s="94"/>
      <c r="CQ107" s="94"/>
      <c r="CR107" s="94"/>
      <c r="CS107" s="94"/>
      <c r="CT107" s="94"/>
      <c r="CU107" s="94"/>
      <c r="CV107" s="94"/>
      <c r="CW107" s="94"/>
      <c r="CX107" s="94"/>
      <c r="CY107" s="94"/>
      <c r="CZ107" s="94"/>
    </row>
    <row r="108" spans="1:178" ht="15">
      <c r="A108" s="25"/>
      <c r="B108" s="25"/>
      <c r="C108" s="25"/>
      <c r="D108" s="60"/>
      <c r="E108" s="60"/>
      <c r="F108" s="60"/>
      <c r="G108" s="60"/>
      <c r="H108" s="60"/>
      <c r="I108" s="60"/>
      <c r="J108" s="60"/>
      <c r="K108" s="60"/>
      <c r="L108" s="60"/>
      <c r="M108" s="60"/>
      <c r="N108" s="60"/>
      <c r="O108" s="60"/>
      <c r="P108" s="60"/>
      <c r="Q108" s="60"/>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61" t="s">
        <v>2729</v>
      </c>
      <c r="BG108" s="25"/>
      <c r="BH108" s="896" t="str">
        <f>IF(BM78&gt;=1,SUM(BH78:BH106),"")</f>
        <v/>
      </c>
      <c r="BI108" s="896"/>
      <c r="BJ108" s="25"/>
      <c r="BQ108" s="303"/>
      <c r="BR108" s="303"/>
      <c r="BS108" s="303"/>
      <c r="BT108" s="303"/>
      <c r="BU108" s="303"/>
      <c r="BV108" s="302">
        <f>SUM(BV78:BV106)</f>
        <v>0</v>
      </c>
      <c r="BW108" s="302">
        <f>SUM(BW78:BW106)</f>
        <v>0</v>
      </c>
      <c r="BY108" s="94"/>
      <c r="BZ108" s="94"/>
      <c r="CA108" s="94"/>
      <c r="CB108" s="94"/>
      <c r="CC108" s="94"/>
      <c r="CD108" s="94"/>
      <c r="CE108" s="94"/>
      <c r="CF108" s="94"/>
      <c r="CG108" s="94"/>
      <c r="CH108" s="94"/>
      <c r="CI108" s="94"/>
      <c r="CJ108" s="94"/>
      <c r="CK108" s="94"/>
      <c r="CL108" s="94"/>
      <c r="CM108" s="94"/>
      <c r="CN108" s="94"/>
      <c r="CO108" s="94"/>
      <c r="CP108" s="94"/>
      <c r="CQ108" s="94"/>
      <c r="CR108" s="94"/>
      <c r="CS108" s="94"/>
      <c r="CT108" s="94"/>
      <c r="CU108" s="94"/>
      <c r="CV108" s="94"/>
      <c r="CW108" s="94"/>
      <c r="CX108" s="94"/>
      <c r="CY108" s="94"/>
      <c r="CZ108" s="94"/>
    </row>
    <row r="109" spans="1:178" ht="15.75" hidden="1">
      <c r="A109" s="62" t="s">
        <v>2730</v>
      </c>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34"/>
      <c r="BH109" s="34"/>
      <c r="BI109" s="25"/>
      <c r="BJ109" s="25"/>
      <c r="BQ109" s="84"/>
      <c r="BR109" s="305"/>
      <c r="BS109" s="305"/>
      <c r="BT109" s="305"/>
      <c r="BU109" s="305"/>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row>
    <row r="110" spans="1:178" s="22" customFormat="1" ht="12.75" hidden="1" customHeight="1">
      <c r="A110" s="581"/>
      <c r="B110" s="381"/>
      <c r="C110" s="381"/>
      <c r="D110" s="381"/>
      <c r="E110" s="381"/>
      <c r="F110" s="381"/>
      <c r="G110" s="381"/>
      <c r="H110" s="381"/>
      <c r="I110" s="381"/>
      <c r="J110" s="381"/>
      <c r="K110" s="381"/>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c r="AG110" s="381"/>
      <c r="AH110" s="381"/>
      <c r="AI110" s="381"/>
      <c r="AJ110" s="381"/>
      <c r="AK110" s="381"/>
      <c r="AL110" s="381"/>
      <c r="AM110" s="710"/>
      <c r="AN110" s="710"/>
      <c r="AO110" s="381"/>
      <c r="AP110" s="919" t="s">
        <v>2655</v>
      </c>
      <c r="AQ110" s="919"/>
      <c r="AR110" s="919"/>
      <c r="AS110" s="919"/>
      <c r="AT110" s="919"/>
      <c r="AU110" s="919"/>
      <c r="AV110" s="919"/>
      <c r="AW110" s="919"/>
      <c r="AX110" s="919"/>
      <c r="AY110" s="919"/>
      <c r="AZ110" s="919"/>
      <c r="BA110" s="919"/>
      <c r="BB110" s="919"/>
      <c r="BC110" s="919"/>
      <c r="BD110" s="919"/>
      <c r="BE110" s="919"/>
      <c r="BF110" s="919"/>
      <c r="BG110" s="922" t="s">
        <v>2731</v>
      </c>
      <c r="BH110" s="922"/>
      <c r="BI110" s="922"/>
      <c r="BJ110" s="225"/>
      <c r="BK110" s="1"/>
      <c r="BL110" s="1"/>
      <c r="BM110" s="1"/>
      <c r="BN110" s="1"/>
      <c r="BQ110" s="928" t="s">
        <v>2732</v>
      </c>
      <c r="BR110" s="928"/>
      <c r="BS110" s="928"/>
      <c r="BT110" s="928"/>
      <c r="BU110" s="928"/>
      <c r="BV110" s="928"/>
      <c r="BW110" s="928"/>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102"/>
      <c r="CT110" s="102"/>
      <c r="CU110" s="102"/>
      <c r="CV110" s="102"/>
      <c r="CW110" s="102"/>
      <c r="CX110" s="102"/>
      <c r="CY110" s="102"/>
      <c r="CZ110" s="102"/>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row>
    <row r="111" spans="1:178" s="22" customFormat="1" ht="22.35" hidden="1" customHeight="1">
      <c r="A111" s="48"/>
      <c r="B111" s="208"/>
      <c r="C111" s="49"/>
      <c r="D111" s="208"/>
      <c r="E111" s="208"/>
      <c r="F111" s="50"/>
      <c r="G111" s="50"/>
      <c r="H111" s="50"/>
      <c r="I111" s="50"/>
      <c r="J111" s="50"/>
      <c r="K111" s="50"/>
      <c r="L111" s="50"/>
      <c r="M111" s="50"/>
      <c r="N111" s="50"/>
      <c r="O111" s="50"/>
      <c r="P111" s="50"/>
      <c r="Q111" s="208"/>
      <c r="R111" s="909" t="s">
        <v>2714</v>
      </c>
      <c r="S111" s="909"/>
      <c r="T111" s="909"/>
      <c r="U111" s="909"/>
      <c r="V111" s="204"/>
      <c r="W111" s="909" t="s">
        <v>2733</v>
      </c>
      <c r="X111" s="909"/>
      <c r="Y111" s="909"/>
      <c r="Z111" s="909"/>
      <c r="AA111" s="909"/>
      <c r="AB111" s="909"/>
      <c r="AC111" s="204"/>
      <c r="AD111" s="204"/>
      <c r="AE111" s="204"/>
      <c r="AF111" s="204"/>
      <c r="AG111" s="204"/>
      <c r="AH111" s="204"/>
      <c r="AI111" s="51" t="s">
        <v>2715</v>
      </c>
      <c r="AJ111" s="204"/>
      <c r="AK111" s="52" t="s">
        <v>2716</v>
      </c>
      <c r="AL111" s="204"/>
      <c r="AM111" s="712"/>
      <c r="AN111" s="712"/>
      <c r="AO111" s="208"/>
      <c r="AP111" s="910" t="s">
        <v>2683</v>
      </c>
      <c r="AQ111" s="910"/>
      <c r="AR111" s="910"/>
      <c r="AS111" s="910"/>
      <c r="AT111" s="910"/>
      <c r="AU111" s="910"/>
      <c r="AV111" s="910"/>
      <c r="AW111" s="910"/>
      <c r="AX111" s="910"/>
      <c r="AY111" s="910" t="s">
        <v>2684</v>
      </c>
      <c r="AZ111" s="910"/>
      <c r="BA111" s="910"/>
      <c r="BB111" s="910"/>
      <c r="BC111" s="910"/>
      <c r="BD111" s="910"/>
      <c r="BE111" s="910"/>
      <c r="BF111" s="910"/>
      <c r="BG111" s="923"/>
      <c r="BH111" s="923"/>
      <c r="BI111" s="923"/>
      <c r="BJ111" s="53"/>
      <c r="BK111" s="1"/>
      <c r="BL111" s="1"/>
      <c r="BM111" s="1"/>
      <c r="BN111" s="1"/>
      <c r="BQ111" s="84"/>
      <c r="BR111" s="84"/>
      <c r="BS111" s="84"/>
      <c r="BT111" s="84"/>
      <c r="BU111" s="84"/>
      <c r="BV111" s="84"/>
      <c r="BW111" s="84"/>
      <c r="BY111" s="102"/>
      <c r="BZ111" s="102"/>
      <c r="CA111" s="102"/>
      <c r="CB111" s="909" t="s">
        <v>2714</v>
      </c>
      <c r="CC111" s="909"/>
      <c r="CD111" s="909"/>
      <c r="CE111" s="909"/>
      <c r="CF111" s="204"/>
      <c r="CG111" s="909" t="s">
        <v>2733</v>
      </c>
      <c r="CH111" s="909"/>
      <c r="CI111" s="909"/>
      <c r="CJ111" s="909"/>
      <c r="CK111" s="909"/>
      <c r="CL111" s="909"/>
      <c r="CM111" s="102"/>
      <c r="CN111" s="102"/>
      <c r="CO111" s="102"/>
      <c r="CP111" s="102"/>
      <c r="CQ111" s="102"/>
      <c r="CR111" s="102"/>
      <c r="CS111" s="102"/>
      <c r="CT111" s="102"/>
      <c r="CU111" s="102"/>
      <c r="CV111" s="102"/>
      <c r="CW111" s="102"/>
      <c r="CX111" s="102"/>
      <c r="CY111" s="102"/>
      <c r="CZ111" s="102"/>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row>
    <row r="112" spans="1:178" s="22" customFormat="1" ht="33" hidden="1" customHeight="1">
      <c r="A112" s="48"/>
      <c r="B112" s="50" t="s">
        <v>2661</v>
      </c>
      <c r="C112" s="49"/>
      <c r="D112" s="50" t="s">
        <v>2662</v>
      </c>
      <c r="E112" s="50"/>
      <c r="F112" s="50" t="s">
        <v>2717</v>
      </c>
      <c r="G112" s="50"/>
      <c r="H112" s="50"/>
      <c r="I112" s="50"/>
      <c r="J112" s="50"/>
      <c r="K112" s="50"/>
      <c r="L112" s="50"/>
      <c r="M112" s="50"/>
      <c r="N112" s="50"/>
      <c r="O112" s="50"/>
      <c r="P112" s="50"/>
      <c r="Q112" s="208"/>
      <c r="R112" s="909"/>
      <c r="S112" s="909"/>
      <c r="T112" s="909"/>
      <c r="U112" s="909"/>
      <c r="V112" s="204"/>
      <c r="W112" s="909"/>
      <c r="X112" s="909"/>
      <c r="Y112" s="909"/>
      <c r="Z112" s="909"/>
      <c r="AA112" s="909"/>
      <c r="AB112" s="909"/>
      <c r="AC112" s="204"/>
      <c r="AD112" s="50" t="s">
        <v>2664</v>
      </c>
      <c r="AE112" s="204"/>
      <c r="AF112" s="50"/>
      <c r="AG112" s="50"/>
      <c r="AH112" s="51"/>
      <c r="AI112" s="208" t="s">
        <v>2665</v>
      </c>
      <c r="AJ112" s="204"/>
      <c r="AK112" s="208" t="s">
        <v>2665</v>
      </c>
      <c r="AL112" s="204"/>
      <c r="AM112" s="712"/>
      <c r="AN112" s="712"/>
      <c r="AO112" s="204"/>
      <c r="AP112" s="911" t="s">
        <v>2734</v>
      </c>
      <c r="AQ112" s="911"/>
      <c r="AR112" s="911"/>
      <c r="AS112" s="911"/>
      <c r="AT112" s="911"/>
      <c r="AU112" s="911"/>
      <c r="AV112" s="911"/>
      <c r="AW112" s="911"/>
      <c r="AX112" s="50"/>
      <c r="AY112" s="911" t="s">
        <v>2735</v>
      </c>
      <c r="AZ112" s="911"/>
      <c r="BA112" s="911"/>
      <c r="BB112" s="911"/>
      <c r="BC112" s="911"/>
      <c r="BD112" s="911"/>
      <c r="BE112" s="911"/>
      <c r="BF112" s="911"/>
      <c r="BG112" s="923"/>
      <c r="BH112" s="923"/>
      <c r="BI112" s="923"/>
      <c r="BJ112" s="53"/>
      <c r="BK112" s="1"/>
      <c r="BL112" s="1"/>
      <c r="BM112" s="1"/>
      <c r="BN112" s="1"/>
      <c r="BQ112" s="297" t="s">
        <v>2718</v>
      </c>
      <c r="BR112" s="306" t="s">
        <v>2719</v>
      </c>
      <c r="BS112" s="306" t="s">
        <v>2720</v>
      </c>
      <c r="BT112" s="306" t="s">
        <v>2721</v>
      </c>
      <c r="BU112" s="306" t="s">
        <v>2722</v>
      </c>
      <c r="BV112" s="306" t="s">
        <v>2687</v>
      </c>
      <c r="BW112" s="307" t="s">
        <v>2688</v>
      </c>
      <c r="BY112" s="102"/>
      <c r="BZ112" s="102"/>
      <c r="CA112" s="102"/>
      <c r="CB112" s="909"/>
      <c r="CC112" s="909"/>
      <c r="CD112" s="909"/>
      <c r="CE112" s="909"/>
      <c r="CF112" s="204"/>
      <c r="CG112" s="909"/>
      <c r="CH112" s="909"/>
      <c r="CI112" s="909"/>
      <c r="CJ112" s="909"/>
      <c r="CK112" s="909"/>
      <c r="CL112" s="909"/>
      <c r="CM112" s="102"/>
      <c r="CN112" s="102"/>
      <c r="CO112" s="102"/>
      <c r="CP112" s="102"/>
      <c r="CQ112" s="102"/>
      <c r="CR112" s="102"/>
      <c r="CS112" s="102"/>
      <c r="CT112" s="102"/>
      <c r="CU112" s="102"/>
      <c r="CV112" s="102"/>
      <c r="CW112" s="102"/>
      <c r="CX112" s="102"/>
      <c r="CY112" s="102"/>
      <c r="CZ112" s="102"/>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row>
    <row r="113" spans="1:104" ht="14.1" hidden="1" customHeight="1">
      <c r="A113" s="54"/>
      <c r="B113" s="64"/>
      <c r="C113" s="333"/>
      <c r="D113" s="64"/>
      <c r="E113" s="231"/>
      <c r="F113" s="897"/>
      <c r="G113" s="898"/>
      <c r="H113" s="898"/>
      <c r="I113" s="898"/>
      <c r="J113" s="898"/>
      <c r="K113" s="898"/>
      <c r="L113" s="898"/>
      <c r="M113" s="898"/>
      <c r="N113" s="898"/>
      <c r="O113" s="898"/>
      <c r="P113" s="899"/>
      <c r="Q113" s="208"/>
      <c r="R113" s="914" t="str">
        <f>'HVAC Efficiency Tables'!$Y136</f>
        <v/>
      </c>
      <c r="S113" s="914"/>
      <c r="T113" s="914"/>
      <c r="U113" s="914"/>
      <c r="V113" s="382"/>
      <c r="W113" s="914" t="str">
        <f>'HVAC Efficiency Tables'!$Z136</f>
        <v/>
      </c>
      <c r="X113" s="914"/>
      <c r="Y113" s="914"/>
      <c r="Z113" s="914"/>
      <c r="AA113" s="914"/>
      <c r="AB113" s="914"/>
      <c r="AC113" s="204"/>
      <c r="AD113" s="890"/>
      <c r="AE113" s="890"/>
      <c r="AF113" s="890"/>
      <c r="AG113" s="890"/>
      <c r="AH113" s="333"/>
      <c r="AI113" s="64"/>
      <c r="AJ113" s="43" t="str">
        <f>IF(OR(D113="",AW113="Ineligible"),"",IF(OR(F113=Lists!$I$11,F113=Lists!$I$16,F113=Lists!$J$12),"EER",IF(OR(F113=Lists!$I$17,F113=Lists!$I$18),"kW/ton",IF(D113*12000&lt;65000,"SEER","EER"))))</f>
        <v/>
      </c>
      <c r="AK113" s="64"/>
      <c r="AL113" s="43" t="str">
        <f>IF(OR(B113="",AW113="Ineligible",AR113="N/A"),"",IF(OR(F113=Lists!$I$16,F113=Lists!$I$17,F113=Lists!$I$18),"",IF(D113&lt;=5,"EER","IEER")))</f>
        <v/>
      </c>
      <c r="AM113" s="43"/>
      <c r="AN113" s="43"/>
      <c r="AO113" s="204"/>
      <c r="AP113" s="55" t="str">
        <f>IFERROR(IF(OR(D113="",F113="",W113="",R113="",W113="Please Select",R113="Please Select"),"",VLOOKUP('HVAC Efficiency Tables'!X136&amp;R113&amp;W113,HVACEfficiencies,3,FALSE)),"")</f>
        <v/>
      </c>
      <c r="AQ113" s="43" t="str">
        <f>IF(OR(AP113="N/A",AP113=""),"",IF(OR(F113=Lists!$I$11,F113=Lists!$I$16,F113=Lists!$J$12),"EER",IF(OR(F113=Lists!$I$17,F113=Lists!$I$18),"kW/ton",IF(D113*12000&lt;65000,"SEER","EER"))))</f>
        <v/>
      </c>
      <c r="AR113" s="55" t="str">
        <f>IFERROR(IF(OR(D113="",F113="",W113="",R113="",W113="Please Select",R113="Please Select"),"",VLOOKUP('HVAC Efficiency Tables'!X136&amp;R113&amp;W113,HVACEfficiencies,8,FALSE)),"")</f>
        <v/>
      </c>
      <c r="AS113" s="43" t="str">
        <f>IF(OR(AR113="N/A",AR113=""),"",IF(OR(F113=Lists!$I$16,F113=Lists!$I$17,F113=Lists!$I$18),"",IF(D113&lt;=5,"EER","IEER")))</f>
        <v/>
      </c>
      <c r="AT113" s="43"/>
      <c r="AU113" s="43"/>
      <c r="AV113" s="43"/>
      <c r="AW113" s="894" t="str">
        <f>IF(AND($BR$1="OR",OR(F113="Air Conditioning VRF, Air Cooled",F113="Heat Pump VRF, Water Cooled")),"ID Only*",IF(AND(F113="Heat Pump VRF, Water Cooled",(D113*12000)&gt;134999),"Ineligible",IF(AND(AP113="N/A",AR113="N/A"),"Ineligible",IF(AND(AY113&lt;=AI113,BA113&lt;=AR113),"",IF(AND($AY113&lt;=AI113,OR($BA113&lt;=AK113,$BA113="N/A")),"",IF(AR113="N/A",IF($AP113&lt;=AI113,"Qualified","Not Qualified"),IF(AND($AP113&lt;=AI113,OR($AR113&lt;=AK113,$AR113="N/A")),"Qualified","Not Qualified")))))))</f>
        <v/>
      </c>
      <c r="AX113" s="894"/>
      <c r="AY113" s="55" t="str">
        <f>IFERROR(IF(OR(D113="",F113="",W113="",R113="",W113="Please Select",R113="Please Select"),"",VLOOKUP('HVAC Efficiency Tables'!X136&amp;R113&amp;W113,HVACEfficiencies,5,FALSE)),"")</f>
        <v/>
      </c>
      <c r="AZ113" s="43" t="str">
        <f>IF(OR(AY113="N/A",AY113=""),"",IF(OR(F113=Lists!$I$11,F113=Lists!$I$16,F113=Lists!$J$12),"EER",IF(OR(F113=Lists!$I$17,F113=Lists!$I$18),"kW/ton",IF(D113*12000&lt;65000,"SEER","EER"))))</f>
        <v/>
      </c>
      <c r="BA113" s="55" t="str">
        <f>IFERROR(IF(OR(D113="",F113="",W113="",R113="",W113="Please Select",R113="Please Select"),"",VLOOKUP('HVAC Efficiency Tables'!X136&amp;R113&amp;W113,HVACEfficiencies,9,FALSE)),"")</f>
        <v/>
      </c>
      <c r="BB113" s="43" t="str">
        <f>IF(OR(BA113="N/A",BA113=""),"",IF(OR(F113=Lists!$I$16,F113=Lists!$I$17,F113=Lists!$I$18),"",IF(D113&lt;=5,"EER","IEER")))</f>
        <v/>
      </c>
      <c r="BC113" s="43"/>
      <c r="BD113" s="43"/>
      <c r="BE113" s="894" t="str">
        <f>IF(AND($BR$1="OR",OR(F113="Air Conditioning VRF, Air Cooled",F113="Heat Pump VRF, Water Cooled")),"ID Only*",IF(OR(AI113="",$AY113=""),"",IF(AND($AY113="N/A", $BA113="N/A"),"",IF(AND($AY113&lt;=AI113,OR($BA113&lt;=AK113,$BA113="N/A")),"Qualified","Not Qualified"))))</f>
        <v/>
      </c>
      <c r="BF113" s="894"/>
      <c r="BG113" s="157" t="s">
        <v>142</v>
      </c>
      <c r="BH113" s="895" t="str">
        <f>IF(AW113="ID Only*","ID Only*",IF(AND(F113="Air Conditioning VRF, Air Cooled",AW113="Qualified"),D113*B113*35,
IF(AND(F113="Heat Pump VRF, Air Cooled",AW113="Qualified"),D113*B113*50,
IF(AND(F113="Heat Pump VRF, Water Cooled",AW113="Qualified"),D113*B113*100,
IF(AND(F113="Air Conditioning VRF, Air Cooled",BE113="Qualified"),B113*D113*55,
IF(AND(F113="Heat Pump VRF, Air Cooled",BE113="Qualified"),B113*D113*85,""))))))</f>
        <v/>
      </c>
      <c r="BI113" s="895"/>
      <c r="BJ113" s="582"/>
      <c r="BM113" s="296">
        <f>COUNTIF(AW112:AW118,"Qualified")+COUNTIF(BE112:BE118,"Qualified")</f>
        <v>0</v>
      </c>
      <c r="BQ113" s="298" t="e">
        <f>VLOOKUP('HVAC Efficiency Tables'!X136&amp;R113&amp;W113,HVACEfficiencies,7,FALSE)</f>
        <v>#N/A</v>
      </c>
      <c r="BR113" s="298">
        <f>IF($BX$1="",0,VLOOKUP($BX$1,CoolingHours,3,FALSE))</f>
        <v>599</v>
      </c>
      <c r="BS113" s="298" t="e">
        <f>B113*D113*(1/BQ113-1/AI113)*12000/1000*BR113</f>
        <v>#N/A</v>
      </c>
      <c r="BT113" s="298" t="e">
        <f>B113*D113*(1/(BQ113*0.857)-1/(AI113*0.857))*12000/1000*BR113</f>
        <v>#N/A</v>
      </c>
      <c r="BU113" s="298" t="e">
        <f>B113*D113*(BQ113-AI113)*BR113</f>
        <v>#N/A</v>
      </c>
      <c r="BV113" s="300">
        <f>IF(OR(BE113="Qualified",AW113="Qualified"),IF(AJ113="EER",BS113,IF(AJ113="SEER",BT113,IF(AJ113="kW/ton",BU113,0))),0)</f>
        <v>0</v>
      </c>
      <c r="BW113" s="301">
        <f>IF(BR113=0,"Select Bldg Type",BV113/BR113)</f>
        <v>0</v>
      </c>
      <c r="BY113" s="94"/>
      <c r="BZ113" s="94"/>
      <c r="CA113" s="94"/>
      <c r="CB113" s="914" t="str">
        <f>'HVAC Efficiency Tables'!$Y136</f>
        <v/>
      </c>
      <c r="CC113" s="914"/>
      <c r="CD113" s="914"/>
      <c r="CE113" s="914"/>
      <c r="CF113" s="382"/>
      <c r="CG113" s="914" t="str">
        <f>'HVAC Efficiency Tables'!$Z136</f>
        <v/>
      </c>
      <c r="CH113" s="914"/>
      <c r="CI113" s="914"/>
      <c r="CJ113" s="914"/>
      <c r="CK113" s="914"/>
      <c r="CL113" s="914"/>
      <c r="CM113" s="94"/>
      <c r="CN113" s="94"/>
      <c r="CO113" s="94"/>
      <c r="CP113" s="94"/>
      <c r="CQ113" s="94"/>
      <c r="CR113" s="94"/>
      <c r="CS113" s="94"/>
      <c r="CT113" s="94"/>
      <c r="CU113" s="94"/>
      <c r="CV113" s="94"/>
      <c r="CW113" s="94"/>
      <c r="CX113" s="94"/>
      <c r="CY113" s="94"/>
      <c r="CZ113" s="94"/>
    </row>
    <row r="114" spans="1:104" ht="14.1" hidden="1" customHeight="1">
      <c r="A114" s="54"/>
      <c r="B114" s="64"/>
      <c r="C114" s="333"/>
      <c r="D114" s="64"/>
      <c r="E114" s="231"/>
      <c r="F114" s="897"/>
      <c r="G114" s="898"/>
      <c r="H114" s="898"/>
      <c r="I114" s="898"/>
      <c r="J114" s="898"/>
      <c r="K114" s="898"/>
      <c r="L114" s="898"/>
      <c r="M114" s="898"/>
      <c r="N114" s="898"/>
      <c r="O114" s="898"/>
      <c r="P114" s="899"/>
      <c r="Q114" s="208"/>
      <c r="R114" s="914" t="str">
        <f>'HVAC Efficiency Tables'!$Y137</f>
        <v/>
      </c>
      <c r="S114" s="914"/>
      <c r="T114" s="914"/>
      <c r="U114" s="914"/>
      <c r="V114" s="382"/>
      <c r="W114" s="914" t="str">
        <f>'HVAC Efficiency Tables'!$Z137</f>
        <v/>
      </c>
      <c r="X114" s="914"/>
      <c r="Y114" s="914"/>
      <c r="Z114" s="914"/>
      <c r="AA114" s="914"/>
      <c r="AB114" s="914"/>
      <c r="AC114" s="204"/>
      <c r="AD114" s="890"/>
      <c r="AE114" s="890"/>
      <c r="AF114" s="890"/>
      <c r="AG114" s="890"/>
      <c r="AH114" s="333"/>
      <c r="AI114" s="64"/>
      <c r="AJ114" s="43" t="str">
        <f>IF(OR(D114="",AW114="Ineligible"),"",IF(OR(F114=Lists!$I$11,F114=Lists!$I$16,F114=Lists!$J$12),"EER",IF(OR(F114=Lists!$I$17,F114=Lists!$I$18),"kW/ton",IF(D114*12000&lt;65000,"SEER","EER"))))</f>
        <v/>
      </c>
      <c r="AK114" s="64"/>
      <c r="AL114" s="43" t="str">
        <f>IF(OR(B114="",AW114="Ineligible",AR114="N/A"),"",IF(OR(F114=Lists!$I$16,F114=Lists!$I$17,F114=Lists!$I$18),"",IF(D114&lt;=5,"EER","IEER")))</f>
        <v/>
      </c>
      <c r="AM114" s="43"/>
      <c r="AN114" s="43"/>
      <c r="AO114" s="204"/>
      <c r="AP114" s="55" t="str">
        <f>IFERROR(IF(OR(D114="",F114="",W114="",R114="",W114="Please Select",R114="Please Select"),"",VLOOKUP('HVAC Efficiency Tables'!X137&amp;R114&amp;W114,HVACEfficiencies,3,FALSE)),"")</f>
        <v/>
      </c>
      <c r="AQ114" s="43" t="str">
        <f>IF(OR(AP114="N/A",AP114=""),"",IF(OR(F114=Lists!$I$11,F114=Lists!$I$16,F114=Lists!$J$12),"EER",IF(OR(F114=Lists!$I$17,F114=Lists!$I$18),"kW/ton",IF(D114*12000&lt;65000,"SEER","EER"))))</f>
        <v/>
      </c>
      <c r="AR114" s="55" t="str">
        <f>IFERROR(IF(OR(D114="",F114="",W114="",R114="",W114="Please Select",R114="Please Select"),"",VLOOKUP('HVAC Efficiency Tables'!X137&amp;R114&amp;W114,HVACEfficiencies,8,FALSE)),"")</f>
        <v/>
      </c>
      <c r="AS114" s="43" t="str">
        <f>IF(OR(AR114="N/A",AR114=""),"",IF(OR(F114=Lists!$I$16,F114=Lists!$I$17,F114=Lists!$I$18),"",IF(D114&lt;=5,"EER","IEER")))</f>
        <v/>
      </c>
      <c r="AT114" s="43"/>
      <c r="AU114" s="43"/>
      <c r="AV114" s="43"/>
      <c r="AW114" s="894" t="str">
        <f>IF(AND($BR$1="OR",OR(F114="Air Conditioning VRF, Air Cooled",F114="Heat Pump VRF, Water Cooled")),"ID Only*",IF(AND(F114="Heat Pump VRF, Water Cooled",(D114*12000)&gt;134999),"Ineligible",IF(AND(AP114="N/A",AR114="N/A"),"Ineligible",IF(AND(AY114&lt;=AI114,BA114&lt;=AR114),"",IF(AND($AY114&lt;=AI114,OR($BA114&lt;=AK114,$BA114="N/A")),"",IF(AR114="N/A",IF($AP114&lt;=AI114,"Qualified","Not Qualified"),IF(AND($AP114&lt;=AI114,OR($AR114&lt;=AK114,$AR114="N/A")),"Qualified","Not Qualified")))))))</f>
        <v/>
      </c>
      <c r="AX114" s="894"/>
      <c r="AY114" s="55" t="str">
        <f>IFERROR(IF(OR(D114="",F114="",W114="",R114="",W114="Please Select",R114="Please Select"),"",VLOOKUP('HVAC Efficiency Tables'!X137&amp;R114&amp;W114,HVACEfficiencies,5,FALSE)),"")</f>
        <v/>
      </c>
      <c r="AZ114" s="43" t="str">
        <f>IF(OR(AY114="N/A",AY114=""),"",IF(OR(F114=Lists!$I$11,F114=Lists!$I$16,F114=Lists!$J$12),"EER",IF(OR(F114=Lists!$I$17,F114=Lists!$I$18),"kW/ton",IF(D114*12000&lt;65000,"SEER","EER"))))</f>
        <v/>
      </c>
      <c r="BA114" s="55" t="str">
        <f>IFERROR(IF(OR(D114="",F114="",W114="",R114="",W114="Please Select",R114="Please Select"),"",VLOOKUP('HVAC Efficiency Tables'!X137&amp;R114&amp;W114,HVACEfficiencies,9,FALSE)),"")</f>
        <v/>
      </c>
      <c r="BB114" s="43" t="str">
        <f>IF(OR(BA114="N/A",BA114=""),"",IF(OR(F114=Lists!$I$16,F114=Lists!$I$17,F114=Lists!$I$18),"",IF(D114&lt;=5,"EER","IEER")))</f>
        <v/>
      </c>
      <c r="BC114" s="43"/>
      <c r="BD114" s="43"/>
      <c r="BE114" s="894" t="str">
        <f>IF(AND($BR$1="OR",OR(F114="Air Conditioning VRF, Air Cooled",F114="Heat Pump VRF, Water Cooled")),"ID Only*",IF(OR(AI114="",$AY114=""),"",IF(AND($AY114="N/A", $BA114="N/A"),"",IF(AND($AY114&lt;=AI114,OR($BA114&lt;=AK114,$BA114="N/A")),"Qualified","Not Qualified"))))</f>
        <v/>
      </c>
      <c r="BF114" s="894"/>
      <c r="BG114" s="157" t="s">
        <v>142</v>
      </c>
      <c r="BH114" s="895" t="str">
        <f>IF(AW114="ID Only*","ID Only*",IF(AND(F114="Air Conditioning VRF, Air Cooled",AW114="Qualified"),D114*B114*35,
IF(AND(F114="Heat Pump VRF, Air Cooled",AW114="Qualified"),D114*B114*50,
IF(AND(F114="Heat Pump VRF, Water Cooled",AW114="Qualified"),D114*B114*100,
IF(AND(F114="Air Conditioning VRF, Air Cooled",BE114="Qualified"),B114*D114*55,
IF(AND(F114="Heat Pump VRF, Air Cooled",BE114="Qualified"),B114*D114*85,""))))))</f>
        <v/>
      </c>
      <c r="BI114" s="895"/>
      <c r="BJ114" s="582"/>
      <c r="BQ114" s="298" t="e">
        <f>VLOOKUP('HVAC Efficiency Tables'!X137&amp;R114&amp;W114,HVACEfficiencies,7,FALSE)</f>
        <v>#N/A</v>
      </c>
      <c r="BR114" s="298">
        <f>IF($BX$1="",0,VLOOKUP($BX$1,CoolingHours,3,FALSE))</f>
        <v>599</v>
      </c>
      <c r="BS114" s="298" t="e">
        <f>B114*D114*(1/BQ114-1/AI114)*12000/1000*BR114</f>
        <v>#N/A</v>
      </c>
      <c r="BT114" s="298" t="e">
        <f>B114*D114*(1/(BQ114*0.857)-1/(AI114*0.857))*12000/1000*BR114</f>
        <v>#N/A</v>
      </c>
      <c r="BU114" s="298" t="e">
        <f>B114*D114*(BQ114-AI114)*BR114</f>
        <v>#N/A</v>
      </c>
      <c r="BV114" s="300">
        <f>IF(OR(BE114="Qualified",AW114="Qualified"),IF(AJ114="EER",BS114,IF(AJ114="SEER",BT114,IF(AJ114="kW/ton",BU114,0))),0)</f>
        <v>0</v>
      </c>
      <c r="BW114" s="301">
        <f t="shared" ref="BW114:BW117" si="76">IF(BR114=0,"Select Bldg Type",BV114/BR114)</f>
        <v>0</v>
      </c>
      <c r="BY114" s="94"/>
      <c r="BZ114" s="94"/>
      <c r="CA114" s="94"/>
      <c r="CB114" s="914" t="str">
        <f>'HVAC Efficiency Tables'!$Y137</f>
        <v/>
      </c>
      <c r="CC114" s="914"/>
      <c r="CD114" s="914"/>
      <c r="CE114" s="914"/>
      <c r="CF114" s="382"/>
      <c r="CG114" s="914" t="str">
        <f>'HVAC Efficiency Tables'!$Z137</f>
        <v/>
      </c>
      <c r="CH114" s="914"/>
      <c r="CI114" s="914"/>
      <c r="CJ114" s="914"/>
      <c r="CK114" s="914"/>
      <c r="CL114" s="914"/>
      <c r="CM114" s="94"/>
      <c r="CN114" s="94"/>
      <c r="CO114" s="94"/>
      <c r="CP114" s="94"/>
      <c r="CQ114" s="94"/>
      <c r="CR114" s="94"/>
      <c r="CS114" s="94"/>
      <c r="CT114" s="94"/>
      <c r="CU114" s="94"/>
      <c r="CV114" s="94"/>
      <c r="CW114" s="94"/>
      <c r="CX114" s="94"/>
      <c r="CY114" s="94"/>
      <c r="CZ114" s="94"/>
    </row>
    <row r="115" spans="1:104" ht="14.1" hidden="1" customHeight="1">
      <c r="A115" s="54"/>
      <c r="B115" s="64"/>
      <c r="C115" s="333"/>
      <c r="D115" s="64"/>
      <c r="E115" s="231"/>
      <c r="F115" s="897"/>
      <c r="G115" s="898"/>
      <c r="H115" s="898"/>
      <c r="I115" s="898"/>
      <c r="J115" s="898"/>
      <c r="K115" s="898"/>
      <c r="L115" s="898"/>
      <c r="M115" s="898"/>
      <c r="N115" s="898"/>
      <c r="O115" s="898"/>
      <c r="P115" s="899"/>
      <c r="Q115" s="208"/>
      <c r="R115" s="914" t="str">
        <f>'HVAC Efficiency Tables'!$Y138</f>
        <v/>
      </c>
      <c r="S115" s="914"/>
      <c r="T115" s="914"/>
      <c r="U115" s="914"/>
      <c r="V115" s="382"/>
      <c r="W115" s="914" t="str">
        <f>'HVAC Efficiency Tables'!$Z138</f>
        <v/>
      </c>
      <c r="X115" s="914"/>
      <c r="Y115" s="914"/>
      <c r="Z115" s="914"/>
      <c r="AA115" s="914"/>
      <c r="AB115" s="914"/>
      <c r="AC115" s="204"/>
      <c r="AD115" s="890"/>
      <c r="AE115" s="890"/>
      <c r="AF115" s="890"/>
      <c r="AG115" s="890"/>
      <c r="AH115" s="333"/>
      <c r="AI115" s="64"/>
      <c r="AJ115" s="43" t="str">
        <f>IF(OR(D115="",AW115="Ineligible"),"",IF(OR(F115=Lists!$I$11,F115=Lists!$I$16,F115=Lists!$J$12),"EER",IF(OR(F115=Lists!$I$17,F115=Lists!$I$18),"kW/ton",IF(D115*12000&lt;65000,"SEER","EER"))))</f>
        <v/>
      </c>
      <c r="AK115" s="64"/>
      <c r="AL115" s="43" t="str">
        <f>IF(OR(B115="",AW115="Ineligible",AR115="N/A"),"",IF(OR(F115=Lists!$I$16,F115=Lists!$I$17,F115=Lists!$I$18),"",IF(D115&lt;=5,"EER","IEER")))</f>
        <v/>
      </c>
      <c r="AM115" s="43"/>
      <c r="AN115" s="43"/>
      <c r="AO115" s="204"/>
      <c r="AP115" s="55" t="str">
        <f>IFERROR(IF(OR(D115="",F115="",W115="",R115="",W115="Please Select",R115="Please Select"),"",VLOOKUP('HVAC Efficiency Tables'!X138&amp;R115&amp;W115,HVACEfficiencies,3,FALSE)),"")</f>
        <v/>
      </c>
      <c r="AQ115" s="43" t="str">
        <f>IF(OR(AP115="N/A",AP115=""),"",IF(OR(F115=Lists!$I$11,F115=Lists!$I$16,F115=Lists!$J$12),"EER",IF(OR(F115=Lists!$I$17,F115=Lists!$I$18),"kW/ton",IF(D115*12000&lt;65000,"SEER","EER"))))</f>
        <v/>
      </c>
      <c r="AR115" s="55" t="str">
        <f>IFERROR(IF(OR(D115="",F115="",W115="",R115="",W115="Please Select",R115="Please Select"),"",VLOOKUP('HVAC Efficiency Tables'!X138&amp;R115&amp;W115,HVACEfficiencies,8,FALSE)),"")</f>
        <v/>
      </c>
      <c r="AS115" s="43" t="str">
        <f>IF(OR(AR115="N/A",AR115=""),"",IF(OR(F115=Lists!$I$16,F115=Lists!$I$17,F115=Lists!$I$18),"",IF(D115&lt;=5,"EER","IEER")))</f>
        <v/>
      </c>
      <c r="AT115" s="43"/>
      <c r="AU115" s="43"/>
      <c r="AV115" s="43"/>
      <c r="AW115" s="894" t="str">
        <f>IF(AND($BR$1="OR",OR(F115="Air Conditioning VRF, Air Cooled",F115="Heat Pump VRF, Water Cooled")),"ID Only*",IF(AND(F115="Heat Pump VRF, Water Cooled",(D115*12000)&gt;134999),"Ineligible",IF(AND(AP115="N/A",AR115="N/A"),"Ineligible",IF(AND(AY115&lt;=AI115,BA115&lt;=AR115),"",IF(AND($AY115&lt;=AI115,OR($BA115&lt;=AK115,$BA115="N/A")),"",IF(AR115="N/A",IF($AP115&lt;=AI115,"Qualified","Not Qualified"),IF(AND($AP115&lt;=AI115,OR($AR115&lt;=AK115,$AR115="N/A")),"Qualified","Not Qualified")))))))</f>
        <v/>
      </c>
      <c r="AX115" s="894"/>
      <c r="AY115" s="55" t="str">
        <f>IFERROR(IF(OR(D115="",F115="",W115="",R115="",W115="Please Select",R115="Please Select"),"",VLOOKUP('HVAC Efficiency Tables'!X138&amp;R115&amp;W115,HVACEfficiencies,5,FALSE)),"")</f>
        <v/>
      </c>
      <c r="AZ115" s="43" t="str">
        <f>IF(OR(AY115="N/A",AY115=""),"",IF(OR(F115=Lists!$I$11,F115=Lists!$I$16,F115=Lists!$J$12),"EER",IF(OR(F115=Lists!$I$17,F115=Lists!$I$18),"kW/ton",IF(D115*12000&lt;65000,"SEER","EER"))))</f>
        <v/>
      </c>
      <c r="BA115" s="55" t="str">
        <f>IFERROR(IF(OR(D115="",F115="",W115="",R115="",W115="Please Select",R115="Please Select"),"",VLOOKUP('HVAC Efficiency Tables'!X138&amp;R115&amp;W115,HVACEfficiencies,9,FALSE)),"")</f>
        <v/>
      </c>
      <c r="BB115" s="43" t="str">
        <f>IF(OR(BA115="N/A",BA115=""),"",IF(OR(F115=Lists!$I$16,F115=Lists!$I$17,F115=Lists!$I$18),"",IF(D115&lt;=5,"EER","IEER")))</f>
        <v/>
      </c>
      <c r="BC115" s="43"/>
      <c r="BD115" s="43"/>
      <c r="BE115" s="894" t="str">
        <f>IF(AND($BR$1="OR",OR(F115="Air Conditioning VRF, Air Cooled",F115="Heat Pump VRF, Water Cooled")),"ID Only*",IF(OR(AI115="",$AY115=""),"",IF(AND($AY115="N/A", $BA115="N/A"),"",IF(AND($AY115&lt;=AI115,OR($BA115&lt;=AK115,$BA115="N/A")),"Qualified","Not Qualified"))))</f>
        <v/>
      </c>
      <c r="BF115" s="894"/>
      <c r="BG115" s="157" t="s">
        <v>142</v>
      </c>
      <c r="BH115" s="895" t="str">
        <f>IF(AW115="ID Only*","ID Only*",IF(AND(F115="Air Conditioning VRF, Air Cooled",AW115="Qualified"),D115*B115*35,
IF(AND(F115="Heat Pump VRF, Air Cooled",AW115="Qualified"),D115*B115*50,
IF(AND(F115="Heat Pump VRF, Water Cooled",AW115="Qualified"),D115*B115*100,
IF(AND(F115="Air Conditioning VRF, Air Cooled",BE115="Qualified"),B115*D115*55,
IF(AND(F115="Heat Pump VRF, Air Cooled",BE115="Qualified"),B115*D115*85,""))))))</f>
        <v/>
      </c>
      <c r="BI115" s="895"/>
      <c r="BJ115" s="582"/>
      <c r="BQ115" s="298" t="e">
        <f>VLOOKUP('HVAC Efficiency Tables'!X138&amp;R115&amp;W115,HVACEfficiencies,7,FALSE)</f>
        <v>#N/A</v>
      </c>
      <c r="BR115" s="298">
        <f>IF($BX$1="",0,VLOOKUP($BX$1,CoolingHours,3,FALSE))</f>
        <v>599</v>
      </c>
      <c r="BS115" s="298" t="e">
        <f>B115*D115*(1/BQ115-1/AI115)*12000/1000*BR115</f>
        <v>#N/A</v>
      </c>
      <c r="BT115" s="298" t="e">
        <f>B115*D115*(1/(BQ115*0.857)-1/(AI115*0.857))*12000/1000*BR115</f>
        <v>#N/A</v>
      </c>
      <c r="BU115" s="298" t="e">
        <f>B115*D115*(BQ115-AI115)*BR115</f>
        <v>#N/A</v>
      </c>
      <c r="BV115" s="300">
        <f>IF(OR(BE115="Qualified",AW115="Qualified"),IF(AJ115="EER",BS115,IF(AJ115="SEER",BT115,IF(AJ115="kW/ton",BU115,0))),0)</f>
        <v>0</v>
      </c>
      <c r="BW115" s="301">
        <f t="shared" si="76"/>
        <v>0</v>
      </c>
      <c r="BY115" s="94"/>
      <c r="BZ115" s="94"/>
      <c r="CA115" s="94"/>
      <c r="CB115" s="914" t="str">
        <f>'HVAC Efficiency Tables'!$Y138</f>
        <v/>
      </c>
      <c r="CC115" s="914"/>
      <c r="CD115" s="914"/>
      <c r="CE115" s="914"/>
      <c r="CF115" s="382"/>
      <c r="CG115" s="914" t="str">
        <f>'HVAC Efficiency Tables'!$Z138</f>
        <v/>
      </c>
      <c r="CH115" s="914"/>
      <c r="CI115" s="914"/>
      <c r="CJ115" s="914"/>
      <c r="CK115" s="914"/>
      <c r="CL115" s="914"/>
      <c r="CM115" s="94"/>
      <c r="CN115" s="94"/>
      <c r="CO115" s="94"/>
      <c r="CP115" s="94"/>
      <c r="CQ115" s="94"/>
      <c r="CR115" s="94"/>
      <c r="CS115" s="94"/>
      <c r="CT115" s="94"/>
      <c r="CU115" s="94"/>
      <c r="CV115" s="94"/>
      <c r="CW115" s="94"/>
      <c r="CX115" s="94"/>
      <c r="CY115" s="94"/>
      <c r="CZ115" s="94"/>
    </row>
    <row r="116" spans="1:104" ht="14.1" hidden="1" customHeight="1">
      <c r="A116" s="54"/>
      <c r="B116" s="64"/>
      <c r="C116" s="333"/>
      <c r="D116" s="64"/>
      <c r="E116" s="231"/>
      <c r="F116" s="897"/>
      <c r="G116" s="898"/>
      <c r="H116" s="898"/>
      <c r="I116" s="898"/>
      <c r="J116" s="898"/>
      <c r="K116" s="898"/>
      <c r="L116" s="898"/>
      <c r="M116" s="898"/>
      <c r="N116" s="898"/>
      <c r="O116" s="898"/>
      <c r="P116" s="899"/>
      <c r="Q116" s="208"/>
      <c r="R116" s="914" t="str">
        <f>'HVAC Efficiency Tables'!$Y139</f>
        <v/>
      </c>
      <c r="S116" s="914"/>
      <c r="T116" s="914"/>
      <c r="U116" s="914"/>
      <c r="V116" s="382"/>
      <c r="W116" s="914" t="str">
        <f>'HVAC Efficiency Tables'!$Z139</f>
        <v/>
      </c>
      <c r="X116" s="914"/>
      <c r="Y116" s="914"/>
      <c r="Z116" s="914"/>
      <c r="AA116" s="914"/>
      <c r="AB116" s="914"/>
      <c r="AC116" s="204"/>
      <c r="AD116" s="890"/>
      <c r="AE116" s="890"/>
      <c r="AF116" s="890"/>
      <c r="AG116" s="890"/>
      <c r="AH116" s="333"/>
      <c r="AI116" s="64"/>
      <c r="AJ116" s="43" t="str">
        <f>IF(OR(D116="",AW116="Ineligible"),"",IF(OR(F116=Lists!$I$11,F116=Lists!$I$16,F116=Lists!$J$12),"EER",IF(OR(F116=Lists!$I$17,F116=Lists!$I$18),"kW/ton",IF(D116*12000&lt;65000,"SEER","EER"))))</f>
        <v/>
      </c>
      <c r="AK116" s="64"/>
      <c r="AL116" s="43" t="str">
        <f>IF(OR(B116="",AW116="Ineligible",AR116="N/A"),"",IF(OR(F116=Lists!$I$16,F116=Lists!$I$17,F116=Lists!$I$18),"",IF(D116&lt;=5,"EER","IEER")))</f>
        <v/>
      </c>
      <c r="AM116" s="43"/>
      <c r="AN116" s="43"/>
      <c r="AO116" s="204"/>
      <c r="AP116" s="55" t="str">
        <f>IFERROR(IF(OR(D116="",F116="",W116="",R116="",W116="Please Select",R116="Please Select"),"",VLOOKUP('HVAC Efficiency Tables'!X139&amp;R116&amp;W116,HVACEfficiencies,3,FALSE)),"")</f>
        <v/>
      </c>
      <c r="AQ116" s="43" t="str">
        <f>IF(OR(AP116="N/A",AP116=""),"",IF(OR(F116=Lists!$I$11,F116=Lists!$I$16,F116=Lists!$J$12),"EER",IF(OR(F116=Lists!$I$17,F116=Lists!$I$18),"kW/ton",IF(D116*12000&lt;65000,"SEER","EER"))))</f>
        <v/>
      </c>
      <c r="AR116" s="55" t="str">
        <f>IFERROR(IF(OR(D116="",F116="",W116="",R116="",W116="Please Select",R116="Please Select"),"",VLOOKUP('HVAC Efficiency Tables'!X139&amp;R116&amp;W116,HVACEfficiencies,8,FALSE)),"")</f>
        <v/>
      </c>
      <c r="AS116" s="43" t="str">
        <f>IF(OR(AR116="N/A",AR116=""),"",IF(OR(F116=Lists!$I$16,F116=Lists!$I$17,F116=Lists!$I$18),"",IF(D116&lt;=5,"EER","IEER")))</f>
        <v/>
      </c>
      <c r="AT116" s="43"/>
      <c r="AU116" s="43"/>
      <c r="AV116" s="43"/>
      <c r="AW116" s="894" t="str">
        <f>IF(AND($BR$1="OR",OR(F116="Air Conditioning VRF, Air Cooled",F116="Heat Pump VRF, Water Cooled")),"ID Only*",IF(AND(F116="Heat Pump VRF, Water Cooled",(D116*12000)&gt;134999),"Ineligible",IF(AND(AP116="N/A",AR116="N/A"),"Ineligible",IF(AND(AY116&lt;=AI116,BA116&lt;=AR116),"",IF(AND($AY116&lt;=AI116,OR($BA116&lt;=AK116,$BA116="N/A")),"",IF(AR116="N/A",IF($AP116&lt;=AI116,"Qualified","Not Qualified"),IF(AND($AP116&lt;=AI116,OR($AR116&lt;=AK116,$AR116="N/A")),"Qualified","Not Qualified")))))))</f>
        <v/>
      </c>
      <c r="AX116" s="894"/>
      <c r="AY116" s="55" t="str">
        <f>IFERROR(IF(OR(D116="",F116="",W116="",R116="",W116="Please Select",R116="Please Select"),"",VLOOKUP('HVAC Efficiency Tables'!X139&amp;R116&amp;W116,HVACEfficiencies,5,FALSE)),"")</f>
        <v/>
      </c>
      <c r="AZ116" s="43" t="str">
        <f>IF(OR(AY116="N/A",AY116=""),"",IF(OR(F116=Lists!$I$11,F116=Lists!$I$16,F116=Lists!$J$12),"EER",IF(OR(F116=Lists!$I$17,F116=Lists!$I$18),"kW/ton",IF(D116*12000&lt;65000,"SEER","EER"))))</f>
        <v/>
      </c>
      <c r="BA116" s="55" t="str">
        <f>IFERROR(IF(OR(D116="",F116="",W116="",R116="",W116="Please Select",R116="Please Select"),"",VLOOKUP('HVAC Efficiency Tables'!X139&amp;R116&amp;W116,HVACEfficiencies,9,FALSE)),"")</f>
        <v/>
      </c>
      <c r="BB116" s="43" t="str">
        <f>IF(OR(BA116="N/A",BA116=""),"",IF(OR(F116=Lists!$I$16,F116=Lists!$I$17,F116=Lists!$I$18),"",IF(D116&lt;=5,"EER","IEER")))</f>
        <v/>
      </c>
      <c r="BC116" s="43"/>
      <c r="BD116" s="43"/>
      <c r="BE116" s="894" t="str">
        <f>IF(AND($BR$1="OR",OR(F116="Air Conditioning VRF, Air Cooled",F116="Heat Pump VRF, Water Cooled")),"ID Only*",IF(OR(AI116="",$AY116=""),"",IF(AND($AY116="N/A", $BA116="N/A"),"",IF(AND($AY116&lt;=AI116,OR($BA116&lt;=AK116,$BA116="N/A")),"Qualified","Not Qualified"))))</f>
        <v/>
      </c>
      <c r="BF116" s="894"/>
      <c r="BG116" s="157" t="s">
        <v>142</v>
      </c>
      <c r="BH116" s="895" t="str">
        <f>IF(AW116="ID Only*","ID Only*",IF(AND(F116="Air Conditioning VRF, Air Cooled",AW116="Qualified"),D116*B116*35,
IF(AND(F116="Heat Pump VRF, Air Cooled",AW116="Qualified"),D116*B116*50,
IF(AND(F116="Heat Pump VRF, Water Cooled",AW116="Qualified"),D116*B116*100,
IF(AND(F116="Air Conditioning VRF, Air Cooled",BE116="Qualified"),B116*D116*55,
IF(AND(F116="Heat Pump VRF, Air Cooled",BE116="Qualified"),B116*D116*85,""))))))</f>
        <v/>
      </c>
      <c r="BI116" s="895"/>
      <c r="BJ116" s="582"/>
      <c r="BQ116" s="298" t="e">
        <f>VLOOKUP('HVAC Efficiency Tables'!X139&amp;R116&amp;W116,HVACEfficiencies,7,FALSE)</f>
        <v>#N/A</v>
      </c>
      <c r="BR116" s="298">
        <f>IF($BX$1="",0,VLOOKUP($BX$1,CoolingHours,3,FALSE))</f>
        <v>599</v>
      </c>
      <c r="BS116" s="298" t="e">
        <f>B116*D116*(1/BQ116-1/AI116)*12000/1000*BR116</f>
        <v>#N/A</v>
      </c>
      <c r="BT116" s="298" t="e">
        <f>B116*D116*(1/(BQ116*0.857)-1/(AI116*0.857))*12000/1000*BR116</f>
        <v>#N/A</v>
      </c>
      <c r="BU116" s="298" t="e">
        <f>B116*D116*(BQ116-AI116)*BR116</f>
        <v>#N/A</v>
      </c>
      <c r="BV116" s="300">
        <f>IF(OR(BE116="Qualified",AW116="Qualified"),IF(AJ116="EER",BS116,IF(AJ116="SEER",BT116,IF(AJ116="kW/ton",BU116,0))),0)</f>
        <v>0</v>
      </c>
      <c r="BW116" s="301">
        <f t="shared" si="76"/>
        <v>0</v>
      </c>
      <c r="BY116" s="94"/>
      <c r="BZ116" s="94"/>
      <c r="CA116" s="94"/>
      <c r="CB116" s="914" t="str">
        <f>'HVAC Efficiency Tables'!$Y139</f>
        <v/>
      </c>
      <c r="CC116" s="914"/>
      <c r="CD116" s="914"/>
      <c r="CE116" s="914"/>
      <c r="CF116" s="382"/>
      <c r="CG116" s="914" t="str">
        <f>'HVAC Efficiency Tables'!$Z139</f>
        <v/>
      </c>
      <c r="CH116" s="914"/>
      <c r="CI116" s="914"/>
      <c r="CJ116" s="914"/>
      <c r="CK116" s="914"/>
      <c r="CL116" s="914"/>
      <c r="CM116" s="94"/>
      <c r="CN116" s="94"/>
      <c r="CO116" s="94"/>
      <c r="CP116" s="94"/>
      <c r="CQ116" s="94"/>
      <c r="CR116" s="94"/>
      <c r="CS116" s="94"/>
      <c r="CT116" s="94"/>
      <c r="CU116" s="94"/>
      <c r="CV116" s="94"/>
      <c r="CW116" s="94"/>
      <c r="CX116" s="94"/>
      <c r="CY116" s="94"/>
      <c r="CZ116" s="94"/>
    </row>
    <row r="117" spans="1:104" ht="14.1" hidden="1" customHeight="1">
      <c r="A117" s="54"/>
      <c r="B117" s="64"/>
      <c r="C117" s="333"/>
      <c r="D117" s="64"/>
      <c r="E117" s="231"/>
      <c r="F117" s="897"/>
      <c r="G117" s="898"/>
      <c r="H117" s="898"/>
      <c r="I117" s="898"/>
      <c r="J117" s="898"/>
      <c r="K117" s="898"/>
      <c r="L117" s="898"/>
      <c r="M117" s="898"/>
      <c r="N117" s="898"/>
      <c r="O117" s="898"/>
      <c r="P117" s="899"/>
      <c r="Q117" s="208"/>
      <c r="R117" s="914" t="str">
        <f>'HVAC Efficiency Tables'!$Y140</f>
        <v/>
      </c>
      <c r="S117" s="914"/>
      <c r="T117" s="914"/>
      <c r="U117" s="914"/>
      <c r="V117" s="382"/>
      <c r="W117" s="914" t="str">
        <f>'HVAC Efficiency Tables'!$Z140</f>
        <v/>
      </c>
      <c r="X117" s="914"/>
      <c r="Y117" s="914"/>
      <c r="Z117" s="914"/>
      <c r="AA117" s="914"/>
      <c r="AB117" s="914"/>
      <c r="AC117" s="204"/>
      <c r="AD117" s="890"/>
      <c r="AE117" s="890"/>
      <c r="AF117" s="890"/>
      <c r="AG117" s="890"/>
      <c r="AH117" s="333"/>
      <c r="AI117" s="64"/>
      <c r="AJ117" s="43" t="str">
        <f>IF(OR(D117="",AW117="Ineligible"),"",IF(OR(F117=Lists!$I$11,F117=Lists!$I$16,F117=Lists!$J$12),"EER",IF(OR(F117=Lists!$I$17,F117=Lists!$I$18),"kW/ton",IF(D117*12000&lt;65000,"SEER","EER"))))</f>
        <v/>
      </c>
      <c r="AK117" s="64"/>
      <c r="AL117" s="43" t="str">
        <f>IF(OR(B117="",AW117="Ineligible",AR117="N/A"),"",IF(OR(F117=Lists!$I$16,F117=Lists!$I$17,F117=Lists!$I$18),"",IF(D117&lt;=5,"EER","IEER")))</f>
        <v/>
      </c>
      <c r="AM117" s="43"/>
      <c r="AN117" s="43"/>
      <c r="AO117" s="204"/>
      <c r="AP117" s="55" t="str">
        <f>IFERROR(IF(OR(D117="",F117="",W117="",R117="",W117="Please Select",R117="Please Select"),"",VLOOKUP('HVAC Efficiency Tables'!X140&amp;R117&amp;W117,HVACEfficiencies,3,FALSE)),"")</f>
        <v/>
      </c>
      <c r="AQ117" s="43" t="str">
        <f>IF(OR(AP117="N/A",AP117=""),"",IF(OR(F117=Lists!$I$11,F117=Lists!$I$16,F117=Lists!$J$12),"EER",IF(OR(F117=Lists!$I$17,F117=Lists!$I$18),"kW/ton",IF(D117*12000&lt;65000,"SEER","EER"))))</f>
        <v/>
      </c>
      <c r="AR117" s="55" t="str">
        <f>IFERROR(IF(OR(D117="",F117="",W117="",R117="",W117="Please Select",R117="Please Select"),"",VLOOKUP('HVAC Efficiency Tables'!X140&amp;R117&amp;W117,HVACEfficiencies,8,FALSE)),"")</f>
        <v/>
      </c>
      <c r="AS117" s="43" t="str">
        <f>IF(OR(AR117="N/A",AR117=""),"",IF(OR(F117=Lists!$I$16,F117=Lists!$I$17,F117=Lists!$I$18),"",IF(D117&lt;=5,"EER","IEER")))</f>
        <v/>
      </c>
      <c r="AT117" s="43"/>
      <c r="AU117" s="43"/>
      <c r="AV117" s="43"/>
      <c r="AW117" s="894" t="str">
        <f>IF(AND($BR$1="OR",OR(F117="Air Conditioning VRF, Air Cooled",F117="Heat Pump VRF, Water Cooled")),"ID Only*",IF(AND(F117="Heat Pump VRF, Water Cooled",(D117*12000)&gt;134999),"Ineligible",IF(AND(AP117="N/A",AR117="N/A"),"Ineligible",IF(AND(AY117&lt;=AI117,BA117&lt;=AR117),"",IF(AND($AY117&lt;=AI117,OR($BA117&lt;=AK117,$BA117="N/A")),"",IF(AR117="N/A",IF($AP117&lt;=AI117,"Qualified","Not Qualified"),IF(AND($AP117&lt;=AI117,OR($AR117&lt;=AK117,$AR117="N/A")),"Qualified","Not Qualified")))))))</f>
        <v/>
      </c>
      <c r="AX117" s="894"/>
      <c r="AY117" s="55" t="str">
        <f>IFERROR(IF(OR(D117="",F117="",W117="",R117="",W117="Please Select",R117="Please Select"),"",VLOOKUP('HVAC Efficiency Tables'!X140&amp;R117&amp;W117,HVACEfficiencies,5,FALSE)),"")</f>
        <v/>
      </c>
      <c r="AZ117" s="43" t="str">
        <f>IF(OR(AY117="N/A",AY117=""),"",IF(OR(F117=Lists!$I$11,F117=Lists!$I$16,F117=Lists!$J$12),"EER",IF(OR(F117=Lists!$I$17,F117=Lists!$I$18),"kW/ton",IF(D117*12000&lt;65000,"SEER","EER"))))</f>
        <v/>
      </c>
      <c r="BA117" s="55" t="str">
        <f>IFERROR(IF(OR(D117="",F117="",W117="",R117="",W117="Please Select",R117="Please Select"),"",VLOOKUP('HVAC Efficiency Tables'!X140&amp;R117&amp;W117,HVACEfficiencies,9,FALSE)),"")</f>
        <v/>
      </c>
      <c r="BB117" s="43" t="str">
        <f>IF(OR(BA117="N/A",BA117=""),"",IF(OR(F117=Lists!$I$16,F117=Lists!$I$17,F117=Lists!$I$18),"",IF(D117&lt;=5,"EER","IEER")))</f>
        <v/>
      </c>
      <c r="BC117" s="43"/>
      <c r="BD117" s="43"/>
      <c r="BE117" s="894" t="str">
        <f>IF(AND($BR$1="OR",OR(F117="Air Conditioning VRF, Air Cooled",F117="Heat Pump VRF, Water Cooled")),"ID Only*",IF(OR(AI117="",$AY117=""),"",IF(AND($AY117="N/A", $BA117="N/A"),"",IF(AND($AY117&lt;=AI117,OR($BA117&lt;=AK117,$BA117="N/A")),"Qualified","Not Qualified"))))</f>
        <v/>
      </c>
      <c r="BF117" s="894"/>
      <c r="BG117" s="157" t="s">
        <v>142</v>
      </c>
      <c r="BH117" s="895" t="str">
        <f>IF(AW117="ID Only*","ID Only*",IF(AND(F117="Air Conditioning VRF, Air Cooled",AW117="Qualified"),D117*B117*35,
IF(AND(F117="Heat Pump VRF, Air Cooled",AW117="Qualified"),D117*B117*50,
IF(AND(F117="Heat Pump VRF, Water Cooled",AW117="Qualified"),D117*B117*100,
IF(AND(F117="Air Conditioning VRF, Air Cooled",BE117="Qualified"),B117*D117*55,
IF(AND(F117="Heat Pump VRF, Air Cooled",BE117="Qualified"),B117*D117*85,""))))))</f>
        <v/>
      </c>
      <c r="BI117" s="895"/>
      <c r="BJ117" s="582"/>
      <c r="BQ117" s="298" t="e">
        <f>VLOOKUP('HVAC Efficiency Tables'!X140&amp;R117&amp;W117,HVACEfficiencies,7,FALSE)</f>
        <v>#N/A</v>
      </c>
      <c r="BR117" s="298">
        <f>IF($BX$1="",0,VLOOKUP($BX$1,CoolingHours,3,FALSE))</f>
        <v>599</v>
      </c>
      <c r="BS117" s="298" t="e">
        <f>B117*D117*(1/BQ117-1/AI117)*12000/1000*BR117</f>
        <v>#N/A</v>
      </c>
      <c r="BT117" s="298" t="e">
        <f>B117*D117*(1/(BQ117*0.857)-1/(AI117*0.857))*12000/1000*BR117</f>
        <v>#N/A</v>
      </c>
      <c r="BU117" s="298" t="e">
        <f>B117*D117*(BQ117-AI117)*BR117</f>
        <v>#N/A</v>
      </c>
      <c r="BV117" s="300">
        <f>IF(OR(BE117="Qualified",AW117="Qualified"),IF(AJ117="EER",BS117,IF(AJ117="SEER",BT117,IF(AJ117="kW/ton",BU117,0))),0)</f>
        <v>0</v>
      </c>
      <c r="BW117" s="301">
        <f t="shared" si="76"/>
        <v>0</v>
      </c>
      <c r="BY117" s="94"/>
      <c r="BZ117" s="94"/>
      <c r="CA117" s="94"/>
      <c r="CB117" s="914" t="str">
        <f>'HVAC Efficiency Tables'!$Y140</f>
        <v/>
      </c>
      <c r="CC117" s="914"/>
      <c r="CD117" s="914"/>
      <c r="CE117" s="914"/>
      <c r="CF117" s="382"/>
      <c r="CG117" s="914" t="str">
        <f>'HVAC Efficiency Tables'!$Z140</f>
        <v/>
      </c>
      <c r="CH117" s="914"/>
      <c r="CI117" s="914"/>
      <c r="CJ117" s="914"/>
      <c r="CK117" s="914"/>
      <c r="CL117" s="914"/>
      <c r="CM117" s="94"/>
      <c r="CN117" s="94"/>
      <c r="CO117" s="94"/>
      <c r="CP117" s="94"/>
      <c r="CQ117" s="94"/>
      <c r="CR117" s="94"/>
      <c r="CS117" s="94"/>
      <c r="CT117" s="94"/>
      <c r="CU117" s="94"/>
      <c r="CV117" s="94"/>
      <c r="CW117" s="94"/>
      <c r="CX117" s="94"/>
      <c r="CY117" s="94"/>
      <c r="CZ117" s="94"/>
    </row>
    <row r="118" spans="1:104" ht="12.75" hidden="1" customHeight="1" thickBot="1">
      <c r="A118" s="56"/>
      <c r="B118" s="57"/>
      <c r="C118" s="57"/>
      <c r="D118" s="57"/>
      <c r="E118" s="57"/>
      <c r="F118" s="58"/>
      <c r="G118" s="58"/>
      <c r="H118" s="58"/>
      <c r="I118" s="58"/>
      <c r="J118" s="58"/>
      <c r="K118" s="58"/>
      <c r="L118" s="58"/>
      <c r="M118" s="58"/>
      <c r="N118" s="58"/>
      <c r="O118" s="58"/>
      <c r="P118" s="58"/>
      <c r="Q118" s="58"/>
      <c r="R118" s="58"/>
      <c r="S118" s="58"/>
      <c r="T118" s="58"/>
      <c r="U118" s="57"/>
      <c r="V118" s="57"/>
      <c r="W118" s="58"/>
      <c r="X118" s="58"/>
      <c r="Y118" s="58"/>
      <c r="Z118" s="58"/>
      <c r="AA118" s="58"/>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8"/>
      <c r="BH118" s="58"/>
      <c r="BI118" s="57"/>
      <c r="BJ118" s="59"/>
      <c r="BV118" s="304" t="s">
        <v>2736</v>
      </c>
      <c r="BW118" s="304" t="s">
        <v>2737</v>
      </c>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row>
    <row r="119" spans="1:104" ht="15" hidden="1">
      <c r="A119" s="25"/>
      <c r="B119" s="25"/>
      <c r="C119" s="25"/>
      <c r="D119" s="60"/>
      <c r="E119" s="60"/>
      <c r="F119" s="60"/>
      <c r="G119" s="60"/>
      <c r="H119" s="60"/>
      <c r="I119" s="60"/>
      <c r="J119" s="60"/>
      <c r="K119" s="60"/>
      <c r="L119" s="60"/>
      <c r="M119" s="60"/>
      <c r="N119" s="60"/>
      <c r="O119" s="60"/>
      <c r="P119" s="60"/>
      <c r="Q119" s="60"/>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61" t="s">
        <v>2738</v>
      </c>
      <c r="BG119" s="25"/>
      <c r="BH119" s="896" t="str">
        <f>IF(BM113&gt;=1,SUM(BH113:BH117),"")</f>
        <v/>
      </c>
      <c r="BI119" s="896"/>
      <c r="BJ119" s="25"/>
      <c r="BO119" s="22"/>
      <c r="BP119" s="22"/>
      <c r="BQ119" s="303"/>
      <c r="BR119" s="303"/>
      <c r="BS119" s="303"/>
      <c r="BT119" s="303"/>
      <c r="BU119" s="303"/>
      <c r="BV119" s="299">
        <f>SUM(BV113:BV117)</f>
        <v>0</v>
      </c>
      <c r="BW119" s="302">
        <f>SUM(BW113:BW117)</f>
        <v>0</v>
      </c>
      <c r="BX119" s="22"/>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row>
    <row r="120" spans="1:104" ht="15" hidden="1">
      <c r="A120" s="25"/>
      <c r="B120" s="25"/>
      <c r="C120" s="25"/>
      <c r="D120" s="60"/>
      <c r="E120" s="60"/>
      <c r="F120" s="60"/>
      <c r="G120" s="60"/>
      <c r="H120" s="60"/>
      <c r="I120" s="60"/>
      <c r="J120" s="60"/>
      <c r="K120" s="60"/>
      <c r="L120" s="60"/>
      <c r="M120" s="60"/>
      <c r="N120" s="60"/>
      <c r="O120" s="60"/>
      <c r="P120" s="60"/>
      <c r="Q120" s="60"/>
      <c r="R120" s="25"/>
      <c r="S120" s="25"/>
      <c r="T120" s="25"/>
      <c r="U120" s="25"/>
      <c r="V120" s="25"/>
      <c r="W120" s="25"/>
      <c r="X120" s="25"/>
      <c r="Y120" s="25"/>
      <c r="Z120" s="25"/>
      <c r="AA120" s="25"/>
      <c r="AB120" s="25"/>
      <c r="AC120" s="25"/>
      <c r="AD120" s="518"/>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61"/>
      <c r="BG120" s="25"/>
      <c r="BH120" s="209"/>
      <c r="BI120" s="209"/>
      <c r="BJ120" s="25"/>
      <c r="BO120" s="22"/>
      <c r="BP120" s="22"/>
      <c r="BQ120" s="303"/>
      <c r="BR120" s="303"/>
      <c r="BS120" s="303"/>
      <c r="BT120" s="303"/>
      <c r="BU120" s="303"/>
      <c r="BX120" s="22"/>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row>
    <row r="121" spans="1:104" ht="16.5" thickBot="1">
      <c r="A121" s="62" t="s">
        <v>2793</v>
      </c>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O121" s="22"/>
      <c r="BP121" s="22"/>
      <c r="BQ121" s="22"/>
      <c r="BR121" s="22"/>
      <c r="BS121" s="22"/>
      <c r="BT121" s="22"/>
      <c r="BU121" s="22"/>
      <c r="BV121" s="22"/>
      <c r="BW121" s="22"/>
      <c r="BX121" s="22"/>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row>
    <row r="122" spans="1:104" ht="12.75" customHeight="1">
      <c r="A122" s="46"/>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905" t="s">
        <v>2655</v>
      </c>
      <c r="AQ122" s="905"/>
      <c r="AR122" s="905"/>
      <c r="AS122" s="905"/>
      <c r="AT122" s="905"/>
      <c r="AU122" s="905"/>
      <c r="AV122" s="905"/>
      <c r="AW122" s="905"/>
      <c r="AX122" s="905"/>
      <c r="AY122" s="905"/>
      <c r="AZ122" s="905"/>
      <c r="BA122" s="905"/>
      <c r="BB122" s="905"/>
      <c r="BC122" s="905"/>
      <c r="BD122" s="905"/>
      <c r="BE122" s="905"/>
      <c r="BF122" s="905"/>
      <c r="BG122" s="922" t="s">
        <v>2794</v>
      </c>
      <c r="BH122" s="922"/>
      <c r="BI122" s="922"/>
      <c r="BJ122" s="63"/>
      <c r="BO122" s="22"/>
      <c r="BP122" s="22"/>
      <c r="BQ122" s="22"/>
      <c r="BR122" s="22"/>
      <c r="BS122" s="22"/>
      <c r="BT122" s="22"/>
      <c r="BU122" s="22"/>
      <c r="BV122" s="22"/>
      <c r="BW122" s="22"/>
      <c r="BX122" s="22"/>
      <c r="BY122" s="94"/>
      <c r="BZ122" s="94"/>
      <c r="CA122" s="94"/>
      <c r="CB122" s="94"/>
      <c r="CC122" s="94"/>
      <c r="CD122" s="94"/>
      <c r="CE122" s="94"/>
      <c r="CF122" s="94"/>
      <c r="CG122" s="94"/>
      <c r="CH122" s="94"/>
      <c r="CI122" s="94"/>
      <c r="CJ122" s="94"/>
      <c r="CK122" s="94"/>
      <c r="CL122" s="94"/>
      <c r="CM122" s="94"/>
      <c r="CN122" s="94"/>
      <c r="CO122" s="94"/>
      <c r="CP122" s="94"/>
      <c r="CQ122" s="94"/>
      <c r="CR122" s="94"/>
      <c r="CS122" s="94"/>
      <c r="CT122" s="94"/>
      <c r="CU122" s="94"/>
      <c r="CV122" s="94"/>
      <c r="CW122" s="94"/>
      <c r="CX122" s="94"/>
      <c r="CY122" s="94"/>
      <c r="CZ122" s="94"/>
    </row>
    <row r="123" spans="1:104" ht="12.75" customHeight="1">
      <c r="A123" s="54"/>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910"/>
      <c r="AQ123" s="910"/>
      <c r="AR123" s="910"/>
      <c r="AS123" s="910"/>
      <c r="AT123" s="910"/>
      <c r="AU123" s="910"/>
      <c r="AV123" s="910"/>
      <c r="AW123" s="910"/>
      <c r="AX123" s="910"/>
      <c r="AY123" s="910"/>
      <c r="AZ123" s="910"/>
      <c r="BA123" s="910"/>
      <c r="BB123" s="910"/>
      <c r="BC123" s="910"/>
      <c r="BD123" s="910"/>
      <c r="BE123" s="910"/>
      <c r="BF123" s="910"/>
      <c r="BG123" s="923"/>
      <c r="BH123" s="923"/>
      <c r="BI123" s="923"/>
      <c r="BJ123" s="228"/>
      <c r="BO123" s="22"/>
      <c r="BP123" s="22"/>
      <c r="BQ123" s="928" t="s">
        <v>2795</v>
      </c>
      <c r="BR123" s="928"/>
      <c r="BS123" s="928"/>
      <c r="BT123" s="928"/>
      <c r="BU123" s="928"/>
      <c r="BV123" s="928"/>
      <c r="BW123" s="928"/>
      <c r="BX123" s="22"/>
      <c r="BY123" s="94"/>
      <c r="BZ123" s="94"/>
      <c r="CA123" s="94"/>
      <c r="CB123" s="94"/>
      <c r="CC123" s="94"/>
      <c r="CD123" s="94"/>
      <c r="CE123" s="94"/>
      <c r="CF123" s="94"/>
      <c r="CG123" s="94"/>
      <c r="CH123" s="94"/>
      <c r="CI123" s="94"/>
      <c r="CJ123" s="94"/>
      <c r="CK123" s="94"/>
      <c r="CL123" s="94"/>
      <c r="CM123" s="94"/>
      <c r="CN123" s="94"/>
      <c r="CO123" s="94"/>
      <c r="CP123" s="94"/>
      <c r="CQ123" s="94"/>
      <c r="CR123" s="94"/>
      <c r="CS123" s="94"/>
      <c r="CT123" s="94"/>
      <c r="CU123" s="94"/>
      <c r="CV123" s="94"/>
      <c r="CW123" s="94"/>
      <c r="CX123" s="94"/>
      <c r="CY123" s="94"/>
      <c r="CZ123" s="94"/>
    </row>
    <row r="124" spans="1:104" ht="12.75" customHeight="1">
      <c r="A124" s="54"/>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916" t="s">
        <v>2796</v>
      </c>
      <c r="AP124" s="916"/>
      <c r="AQ124" s="916"/>
      <c r="AR124" s="204"/>
      <c r="AS124" s="204"/>
      <c r="AT124" s="712"/>
      <c r="AU124" s="712"/>
      <c r="AV124" s="204"/>
      <c r="AW124" s="208"/>
      <c r="AX124" s="918" t="s">
        <v>2797</v>
      </c>
      <c r="AY124" s="918"/>
      <c r="AZ124" s="918"/>
      <c r="BA124" s="204"/>
      <c r="BB124" s="204"/>
      <c r="BC124" s="712"/>
      <c r="BD124" s="712"/>
      <c r="BE124" s="204"/>
      <c r="BF124" s="25"/>
      <c r="BG124" s="923"/>
      <c r="BH124" s="923"/>
      <c r="BI124" s="923"/>
      <c r="BJ124" s="228"/>
      <c r="BO124" s="22"/>
      <c r="BP124" s="22"/>
      <c r="BQ124" s="84"/>
      <c r="BR124" s="84"/>
      <c r="BS124" s="84"/>
      <c r="BT124" s="84"/>
      <c r="BU124" s="84"/>
      <c r="BV124" s="84"/>
      <c r="BW124" s="84"/>
      <c r="BX124" s="22"/>
      <c r="BY124" s="94"/>
      <c r="BZ124" s="94"/>
      <c r="CA124" s="94"/>
      <c r="CB124" s="94"/>
      <c r="CC124" s="94"/>
      <c r="CD124" s="94"/>
      <c r="CE124" s="94"/>
      <c r="CF124" s="94"/>
      <c r="CG124" s="94"/>
      <c r="CH124" s="94"/>
      <c r="CI124" s="94"/>
      <c r="CJ124" s="94"/>
      <c r="CK124" s="94"/>
      <c r="CL124" s="94"/>
      <c r="CM124" s="94"/>
      <c r="CN124" s="94"/>
      <c r="CO124" s="94"/>
      <c r="CP124" s="94"/>
      <c r="CQ124" s="94"/>
      <c r="CR124" s="94"/>
      <c r="CS124" s="94"/>
      <c r="CT124" s="94"/>
      <c r="CU124" s="94"/>
      <c r="CV124" s="94"/>
      <c r="CW124" s="94"/>
      <c r="CX124" s="94"/>
      <c r="CY124" s="94"/>
      <c r="CZ124" s="94"/>
    </row>
    <row r="125" spans="1:104" ht="12.75" customHeight="1">
      <c r="A125" s="48"/>
      <c r="B125" s="208" t="s">
        <v>2661</v>
      </c>
      <c r="C125" s="49"/>
      <c r="D125" s="208" t="s">
        <v>2662</v>
      </c>
      <c r="E125" s="606"/>
      <c r="F125" s="50" t="s">
        <v>2744</v>
      </c>
      <c r="G125" s="50"/>
      <c r="H125" s="50"/>
      <c r="I125" s="50"/>
      <c r="J125" s="50"/>
      <c r="K125" s="50"/>
      <c r="L125" s="50"/>
      <c r="M125" s="50"/>
      <c r="N125" s="50"/>
      <c r="O125" s="50"/>
      <c r="P125" s="50"/>
      <c r="Q125" s="50"/>
      <c r="R125" s="50"/>
      <c r="S125" s="208"/>
      <c r="T125" s="208"/>
      <c r="U125" s="204"/>
      <c r="V125" s="204"/>
      <c r="W125" s="204"/>
      <c r="X125" s="204"/>
      <c r="Y125" s="204"/>
      <c r="Z125" s="204"/>
      <c r="AA125" s="204"/>
      <c r="AB125" s="204"/>
      <c r="AC125" s="204"/>
      <c r="AD125" s="50" t="s">
        <v>2664</v>
      </c>
      <c r="AE125" s="204"/>
      <c r="AF125" s="204"/>
      <c r="AG125" s="51"/>
      <c r="AH125" s="51"/>
      <c r="AI125" s="208" t="s">
        <v>2665</v>
      </c>
      <c r="AJ125" s="51"/>
      <c r="AK125" s="51"/>
      <c r="AL125" s="51"/>
      <c r="AM125" s="51"/>
      <c r="AN125" s="51"/>
      <c r="AO125" s="916"/>
      <c r="AP125" s="916"/>
      <c r="AQ125" s="916"/>
      <c r="AR125" s="204"/>
      <c r="AS125" s="204"/>
      <c r="AT125" s="712"/>
      <c r="AU125" s="712"/>
      <c r="AV125" s="204"/>
      <c r="AW125" s="208"/>
      <c r="AX125" s="916"/>
      <c r="AY125" s="916"/>
      <c r="AZ125" s="916"/>
      <c r="BA125" s="204"/>
      <c r="BB125" s="204"/>
      <c r="BC125" s="712"/>
      <c r="BD125" s="712"/>
      <c r="BE125" s="204"/>
      <c r="BF125" s="204"/>
      <c r="BG125" s="923"/>
      <c r="BH125" s="923"/>
      <c r="BI125" s="923"/>
      <c r="BJ125" s="229"/>
      <c r="BQ125" s="297" t="s">
        <v>2798</v>
      </c>
      <c r="BR125" s="306" t="s">
        <v>2799</v>
      </c>
      <c r="BS125" s="306" t="s">
        <v>2800</v>
      </c>
      <c r="BT125" s="306"/>
      <c r="BU125" s="306" t="s">
        <v>2722</v>
      </c>
      <c r="BV125" s="306" t="s">
        <v>2687</v>
      </c>
      <c r="BW125" s="307" t="s">
        <v>2745</v>
      </c>
      <c r="BY125" s="94"/>
      <c r="BZ125" s="94"/>
      <c r="CA125" s="94"/>
      <c r="CB125" s="94"/>
      <c r="CC125" s="94"/>
      <c r="CD125" s="94"/>
      <c r="CE125" s="94"/>
      <c r="CF125" s="94"/>
      <c r="CG125" s="94"/>
      <c r="CH125" s="94"/>
      <c r="CI125" s="94"/>
      <c r="CJ125" s="94"/>
      <c r="CK125" s="94"/>
      <c r="CL125" s="94"/>
      <c r="CM125" s="94"/>
      <c r="CN125" s="94"/>
      <c r="CO125" s="94"/>
      <c r="CP125" s="94"/>
      <c r="CQ125" s="94"/>
      <c r="CR125" s="94"/>
      <c r="CS125" s="94"/>
      <c r="CT125" s="94"/>
      <c r="CU125" s="94"/>
      <c r="CV125" s="94"/>
      <c r="CW125" s="94"/>
      <c r="CX125" s="94"/>
      <c r="CY125" s="94"/>
      <c r="CZ125" s="94"/>
    </row>
    <row r="126" spans="1:104" ht="14.1" customHeight="1">
      <c r="A126" s="54"/>
      <c r="B126" s="64"/>
      <c r="C126" s="333"/>
      <c r="D126" s="64"/>
      <c r="E126" s="606"/>
      <c r="F126" s="897"/>
      <c r="G126" s="898"/>
      <c r="H126" s="898"/>
      <c r="I126" s="898"/>
      <c r="J126" s="898"/>
      <c r="K126" s="898"/>
      <c r="L126" s="898"/>
      <c r="M126" s="898"/>
      <c r="N126" s="898"/>
      <c r="O126" s="898"/>
      <c r="P126" s="898"/>
      <c r="Q126" s="898"/>
      <c r="R126" s="898"/>
      <c r="S126" s="899"/>
      <c r="T126" s="208"/>
      <c r="U126" s="204"/>
      <c r="V126" s="204"/>
      <c r="W126" s="204"/>
      <c r="X126" s="204"/>
      <c r="Y126" s="204"/>
      <c r="Z126" s="204"/>
      <c r="AA126" s="204"/>
      <c r="AB126" s="204"/>
      <c r="AC126" s="204"/>
      <c r="AD126" s="903"/>
      <c r="AE126" s="903"/>
      <c r="AF126" s="903"/>
      <c r="AG126" s="903"/>
      <c r="AH126" s="51"/>
      <c r="AI126" s="64"/>
      <c r="AJ126" s="43" t="str">
        <f>IF(D126="","",IF(OR(F126=Lists!$I$11,F126=Lists!$I$16,F126=Lists!$J$12),"EER",IF(OR(F126=Lists!$I$17,F126=Lists!$I$18),"kW/ton",IF(D126*12000&lt;65000,"SEER","EER"))))</f>
        <v/>
      </c>
      <c r="AK126" s="43"/>
      <c r="AL126" s="43"/>
      <c r="AM126" s="43"/>
      <c r="AN126" s="43"/>
      <c r="AO126" s="43"/>
      <c r="AP126" s="310" t="str">
        <f>IF(LEFT(F126,3)="Air","",IF(OR(F126="",D126=""),"",IF(F126='HVAC Efficiency Tables'!$A$24,VLOOKUP(D126,GroupF,3),IF(F126='HVAC Efficiency Tables'!$A$27,VLOOKUP(D126,GroupG,3),IF(F126='HVAC Efficiency Tables'!$A$33,VLOOKUP(D126,GroupH,3),"N/A")))))</f>
        <v/>
      </c>
      <c r="AQ126" s="43" t="str">
        <f>IF(OR(AP126="N/A",AP126=""),"",IF(F126=Lists!$I$16,"EER",IF(OR(F126=Lists!$I$17,F126=Lists!$I$18),"kW/ton",IF(D126*12000&lt;65000,"SEER","EER"))))</f>
        <v/>
      </c>
      <c r="AR126" s="894" t="str">
        <f>IF(LEFT(F126,4)="Air ","",IF(AND($BR$1="OR",OR($B126&lt;0,$D126,0,$F126&lt;&gt;"",$AD126&lt;&gt;"",$AI126&lt;0)),"ID Only*",IF(OR(AI126="",$AP126="",AP126="N/A"),"",IF(AQ126="SEER",IF($AP126&lt;=AI126,"Qualified","Not Qualified"),IF(AQ126="kW/ton",IF($AP126&gt;=AI126,"Qualified","Not Qualified"))))))</f>
        <v/>
      </c>
      <c r="AS126" s="894"/>
      <c r="AT126" s="709"/>
      <c r="AU126" s="709"/>
      <c r="AV126" s="43"/>
      <c r="AW126" s="208"/>
      <c r="AX126" s="208"/>
      <c r="AY126" s="55" t="str">
        <f>IF(LEFT(F126,5)="Water","",IF(OR(F126="",D126=""),"",IF(F126='HVAC Efficiency Tables'!$A$24,VLOOKUP(D126,GroupF,3),IF(F126='HVAC Efficiency Tables'!$A$27,VLOOKUP(D126,GroupG,3),IF(F126='HVAC Efficiency Tables'!$A$33,VLOOKUP(D126,GroupH,3),"N/A")))))</f>
        <v/>
      </c>
      <c r="AZ126" s="43" t="str">
        <f>IF(OR(AY126="N/A",AY126=""),"",IF(F126=Lists!$I$16,"EER",IF(OR(F126=Lists!$I$17,F126=Lists!$I$18),"kW/ton",IF(D126*12000&lt;65000,"SEER","EER"))))</f>
        <v/>
      </c>
      <c r="BA126" s="894" t="str">
        <f>IF(LEFT(F126,5)="Water","",IF(AND($BR$1="OR",OR($B126&lt;0,$D126,0,$F126&lt;&gt;"",$AD126&lt;&gt;"",$AI126&lt;0)),"ID Only*",IF(OR(AI126="",$AY126="",AY126="N/A"),"",IF(AZ126="EER",IF($AY126&lt;=AI126,"Qualified","Not Qualified"),IF(AZ126="kW/ton",IF($AY126&gt;=AI126,"Qualified","Not Qualified"))))))</f>
        <v/>
      </c>
      <c r="BB126" s="894"/>
      <c r="BC126" s="709"/>
      <c r="BD126" s="709"/>
      <c r="BE126" s="204"/>
      <c r="BF126" s="204"/>
      <c r="BG126" s="157" t="s">
        <v>142</v>
      </c>
      <c r="BH126" s="895" t="str">
        <f>IF(AND($BR$1="OR",OR($B126&gt;0,$D126&gt;0,$F126&lt;&gt;"",$AD126&lt;&gt;"",$AI126&gt;0)),"ID Only*",IF(AR126="Qualified",D126*B126*60,IF(BA126="Qualified",D126*B126*110,"")))</f>
        <v/>
      </c>
      <c r="BI126" s="895"/>
      <c r="BJ126" s="230"/>
      <c r="BM126" s="296">
        <f>COUNTIF(AR125:AR130,"Qualified")+COUNTIF(BA125:BA130,"Qualified")</f>
        <v>0</v>
      </c>
      <c r="BQ126" s="298">
        <f>IF($F126="Air Cooled Chiller with Condenser",IF(AND($BA126="Qualified",D126&lt;150),155,IF(AND($BA126="Qualified",D126&gt;149.99),152,0)),0)</f>
        <v>0</v>
      </c>
      <c r="BR126" s="298">
        <f>IF($F126="Water Cooled Chiller elect. operated, reciprocating &amp; positive displacement",
IF(AND($AR126="Qualified",$D126&lt;75),105,
IF(AND($AR126="Qualified",$D126&gt;74.99,$D126&lt;150),100,
IF(AND($AR126="Qualified",$D126&gt;149.99,$D126&lt;300),94,
IF(AND($AR126="Qualified",$D126&gt;299.99,$D126&lt;600),89,
IF(AND($AR126="Qualified",$D126&gt;599.99),84,0))))),0)</f>
        <v>0</v>
      </c>
      <c r="BS126" s="298">
        <f>IF($F126="Water Cooled Chiller elect. operated, centrifugal",
IF(AND($AR126="Qualified",$D126&lt;150),94,
IF(AND($AR126="Qualified",$D126&gt;149.99,$D126&lt;300),91,
IF(AND($AR126="Qualified",$D126&gt;299.99,$D126&lt;400),87,
IF(AND($AR126="Qualified",$D126&gt;399.99),84,0)))),0)</f>
        <v>0</v>
      </c>
      <c r="BT126" s="298"/>
      <c r="BU126" s="298">
        <f>IF($BR$1="OR",0,MAX(BQ126:BT126))</f>
        <v>0</v>
      </c>
      <c r="BV126" s="617">
        <f>IF(OR(BA126="Qualified",AR126="Qualified"),IF(AJ126="EER",BS126,IF(AJ126="SEER",BT126,IF(AJ126="kW/ton",BU126,0))),0)</f>
        <v>0</v>
      </c>
      <c r="BW126" s="301"/>
      <c r="BY126" s="94"/>
      <c r="BZ126" s="94"/>
      <c r="CA126" s="94"/>
      <c r="CB126" s="94"/>
      <c r="CC126" s="94"/>
      <c r="CD126" s="94"/>
      <c r="CE126" s="94"/>
      <c r="CF126" s="94"/>
      <c r="CG126" s="94"/>
      <c r="CH126" s="94"/>
      <c r="CI126" s="94"/>
      <c r="CJ126" s="94"/>
      <c r="CK126" s="94"/>
      <c r="CL126" s="94"/>
      <c r="CM126" s="94"/>
      <c r="CN126" s="94"/>
      <c r="CO126" s="94"/>
      <c r="CP126" s="94"/>
      <c r="CQ126" s="94"/>
      <c r="CR126" s="94"/>
      <c r="CS126" s="94"/>
      <c r="CT126" s="94"/>
      <c r="CU126" s="94"/>
      <c r="CV126" s="94"/>
      <c r="CW126" s="94"/>
      <c r="CX126" s="94"/>
      <c r="CY126" s="94"/>
      <c r="CZ126" s="94"/>
    </row>
    <row r="127" spans="1:104" ht="14.1" customHeight="1">
      <c r="A127" s="54"/>
      <c r="B127" s="64"/>
      <c r="C127" s="333"/>
      <c r="D127" s="64"/>
      <c r="E127" s="606"/>
      <c r="F127" s="897"/>
      <c r="G127" s="898"/>
      <c r="H127" s="898"/>
      <c r="I127" s="898"/>
      <c r="J127" s="898"/>
      <c r="K127" s="898"/>
      <c r="L127" s="898"/>
      <c r="M127" s="898"/>
      <c r="N127" s="898"/>
      <c r="O127" s="898"/>
      <c r="P127" s="898"/>
      <c r="Q127" s="898"/>
      <c r="R127" s="898"/>
      <c r="S127" s="899"/>
      <c r="T127" s="208"/>
      <c r="U127" s="204"/>
      <c r="V127" s="204"/>
      <c r="W127" s="204"/>
      <c r="X127" s="204"/>
      <c r="Y127" s="204"/>
      <c r="Z127" s="204"/>
      <c r="AA127" s="204"/>
      <c r="AB127" s="204"/>
      <c r="AC127" s="204"/>
      <c r="AD127" s="903"/>
      <c r="AE127" s="903"/>
      <c r="AF127" s="903"/>
      <c r="AG127" s="903"/>
      <c r="AH127" s="51"/>
      <c r="AI127" s="64"/>
      <c r="AJ127" s="43" t="str">
        <f>IF(D127="","",IF(OR(F127=Lists!$I$11,F127=Lists!$I$16,F127=Lists!$J$12),"EER",IF(OR(F127=Lists!$I$17,F127=Lists!$I$18),"kW/ton",IF(D127*12000&lt;65000,"SEER","EER"))))</f>
        <v/>
      </c>
      <c r="AK127" s="43"/>
      <c r="AL127" s="43"/>
      <c r="AM127" s="43"/>
      <c r="AN127" s="43"/>
      <c r="AO127" s="43"/>
      <c r="AP127" s="310" t="str">
        <f>IF(LEFT(F127,3)="Air","",IF(OR(F127="",D127=""),"",IF(F127='HVAC Efficiency Tables'!$A$24,VLOOKUP(D127,GroupF,3),IF(F127='HVAC Efficiency Tables'!$A$27,VLOOKUP(D127,GroupG,3),IF(F127='HVAC Efficiency Tables'!$A$33,VLOOKUP(D127,GroupH,3),"N/A")))))</f>
        <v/>
      </c>
      <c r="AQ127" s="43" t="str">
        <f>IF(OR(AP127="N/A",AP127=""),"",IF(F127=Lists!$I$16,"EER",IF(OR(F127=Lists!$I$17,F127=Lists!$I$18),"kW/ton",IF(D127*12000&lt;65000,"SEER","EER"))))</f>
        <v/>
      </c>
      <c r="AR127" s="894" t="str">
        <f>IF(LEFT(F127,4)="Air ","",IF(AND($BR$1="OR",OR($B127&lt;0,$D127,0,$F127&lt;&gt;"",$AD127&lt;&gt;"",$AI127&lt;0)),"ID Only*",IF(OR(AI127="",$AP127="",AP127="N/A"),"",IF(AQ127="SEER",IF($AP127&lt;=AI127,"Qualified","Not Qualified"),IF(AQ127="kW/ton",IF($AP127&gt;=AI127,"Qualified","Not Qualified"))))))</f>
        <v/>
      </c>
      <c r="AS127" s="894"/>
      <c r="AT127" s="709"/>
      <c r="AU127" s="709"/>
      <c r="AV127" s="43"/>
      <c r="AW127" s="208"/>
      <c r="AX127" s="208"/>
      <c r="AY127" s="55" t="str">
        <f>IF(LEFT(F127,5)="Water","",IF(OR(F127="",D127=""),"",IF(F127='HVAC Efficiency Tables'!$A$24,VLOOKUP(D127,GroupF,3),IF(F127='HVAC Efficiency Tables'!$A$27,VLOOKUP(D127,GroupG,3),IF(F127='HVAC Efficiency Tables'!$A$33,VLOOKUP(D127,GroupH,3),"N/A")))))</f>
        <v/>
      </c>
      <c r="AZ127" s="43" t="str">
        <f>IF(OR(AY127="N/A",AY127=""),"",IF(F127=Lists!$I$16,"EER",IF(OR(F127=Lists!$I$17,F127=Lists!$I$18),"kW/ton",IF(D127*12000&lt;65000,"SEER","EER"))))</f>
        <v/>
      </c>
      <c r="BA127" s="894" t="str">
        <f>IF(LEFT(F127,5)="Water","",IF(AND($BR$1="OR",OR($B127&lt;0,$D127,0,$F127&lt;&gt;"",$AD127&lt;&gt;"",$AI127&lt;0)),"ID Only*",IF(OR(AI127="",$AY127="",AY127="N/A"),"",IF(AZ127="EER",IF($AY127&lt;=AI127,"Qualified","Not Qualified"),IF(AZ127="kW/ton",IF($AY127&gt;=AI127,"Qualified","Not Qualified"))))))</f>
        <v/>
      </c>
      <c r="BB127" s="894"/>
      <c r="BC127" s="709"/>
      <c r="BD127" s="709"/>
      <c r="BE127" s="204"/>
      <c r="BF127" s="204"/>
      <c r="BG127" s="157" t="s">
        <v>142</v>
      </c>
      <c r="BH127" s="895" t="str">
        <f>IF(AND($BR$1="OR",OR($B127&gt;0,$D127&gt;0,$F127&lt;&gt;"",$AD127&lt;&gt;"",$AI127&gt;0)),"ID Only*",IF(AR127="Qualified",D127*B127*60,IF(BA127="Qualified",D127*B127*110,"")))</f>
        <v/>
      </c>
      <c r="BI127" s="895"/>
      <c r="BJ127" s="230"/>
      <c r="BQ127" s="298">
        <f>IF($F127="Air Cooled Chiller with Condenser",IF(AND($BA127="Qualified",D127&lt;150),155,IF(AND($BA127="Qualified",D127&gt;149.99),152,0)),0)</f>
        <v>0</v>
      </c>
      <c r="BR127" s="298">
        <f>IF($F127="Water Cooled Chiller elect. operated, reciprocating &amp; positive displacement",
IF(AND($AR127="Qualified",$D127&lt;75),105,
IF(AND($AR127="Qualified",$D127&gt;74.99,$D127&lt;150),100,
IF(AND($AR127="Qualified",$D127&gt;149.99,$D127&lt;300),94,
IF(AND($AR127="Qualified",$D127&gt;299.99,$D127&lt;600),89,
IF(AND($AR127="Qualified",$D127&gt;599.99),84,0))))),0)</f>
        <v>0</v>
      </c>
      <c r="BS127" s="298">
        <f>IF($F127="Water Cooled Chiller elect. operated, centrifugal",
IF(AND($AR127="Qualified",$D127&lt;150),94,
IF(AND($AR127="Qualified",$D127&gt;149.99,$D127&lt;300),91,
IF(AND($AR127="Qualified",$D127&gt;299.99,$D127&lt;400),87,
IF(AND($AR127="Qualified",$D127&gt;399.99),84,0)))),0)</f>
        <v>0</v>
      </c>
      <c r="BT127" s="298"/>
      <c r="BU127" s="298">
        <f t="shared" ref="BU127:BU130" si="77">IF($BR$1="OR",0,MAX(BQ127:BT127))</f>
        <v>0</v>
      </c>
      <c r="BV127" s="617">
        <f>IF(OR(BA127="Qualified",AR127="Qualified"),IF(AJ127="EER",BS127,IF(AJ127="SEER",BT127,IF(AJ127="kW/ton",BU127,0))),0)</f>
        <v>0</v>
      </c>
      <c r="BW127" s="301"/>
      <c r="BY127" s="94"/>
      <c r="BZ127" s="94"/>
      <c r="CA127" s="94"/>
      <c r="CB127" s="94"/>
      <c r="CC127" s="94"/>
      <c r="CD127" s="94"/>
      <c r="CE127" s="94"/>
      <c r="CF127" s="94"/>
      <c r="CG127" s="94"/>
      <c r="CH127" s="94"/>
      <c r="CI127" s="94"/>
      <c r="CJ127" s="94"/>
      <c r="CK127" s="94"/>
      <c r="CL127" s="94"/>
      <c r="CM127" s="94"/>
      <c r="CN127" s="94"/>
      <c r="CO127" s="94"/>
      <c r="CP127" s="94"/>
      <c r="CQ127" s="94"/>
      <c r="CR127" s="94"/>
      <c r="CS127" s="94"/>
      <c r="CT127" s="94"/>
      <c r="CU127" s="94"/>
      <c r="CV127" s="94"/>
      <c r="CW127" s="94"/>
      <c r="CX127" s="94"/>
      <c r="CY127" s="94"/>
      <c r="CZ127" s="94"/>
    </row>
    <row r="128" spans="1:104" ht="14.1" customHeight="1">
      <c r="A128" s="54"/>
      <c r="B128" s="64"/>
      <c r="C128" s="333"/>
      <c r="D128" s="64"/>
      <c r="E128" s="606"/>
      <c r="F128" s="897"/>
      <c r="G128" s="898"/>
      <c r="H128" s="898"/>
      <c r="I128" s="898"/>
      <c r="J128" s="898"/>
      <c r="K128" s="898"/>
      <c r="L128" s="898"/>
      <c r="M128" s="898"/>
      <c r="N128" s="898"/>
      <c r="O128" s="898"/>
      <c r="P128" s="898"/>
      <c r="Q128" s="898"/>
      <c r="R128" s="898"/>
      <c r="S128" s="899"/>
      <c r="T128" s="208"/>
      <c r="U128" s="204"/>
      <c r="V128" s="204"/>
      <c r="W128" s="204"/>
      <c r="X128" s="204"/>
      <c r="Y128" s="204"/>
      <c r="Z128" s="204"/>
      <c r="AA128" s="204"/>
      <c r="AB128" s="204"/>
      <c r="AC128" s="204"/>
      <c r="AD128" s="903"/>
      <c r="AE128" s="903"/>
      <c r="AF128" s="903"/>
      <c r="AG128" s="903"/>
      <c r="AH128" s="51"/>
      <c r="AI128" s="64"/>
      <c r="AJ128" s="43" t="str">
        <f>IF(D128="","",IF(OR(F128=Lists!$I$11,F128=Lists!$I$16,F128=Lists!$J$12),"EER",IF(OR(F128=Lists!$I$17,F128=Lists!$I$18),"kW/ton",IF(D128*12000&lt;65000,"SEER","EER"))))</f>
        <v/>
      </c>
      <c r="AK128" s="43"/>
      <c r="AL128" s="43"/>
      <c r="AM128" s="43"/>
      <c r="AN128" s="43"/>
      <c r="AO128" s="43"/>
      <c r="AP128" s="310" t="str">
        <f>IF(LEFT(F128,3)="Air","",IF(OR(F128="",D128=""),"",IF(F128='HVAC Efficiency Tables'!$A$24,VLOOKUP(D128,GroupF,3),IF(F128='HVAC Efficiency Tables'!$A$27,VLOOKUP(D128,GroupG,3),IF(F128='HVAC Efficiency Tables'!$A$33,VLOOKUP(D128,GroupH,3),"N/A")))))</f>
        <v/>
      </c>
      <c r="AQ128" s="43" t="str">
        <f>IF(OR(AP128="N/A",AP128=""),"",IF(F128=Lists!$I$16,"EER",IF(OR(F128=Lists!$I$17,F128=Lists!$I$18),"kW/ton",IF(D128*12000&lt;65000,"SEER","EER"))))</f>
        <v/>
      </c>
      <c r="AR128" s="894" t="str">
        <f>IF(LEFT(F128,4)="Air ","",IF(AND($BR$1="OR",OR($B128&lt;0,$D128,0,$F128&lt;&gt;"",$AD128&lt;&gt;"",$AI128&lt;0)),"ID Only*",IF(OR(AI128="",$AP128="",AP128="N/A"),"",IF(AQ128="SEER",IF($AP128&lt;=AI128,"Qualified","Not Qualified"),IF(AQ128="kW/ton",IF($AP128&gt;=AI128,"Qualified","Not Qualified"))))))</f>
        <v/>
      </c>
      <c r="AS128" s="894"/>
      <c r="AT128" s="709"/>
      <c r="AU128" s="709"/>
      <c r="AV128" s="43"/>
      <c r="AW128" s="208"/>
      <c r="AX128" s="208"/>
      <c r="AY128" s="55" t="str">
        <f>IF(LEFT(F128,5)="Water","",IF(OR(F128="",D128=""),"",IF(F128='HVAC Efficiency Tables'!$A$24,VLOOKUP(D128,GroupF,3),IF(F128='HVAC Efficiency Tables'!$A$27,VLOOKUP(D128,GroupG,3),IF(F128='HVAC Efficiency Tables'!$A$33,VLOOKUP(D128,GroupH,3),"N/A")))))</f>
        <v/>
      </c>
      <c r="AZ128" s="43" t="str">
        <f>IF(OR(AY128="N/A",AY128=""),"",IF(F128=Lists!$I$16,"EER",IF(OR(F128=Lists!$I$17,F128=Lists!$I$18),"kW/ton",IF(D128*12000&lt;65000,"SEER","EER"))))</f>
        <v/>
      </c>
      <c r="BA128" s="894" t="str">
        <f>IF(LEFT(F128,5)="Water","",IF(AND($BR$1="OR",OR($B128&lt;0,$D128,0,$F128&lt;&gt;"",$AD128&lt;&gt;"",$AI128&lt;0)),"ID Only*",IF(OR(AI128="",$AY128="",AY128="N/A"),"",IF(AZ128="EER",IF($AY128&lt;=AI128,"Qualified","Not Qualified"),IF(AZ128="kW/ton",IF($AY128&gt;=AI128,"Qualified","Not Qualified"))))))</f>
        <v/>
      </c>
      <c r="BB128" s="894"/>
      <c r="BC128" s="709"/>
      <c r="BD128" s="709"/>
      <c r="BE128" s="204"/>
      <c r="BF128" s="204"/>
      <c r="BG128" s="157" t="s">
        <v>142</v>
      </c>
      <c r="BH128" s="895" t="str">
        <f>IF(AND($BR$1="OR",OR($B128&gt;0,$D128&gt;0,$F128&lt;&gt;"",$AD128&lt;&gt;"",$AI128&gt;0)),"ID Only*",IF(AR128="Qualified",D128*B128*60,IF(BA128="Qualified",D128*B128*110,"")))</f>
        <v/>
      </c>
      <c r="BI128" s="895"/>
      <c r="BJ128" s="230"/>
      <c r="BQ128" s="298">
        <f>IF($F128="Air Cooled Chiller with Condenser",IF(AND($BA128="Qualified",D128&lt;150),155,IF(AND($BA128="Qualified",D128&gt;149.99),152,0)),0)</f>
        <v>0</v>
      </c>
      <c r="BR128" s="298">
        <f>IF($F128="Water Cooled Chiller elect. operated, reciprocating &amp; positive displacement",
IF(AND($AR128="Qualified",$D128&lt;75),105,
IF(AND($AR128="Qualified",$D128&gt;74.99,$D128&lt;150),100,
IF(AND($AR128="Qualified",$D128&gt;149.99,$D128&lt;300),94,
IF(AND($AR128="Qualified",$D128&gt;299.99,$D128&lt;600),89,
IF(AND($AR128="Qualified",$D128&gt;599.99),84,0))))),0)</f>
        <v>0</v>
      </c>
      <c r="BS128" s="298">
        <f>IF($F128="Water Cooled Chiller elect. operated, centrifugal",
IF(AND($AR128="Qualified",$D128&lt;150),94,
IF(AND($AR128="Qualified",$D128&gt;149.99,$D128&lt;300),91,
IF(AND($AR128="Qualified",$D128&gt;299.99,$D128&lt;400),87,
IF(AND($AR128="Qualified",$D128&gt;399.99),84,0)))),0)</f>
        <v>0</v>
      </c>
      <c r="BT128" s="298"/>
      <c r="BU128" s="298">
        <f t="shared" si="77"/>
        <v>0</v>
      </c>
      <c r="BV128" s="617">
        <f>IF(OR(BA128="Qualified",AR128="Qualified"),IF(AJ128="EER",BS128,IF(AJ128="SEER",BT128,IF(AJ128="kW/ton",BU128,0))),0)</f>
        <v>0</v>
      </c>
      <c r="BW128" s="301"/>
      <c r="BY128" s="94"/>
      <c r="BZ128" s="94"/>
      <c r="CA128" s="94"/>
      <c r="CB128" s="94"/>
      <c r="CC128" s="94"/>
      <c r="CD128" s="94"/>
      <c r="CE128" s="94"/>
      <c r="CF128" s="94"/>
      <c r="CG128" s="94"/>
      <c r="CH128" s="94"/>
      <c r="CI128" s="94"/>
      <c r="CJ128" s="94"/>
      <c r="CK128" s="94"/>
      <c r="CL128" s="94"/>
      <c r="CM128" s="94"/>
      <c r="CN128" s="94"/>
      <c r="CO128" s="94"/>
      <c r="CP128" s="94"/>
      <c r="CQ128" s="94"/>
      <c r="CR128" s="94"/>
      <c r="CS128" s="94"/>
      <c r="CT128" s="94"/>
      <c r="CU128" s="94"/>
      <c r="CV128" s="94"/>
      <c r="CW128" s="94"/>
      <c r="CX128" s="94"/>
      <c r="CY128" s="94"/>
      <c r="CZ128" s="94"/>
    </row>
    <row r="129" spans="1:104" ht="14.1" customHeight="1">
      <c r="A129" s="54"/>
      <c r="B129" s="64"/>
      <c r="C129" s="333"/>
      <c r="D129" s="64"/>
      <c r="E129" s="606"/>
      <c r="F129" s="897"/>
      <c r="G129" s="898"/>
      <c r="H129" s="898"/>
      <c r="I129" s="898"/>
      <c r="J129" s="898"/>
      <c r="K129" s="898"/>
      <c r="L129" s="898"/>
      <c r="M129" s="898"/>
      <c r="N129" s="898"/>
      <c r="O129" s="898"/>
      <c r="P129" s="898"/>
      <c r="Q129" s="898"/>
      <c r="R129" s="898"/>
      <c r="S129" s="899"/>
      <c r="T129" s="208"/>
      <c r="U129" s="204"/>
      <c r="V129" s="204"/>
      <c r="W129" s="204"/>
      <c r="X129" s="204"/>
      <c r="Y129" s="204"/>
      <c r="Z129" s="204"/>
      <c r="AA129" s="204"/>
      <c r="AB129" s="204"/>
      <c r="AC129" s="204"/>
      <c r="AD129" s="903"/>
      <c r="AE129" s="903"/>
      <c r="AF129" s="903"/>
      <c r="AG129" s="903"/>
      <c r="AH129" s="51"/>
      <c r="AI129" s="64"/>
      <c r="AJ129" s="43" t="str">
        <f>IF(D129="","",IF(OR(F129=Lists!$I$11,F129=Lists!$I$16,F129=Lists!$J$12),"EER",IF(OR(F129=Lists!$I$17,F129=Lists!$I$18),"kW/ton",IF(D129*12000&lt;65000,"SEER","EER"))))</f>
        <v/>
      </c>
      <c r="AK129" s="43"/>
      <c r="AL129" s="43"/>
      <c r="AM129" s="43"/>
      <c r="AN129" s="43"/>
      <c r="AO129" s="43"/>
      <c r="AP129" s="310" t="str">
        <f>IF(LEFT(F129,3)="Air","",IF(OR(F129="",D129=""),"",IF(F129='HVAC Efficiency Tables'!$A$24,VLOOKUP(D129,GroupF,3),IF(F129='HVAC Efficiency Tables'!$A$27,VLOOKUP(D129,GroupG,3),IF(F129='HVAC Efficiency Tables'!$A$33,VLOOKUP(D129,GroupH,3),"N/A")))))</f>
        <v/>
      </c>
      <c r="AQ129" s="43" t="str">
        <f>IF(OR(AP129="N/A",AP129=""),"",IF(F129=Lists!$I$16,"EER",IF(OR(F129=Lists!$I$17,F129=Lists!$I$18),"kW/ton",IF(D129*12000&lt;65000,"SEER","EER"))))</f>
        <v/>
      </c>
      <c r="AR129" s="894" t="str">
        <f>IF(LEFT(F129,4)="Air ","",IF(AND($BR$1="OR",OR($B129&lt;0,$D129,0,$F129&lt;&gt;"",$AD129&lt;&gt;"",$AI129&lt;0)),"ID Only*",IF(OR(AI129="",$AP129="",AP129="N/A"),"",IF(AQ129="SEER",IF($AP129&lt;=AI129,"Qualified","Not Qualified"),IF(AQ129="kW/ton",IF($AP129&gt;=AI129,"Qualified","Not Qualified"))))))</f>
        <v/>
      </c>
      <c r="AS129" s="894"/>
      <c r="AT129" s="709"/>
      <c r="AU129" s="709"/>
      <c r="AV129" s="43"/>
      <c r="AW129" s="208"/>
      <c r="AX129" s="208"/>
      <c r="AY129" s="55" t="str">
        <f>IF(LEFT(F129,5)="Water","",IF(OR(F129="",D129=""),"",IF(F129='HVAC Efficiency Tables'!$A$24,VLOOKUP(D129,GroupF,3),IF(F129='HVAC Efficiency Tables'!$A$27,VLOOKUP(D129,GroupG,3),IF(F129='HVAC Efficiency Tables'!$A$33,VLOOKUP(D129,GroupH,3),"N/A")))))</f>
        <v/>
      </c>
      <c r="AZ129" s="43" t="str">
        <f>IF(OR(AY129="N/A",AY129=""),"",IF(F129=Lists!$I$16,"EER",IF(OR(F129=Lists!$I$17,F129=Lists!$I$18),"kW/ton",IF(D129*12000&lt;65000,"SEER","EER"))))</f>
        <v/>
      </c>
      <c r="BA129" s="894" t="str">
        <f>IF(LEFT(F129,5)="Water","",IF(AND($BR$1="OR",OR($B129&lt;0,$D129,0,$F129&lt;&gt;"",$AD129&lt;&gt;"",$AI129&lt;0)),"ID Only*",IF(OR(AI129="",$AY129="",AY129="N/A"),"",IF(AZ129="EER",IF($AY129&lt;=AI129,"Qualified","Not Qualified"),IF(AZ129="kW/ton",IF($AY129&gt;=AI129,"Qualified","Not Qualified"))))))</f>
        <v/>
      </c>
      <c r="BB129" s="894"/>
      <c r="BC129" s="709"/>
      <c r="BD129" s="709"/>
      <c r="BE129" s="204"/>
      <c r="BF129" s="204"/>
      <c r="BG129" s="157" t="s">
        <v>142</v>
      </c>
      <c r="BH129" s="895" t="str">
        <f>IF(AND($BR$1="OR",OR($B129&gt;0,$D129&gt;0,$F129&lt;&gt;"",$AD129&lt;&gt;"",$AI129&gt;0)),"ID Only*",IF(AR129="Qualified",D129*B129*60,IF(BA129="Qualified",D129*B129*110,"")))</f>
        <v/>
      </c>
      <c r="BI129" s="895"/>
      <c r="BJ129" s="230"/>
      <c r="BQ129" s="298">
        <f>IF($F129="Air Cooled Chiller with Condenser",IF(AND($BA129="Qualified",D129&lt;150),155,IF(AND($BA129="Qualified",D129&gt;149.99),152,0)),0)</f>
        <v>0</v>
      </c>
      <c r="BR129" s="298">
        <f>IF($F129="Water Cooled Chiller elect. operated, reciprocating &amp; positive displacement",
IF(AND($AR129="Qualified",$D129&lt;75),105,
IF(AND($AR129="Qualified",$D129&gt;74.99,$D129&lt;150),100,
IF(AND($AR129="Qualified",$D129&gt;149.99,$D129&lt;300),94,
IF(AND($AR129="Qualified",$D129&gt;299.99,$D129&lt;600),89,
IF(AND($AR129="Qualified",$D129&gt;599.99),84,0))))),0)</f>
        <v>0</v>
      </c>
      <c r="BS129" s="298">
        <f>IF($F129="Water Cooled Chiller elect. operated, centrifugal",
IF(AND($AR129="Qualified",$D129&lt;150),94,
IF(AND($AR129="Qualified",$D129&gt;149.99,$D129&lt;300),91,
IF(AND($AR129="Qualified",$D129&gt;299.99,$D129&lt;400),87,
IF(AND($AR129="Qualified",$D129&gt;399.99),84,0)))),0)</f>
        <v>0</v>
      </c>
      <c r="BT129" s="298"/>
      <c r="BU129" s="298">
        <f t="shared" si="77"/>
        <v>0</v>
      </c>
      <c r="BV129" s="617">
        <f>IF(OR(BA129="Qualified",AR129="Qualified"),IF(AJ129="EER",BS129,IF(AJ129="SEER",BT129,IF(AJ129="kW/ton",BU129,0))),0)</f>
        <v>0</v>
      </c>
      <c r="BW129" s="301"/>
      <c r="BY129" s="94"/>
      <c r="BZ129" s="94"/>
      <c r="CA129" s="94"/>
      <c r="CB129" s="94"/>
      <c r="CC129" s="94"/>
      <c r="CD129" s="94"/>
      <c r="CE129" s="94"/>
      <c r="CF129" s="94"/>
      <c r="CG129" s="94"/>
      <c r="CH129" s="94"/>
      <c r="CI129" s="94"/>
      <c r="CJ129" s="94"/>
      <c r="CK129" s="94"/>
      <c r="CL129" s="94"/>
      <c r="CM129" s="94"/>
      <c r="CN129" s="94"/>
      <c r="CO129" s="94"/>
      <c r="CP129" s="94"/>
      <c r="CQ129" s="94"/>
      <c r="CR129" s="94"/>
      <c r="CS129" s="94"/>
      <c r="CT129" s="94"/>
      <c r="CU129" s="94"/>
      <c r="CV129" s="94"/>
      <c r="CW129" s="94"/>
      <c r="CX129" s="94"/>
      <c r="CY129" s="94"/>
      <c r="CZ129" s="94"/>
    </row>
    <row r="130" spans="1:104" ht="12.75">
      <c r="A130" s="54"/>
      <c r="B130" s="64"/>
      <c r="C130" s="333"/>
      <c r="D130" s="64"/>
      <c r="E130" s="606"/>
      <c r="F130" s="897"/>
      <c r="G130" s="898"/>
      <c r="H130" s="898"/>
      <c r="I130" s="898"/>
      <c r="J130" s="898"/>
      <c r="K130" s="898"/>
      <c r="L130" s="898"/>
      <c r="M130" s="898"/>
      <c r="N130" s="898"/>
      <c r="O130" s="898"/>
      <c r="P130" s="898"/>
      <c r="Q130" s="898"/>
      <c r="R130" s="898"/>
      <c r="S130" s="899"/>
      <c r="T130" s="208"/>
      <c r="U130" s="204"/>
      <c r="V130" s="204"/>
      <c r="W130" s="204"/>
      <c r="X130" s="204"/>
      <c r="Y130" s="204"/>
      <c r="Z130" s="204"/>
      <c r="AA130" s="204"/>
      <c r="AB130" s="204"/>
      <c r="AC130" s="204"/>
      <c r="AD130" s="903"/>
      <c r="AE130" s="903"/>
      <c r="AF130" s="903"/>
      <c r="AG130" s="903"/>
      <c r="AH130" s="51"/>
      <c r="AI130" s="64"/>
      <c r="AJ130" s="43" t="str">
        <f>IF(D130="","",IF(OR(F130=Lists!$I$11,F130=Lists!$I$16,F130=Lists!$J$12),"EER",IF(OR(F130=Lists!$I$17,F130=Lists!$I$18),"kW/ton",IF(D130*12000&lt;65000,"SEER","EER"))))</f>
        <v/>
      </c>
      <c r="AK130" s="43"/>
      <c r="AL130" s="43"/>
      <c r="AM130" s="43"/>
      <c r="AN130" s="43"/>
      <c r="AO130" s="43"/>
      <c r="AP130" s="310" t="str">
        <f>IF(LEFT(F130,3)="Air","",IF(OR(F130="",D130=""),"",IF(F130='HVAC Efficiency Tables'!$A$24,VLOOKUP(D130,GroupF,3),IF(F130='HVAC Efficiency Tables'!$A$27,VLOOKUP(D130,GroupG,3),IF(F130='HVAC Efficiency Tables'!$A$33,VLOOKUP(D130,GroupH,3),"N/A")))))</f>
        <v/>
      </c>
      <c r="AQ130" s="43" t="str">
        <f>IF(OR(AP130="N/A",AP130=""),"",IF(F130=Lists!$I$16,"EER",IF(OR(F130=Lists!$I$17,F130=Lists!$I$18),"kW/ton",IF(D130*12000&lt;65000,"SEER","EER"))))</f>
        <v/>
      </c>
      <c r="AR130" s="894" t="str">
        <f>IF(LEFT(F130,4)="Air ","",IF(AND($BR$1="OR",OR($B130&lt;0,$D130,0,$F130&lt;&gt;"",$AD130&lt;&gt;"",$AI130&lt;0)),"ID Only*",IF(OR(AI130="",$AP130="",AP130="N/A"),"",IF(AQ130="SEER",IF($AP130&lt;=AI130,"Qualified","Not Qualified"),IF(AQ130="kW/ton",IF($AP130&gt;=AI130,"Qualified","Not Qualified"))))))</f>
        <v/>
      </c>
      <c r="AS130" s="894"/>
      <c r="AT130" s="709"/>
      <c r="AU130" s="709"/>
      <c r="AV130" s="43"/>
      <c r="AW130" s="208"/>
      <c r="AX130" s="208"/>
      <c r="AY130" s="55" t="str">
        <f>IF(LEFT(F130,5)="Water","",IF(OR(F130="",D130=""),"",IF(F130='HVAC Efficiency Tables'!$A$24,VLOOKUP(D130,GroupF,3),IF(F130='HVAC Efficiency Tables'!$A$27,VLOOKUP(D130,GroupG,3),IF(F130='HVAC Efficiency Tables'!$A$33,VLOOKUP(D130,GroupH,3),"N/A")))))</f>
        <v/>
      </c>
      <c r="AZ130" s="43" t="str">
        <f>IF(OR(AY130="N/A",AY130=""),"",IF(F130=Lists!$I$16,"EER",IF(OR(F130=Lists!$I$17,F130=Lists!$I$18),"kW/ton",IF(D130*12000&lt;65000,"SEER","EER"))))</f>
        <v/>
      </c>
      <c r="BA130" s="894" t="str">
        <f>IF(LEFT(F130,5)="Water","",IF(AND($BR$1="OR",OR($B130&lt;0,$D130,0,$F130&lt;&gt;"",$AD130&lt;&gt;"",$AI130&lt;0)),"ID Only*",IF(OR(AI130="",$AY130="",AY130="N/A"),"",IF(AZ130="EER",IF($AY130&lt;=AI130,"Qualified","Not Qualified"),IF(AZ130="kW/ton",IF($AY130&gt;=AI130,"Qualified","Not Qualified"))))))</f>
        <v/>
      </c>
      <c r="BB130" s="894"/>
      <c r="BC130" s="709"/>
      <c r="BD130" s="709"/>
      <c r="BE130" s="204"/>
      <c r="BF130" s="204"/>
      <c r="BG130" s="157" t="s">
        <v>142</v>
      </c>
      <c r="BH130" s="895" t="str">
        <f>IF(AND($BR$1="OR",OR($B130&gt;0,$D130&gt;0,$F130&lt;&gt;"",$AD130&lt;&gt;"",$AI130&gt;0)),"ID Only*",IF(AR130="Qualified",D130*B130*60,IF(BA130="Qualified",D130*B130*110,"")))</f>
        <v/>
      </c>
      <c r="BI130" s="895"/>
      <c r="BJ130" s="230"/>
      <c r="BQ130" s="298">
        <f>IF($F130="Air Cooled Chiller with Condenser",IF(AND($BA130="Qualified",D130&lt;150),155,IF(AND($BA130="Qualified",D130&gt;149.99),152,0)),0)</f>
        <v>0</v>
      </c>
      <c r="BR130" s="298">
        <f>IF($F130="Water Cooled Chiller elect. operated, reciprocating &amp; positive displacement",
IF(AND($AR130="Qualified",$D130&lt;75),105,
IF(AND($AR130="Qualified",$D130&gt;74.99,$D130&lt;150),100,
IF(AND($AR130="Qualified",$D130&gt;149.99,$D130&lt;300),94,
IF(AND($AR130="Qualified",$D130&gt;299.99,$D130&lt;600),89,
IF(AND($AR130="Qualified",$D130&gt;599.99),84,0))))),0)</f>
        <v>0</v>
      </c>
      <c r="BS130" s="298">
        <f>IF($F130="Water Cooled Chiller elect. operated, centrifugal",
IF(AND($AR130="Qualified",$D130&lt;150),94,
IF(AND($AR130="Qualified",$D130&gt;149.99,$D130&lt;300),91,
IF(AND($AR130="Qualified",$D130&gt;299.99,$D130&lt;400),87,
IF(AND($AR130="Qualified",$D130&gt;399.99),84,0)))),0)</f>
        <v>0</v>
      </c>
      <c r="BT130" s="298"/>
      <c r="BU130" s="298">
        <f t="shared" si="77"/>
        <v>0</v>
      </c>
      <c r="BV130" s="617">
        <f>IF(OR(BA130="Qualified",AR130="Qualified"),IF(AJ130="EER",BS130,IF(AJ130="SEER",BT130,IF(AJ130="kW/ton",BU130,0))),0)</f>
        <v>0</v>
      </c>
      <c r="BW130" s="301"/>
      <c r="BY130" s="94"/>
      <c r="BZ130" s="94"/>
      <c r="CA130" s="94"/>
      <c r="CB130" s="94"/>
      <c r="CC130" s="94"/>
      <c r="CD130" s="94"/>
      <c r="CE130" s="94"/>
      <c r="CF130" s="94"/>
      <c r="CG130" s="94"/>
      <c r="CH130" s="94"/>
      <c r="CI130" s="94"/>
      <c r="CJ130" s="94"/>
      <c r="CK130" s="94"/>
      <c r="CL130" s="94"/>
      <c r="CM130" s="94"/>
      <c r="CN130" s="94"/>
      <c r="CO130" s="94"/>
      <c r="CP130" s="94"/>
      <c r="CQ130" s="94"/>
      <c r="CR130" s="94"/>
      <c r="CS130" s="94"/>
      <c r="CT130" s="94"/>
      <c r="CU130" s="94"/>
      <c r="CV130" s="94"/>
      <c r="CW130" s="94"/>
      <c r="CX130" s="94"/>
      <c r="CY130" s="94"/>
      <c r="CZ130" s="94"/>
    </row>
    <row r="131" spans="1:104" ht="13.5" thickBot="1">
      <c r="A131" s="56"/>
      <c r="B131" s="585"/>
      <c r="C131" s="585"/>
      <c r="D131" s="585"/>
      <c r="E131" s="585"/>
      <c r="F131" s="585"/>
      <c r="G131" s="585"/>
      <c r="H131" s="585"/>
      <c r="I131" s="585"/>
      <c r="J131" s="585"/>
      <c r="K131" s="585"/>
      <c r="L131" s="585"/>
      <c r="M131" s="585"/>
      <c r="N131" s="585"/>
      <c r="O131" s="585"/>
      <c r="P131" s="585"/>
      <c r="Q131" s="585"/>
      <c r="R131" s="585"/>
      <c r="S131" s="585"/>
      <c r="T131" s="585"/>
      <c r="U131" s="585"/>
      <c r="V131" s="585"/>
      <c r="W131" s="585"/>
      <c r="X131" s="585"/>
      <c r="Y131" s="585"/>
      <c r="Z131" s="585"/>
      <c r="AA131" s="585"/>
      <c r="AB131" s="585"/>
      <c r="AC131" s="585"/>
      <c r="AD131" s="585"/>
      <c r="AE131" s="585"/>
      <c r="AF131" s="585"/>
      <c r="AG131" s="585"/>
      <c r="AH131" s="585"/>
      <c r="AI131" s="585"/>
      <c r="AJ131" s="585"/>
      <c r="AK131" s="585"/>
      <c r="AL131" s="585"/>
      <c r="AM131" s="585"/>
      <c r="AN131" s="585"/>
      <c r="AO131" s="585"/>
      <c r="AP131" s="585"/>
      <c r="AQ131" s="585"/>
      <c r="AR131" s="585"/>
      <c r="AS131" s="585"/>
      <c r="AT131" s="585"/>
      <c r="AU131" s="585"/>
      <c r="AV131" s="585"/>
      <c r="AW131" s="585"/>
      <c r="AX131" s="585"/>
      <c r="AY131" s="585"/>
      <c r="AZ131" s="585"/>
      <c r="BA131" s="585"/>
      <c r="BB131" s="585"/>
      <c r="BC131" s="585"/>
      <c r="BD131" s="585"/>
      <c r="BE131" s="585"/>
      <c r="BF131" s="585"/>
      <c r="BG131" s="585"/>
      <c r="BH131" s="585"/>
      <c r="BI131" s="586"/>
      <c r="BJ131" s="587"/>
      <c r="BV131" s="304" t="s">
        <v>2746</v>
      </c>
      <c r="BW131" s="304" t="s">
        <v>2747</v>
      </c>
      <c r="BY131" s="94"/>
      <c r="BZ131" s="94"/>
      <c r="CA131" s="94"/>
      <c r="CB131" s="94"/>
      <c r="CC131" s="94"/>
      <c r="CD131" s="94"/>
      <c r="CE131" s="94"/>
      <c r="CF131" s="94"/>
      <c r="CG131" s="94"/>
      <c r="CH131" s="94"/>
      <c r="CI131" s="94"/>
      <c r="CJ131" s="94"/>
      <c r="CK131" s="94"/>
      <c r="CL131" s="94"/>
      <c r="CM131" s="94"/>
      <c r="CN131" s="94"/>
      <c r="CO131" s="94"/>
      <c r="CP131" s="94"/>
      <c r="CQ131" s="94"/>
      <c r="CR131" s="94"/>
      <c r="CS131" s="94"/>
      <c r="CT131" s="94"/>
      <c r="CU131" s="94"/>
      <c r="CV131" s="94"/>
      <c r="CW131" s="94"/>
      <c r="CX131" s="94"/>
      <c r="CY131" s="94"/>
      <c r="CZ131" s="94"/>
    </row>
    <row r="132" spans="1:104" ht="14.25">
      <c r="A132" s="25"/>
      <c r="B132" s="610" t="s">
        <v>2748</v>
      </c>
      <c r="C132" s="25"/>
      <c r="D132" s="25"/>
      <c r="E132" s="25"/>
      <c r="F132" s="25"/>
      <c r="G132" s="25"/>
      <c r="H132" s="25"/>
      <c r="I132" s="25"/>
      <c r="J132" s="25"/>
      <c r="K132" s="25"/>
      <c r="L132" s="25"/>
      <c r="M132" s="25"/>
      <c r="N132" s="25"/>
      <c r="O132" s="25"/>
      <c r="P132" s="25"/>
      <c r="Q132" s="60"/>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61" t="s">
        <v>2749</v>
      </c>
      <c r="BG132" s="25"/>
      <c r="BH132" s="924" t="str">
        <f>IF(BM126&gt;=1,SUM(BH126:BH130),"")</f>
        <v/>
      </c>
      <c r="BI132" s="924"/>
      <c r="BJ132" s="25"/>
      <c r="BV132" s="302">
        <f>SUM(BV126:BV130)</f>
        <v>0</v>
      </c>
      <c r="BW132" s="302">
        <f>SUM(BW126:BW130)</f>
        <v>0</v>
      </c>
      <c r="BY132" s="94"/>
      <c r="BZ132" s="94"/>
      <c r="CA132" s="94"/>
      <c r="CB132" s="94"/>
      <c r="CC132" s="94"/>
      <c r="CD132" s="94"/>
      <c r="CE132" s="94"/>
      <c r="CF132" s="94"/>
      <c r="CG132" s="94"/>
      <c r="CH132" s="94"/>
      <c r="CI132" s="94"/>
      <c r="CJ132" s="94"/>
      <c r="CK132" s="94"/>
      <c r="CL132" s="94"/>
      <c r="CM132" s="94"/>
      <c r="CN132" s="94"/>
      <c r="CO132" s="94"/>
      <c r="CP132" s="94"/>
      <c r="CQ132" s="94"/>
      <c r="CR132" s="94"/>
      <c r="CS132" s="94"/>
      <c r="CT132" s="94"/>
      <c r="CU132" s="94"/>
      <c r="CV132" s="94"/>
      <c r="CW132" s="94"/>
      <c r="CX132" s="94"/>
      <c r="CY132" s="94"/>
      <c r="CZ132" s="94"/>
    </row>
    <row r="133" spans="1:104" ht="14.25">
      <c r="A133" s="33" t="str">
        <f>Version</f>
        <v>MF (11/23)</v>
      </c>
      <c r="B133" s="609"/>
      <c r="C133" s="25"/>
      <c r="D133" s="25"/>
      <c r="E133" s="25"/>
      <c r="F133" s="25"/>
      <c r="G133" s="610"/>
      <c r="H133" s="25"/>
      <c r="I133" s="25"/>
      <c r="J133" s="25"/>
      <c r="K133" s="25"/>
      <c r="L133" s="25"/>
      <c r="M133" s="25"/>
      <c r="N133" s="25"/>
      <c r="O133" s="25"/>
      <c r="P133" s="25"/>
      <c r="Q133" s="606"/>
      <c r="R133" s="606"/>
      <c r="S133" s="606"/>
      <c r="T133" s="606"/>
      <c r="U133" s="606"/>
      <c r="V133" s="606"/>
      <c r="W133" s="606"/>
      <c r="X133" s="606"/>
      <c r="Y133" s="606"/>
      <c r="Z133" s="606"/>
      <c r="AA133" s="606"/>
      <c r="AB133" s="606"/>
      <c r="AC133" s="606"/>
      <c r="AD133" s="606"/>
      <c r="AE133" s="606"/>
      <c r="AF133" s="606"/>
      <c r="AG133" s="606"/>
      <c r="AH133" s="606"/>
      <c r="AI133" s="606"/>
      <c r="AJ133" s="606"/>
      <c r="AK133" s="606"/>
      <c r="AL133" s="606"/>
      <c r="AM133" s="606"/>
      <c r="AN133" s="606"/>
      <c r="AO133" s="606"/>
      <c r="AP133" s="606"/>
      <c r="AQ133" s="606"/>
      <c r="AR133" s="606"/>
      <c r="AS133" s="606"/>
      <c r="AT133" s="606"/>
      <c r="AU133" s="606"/>
      <c r="AV133" s="606"/>
      <c r="AW133" s="606"/>
      <c r="AX133" s="606"/>
      <c r="AY133" s="606"/>
      <c r="AZ133" s="606"/>
      <c r="BA133" s="606"/>
      <c r="BB133" s="606"/>
      <c r="BC133" s="606"/>
      <c r="BD133" s="606"/>
      <c r="BE133" s="606"/>
      <c r="BF133" s="606"/>
      <c r="BG133" s="606"/>
      <c r="BH133" s="606"/>
      <c r="BI133" s="606"/>
      <c r="BJ133" s="606"/>
      <c r="BY133" s="94"/>
      <c r="BZ133" s="94"/>
      <c r="CA133" s="94"/>
      <c r="CB133" s="94"/>
      <c r="CC133" s="94"/>
      <c r="CD133" s="94"/>
      <c r="CE133" s="94"/>
      <c r="CF133" s="94"/>
      <c r="CG133" s="94"/>
      <c r="CH133" s="94"/>
      <c r="CI133" s="94"/>
      <c r="CJ133" s="94"/>
      <c r="CK133" s="94"/>
      <c r="CL133" s="94"/>
      <c r="CM133" s="94"/>
      <c r="CN133" s="94"/>
      <c r="CO133" s="94"/>
      <c r="CP133" s="94"/>
      <c r="CQ133" s="94"/>
      <c r="CR133" s="94"/>
      <c r="CS133" s="94"/>
      <c r="CT133" s="94"/>
      <c r="CU133" s="94"/>
      <c r="CV133" s="94"/>
      <c r="CW133" s="94"/>
      <c r="CX133" s="94"/>
      <c r="CY133" s="94"/>
      <c r="CZ133" s="94"/>
    </row>
    <row r="134" spans="1:104" ht="12.7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c r="BC134" s="94"/>
      <c r="BD134" s="94"/>
      <c r="BE134" s="94"/>
      <c r="BF134" s="94"/>
      <c r="BG134" s="94"/>
      <c r="BH134" s="94"/>
      <c r="BI134" s="94"/>
      <c r="BJ134" s="94"/>
      <c r="BK134" s="94"/>
      <c r="BL134" s="94"/>
      <c r="BM134" s="94"/>
      <c r="BN134" s="94"/>
      <c r="BO134" s="94"/>
      <c r="BP134" s="94"/>
      <c r="BQ134" s="94"/>
      <c r="BR134" s="94"/>
      <c r="BS134" s="94"/>
      <c r="BT134" s="94"/>
      <c r="BU134" s="94"/>
      <c r="BV134" s="94"/>
      <c r="BW134" s="94"/>
      <c r="BX134" s="94"/>
      <c r="BY134" s="94"/>
      <c r="BZ134" s="94"/>
      <c r="CA134" s="94"/>
      <c r="CB134" s="94"/>
      <c r="CC134" s="94"/>
      <c r="CD134" s="94"/>
      <c r="CE134" s="94"/>
      <c r="CF134" s="94"/>
      <c r="CG134" s="94"/>
      <c r="CH134" s="94"/>
      <c r="CI134" s="94"/>
      <c r="CJ134" s="94"/>
      <c r="CK134" s="94"/>
      <c r="CL134" s="94"/>
      <c r="CM134" s="94"/>
      <c r="CN134" s="94"/>
      <c r="CO134" s="94"/>
      <c r="CP134" s="94"/>
      <c r="CQ134" s="94"/>
      <c r="CR134" s="94"/>
      <c r="CS134" s="94"/>
      <c r="CT134" s="94"/>
      <c r="CU134" s="94"/>
      <c r="CV134" s="94"/>
      <c r="CW134" s="94"/>
      <c r="CX134" s="94"/>
      <c r="CY134" s="94"/>
      <c r="CZ134" s="94"/>
    </row>
    <row r="135" spans="1:104" ht="12.7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94"/>
      <c r="CD135" s="94"/>
      <c r="CE135" s="94"/>
      <c r="CF135" s="94"/>
      <c r="CG135" s="94"/>
      <c r="CH135" s="94"/>
      <c r="CI135" s="94"/>
      <c r="CJ135" s="94"/>
      <c r="CK135" s="94"/>
      <c r="CL135" s="94"/>
      <c r="CM135" s="94"/>
      <c r="CN135" s="94"/>
      <c r="CO135" s="94"/>
      <c r="CP135" s="94"/>
      <c r="CQ135" s="94"/>
      <c r="CR135" s="94"/>
      <c r="CS135" s="94"/>
      <c r="CT135" s="94"/>
      <c r="CU135" s="94"/>
      <c r="CV135" s="94"/>
      <c r="CW135" s="94"/>
      <c r="CX135" s="94"/>
      <c r="CY135" s="94"/>
      <c r="CZ135" s="94"/>
    </row>
    <row r="136" spans="1:104" ht="12.7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94"/>
      <c r="CD136" s="94"/>
      <c r="CE136" s="94"/>
      <c r="CF136" s="94"/>
      <c r="CG136" s="94"/>
      <c r="CH136" s="94"/>
      <c r="CI136" s="94"/>
      <c r="CJ136" s="94"/>
      <c r="CK136" s="94"/>
      <c r="CL136" s="94"/>
      <c r="CM136" s="94"/>
      <c r="CN136" s="94"/>
      <c r="CO136" s="94"/>
      <c r="CP136" s="94"/>
      <c r="CQ136" s="94"/>
      <c r="CR136" s="94"/>
      <c r="CS136" s="94"/>
      <c r="CT136" s="94"/>
      <c r="CU136" s="94"/>
      <c r="CV136" s="94"/>
      <c r="CW136" s="94"/>
      <c r="CX136" s="94"/>
      <c r="CY136" s="94"/>
      <c r="CZ136" s="94"/>
    </row>
    <row r="137" spans="1:104" ht="12.7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94"/>
      <c r="CD137" s="94"/>
      <c r="CE137" s="94"/>
      <c r="CF137" s="94"/>
      <c r="CG137" s="94"/>
      <c r="CH137" s="94"/>
      <c r="CI137" s="94"/>
      <c r="CJ137" s="94"/>
      <c r="CK137" s="94"/>
      <c r="CL137" s="94"/>
      <c r="CM137" s="94"/>
      <c r="CN137" s="94"/>
      <c r="CO137" s="94"/>
      <c r="CP137" s="94"/>
      <c r="CQ137" s="94"/>
      <c r="CR137" s="94"/>
      <c r="CS137" s="94"/>
      <c r="CT137" s="94"/>
      <c r="CU137" s="94"/>
      <c r="CV137" s="94"/>
      <c r="CW137" s="94"/>
      <c r="CX137" s="94"/>
      <c r="CY137" s="94"/>
      <c r="CZ137" s="94"/>
    </row>
    <row r="138" spans="1:104" ht="12.7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94"/>
      <c r="CD138" s="94"/>
      <c r="CE138" s="94"/>
      <c r="CF138" s="94"/>
      <c r="CG138" s="94"/>
      <c r="CH138" s="94"/>
      <c r="CI138" s="94"/>
      <c r="CJ138" s="94"/>
      <c r="CK138" s="94"/>
      <c r="CL138" s="94"/>
      <c r="CM138" s="94"/>
      <c r="CN138" s="94"/>
      <c r="CO138" s="94"/>
      <c r="CP138" s="94"/>
      <c r="CQ138" s="94"/>
      <c r="CR138" s="94"/>
      <c r="CS138" s="94"/>
      <c r="CT138" s="94"/>
      <c r="CU138" s="94"/>
      <c r="CV138" s="94"/>
      <c r="CW138" s="94"/>
      <c r="CX138" s="94"/>
      <c r="CY138" s="94"/>
      <c r="CZ138" s="94"/>
    </row>
    <row r="139" spans="1:104" ht="12.7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94"/>
      <c r="CD139" s="94"/>
      <c r="CE139" s="94"/>
      <c r="CF139" s="94"/>
      <c r="CG139" s="94"/>
      <c r="CH139" s="94"/>
      <c r="CI139" s="94"/>
      <c r="CJ139" s="94"/>
      <c r="CK139" s="94"/>
      <c r="CL139" s="94"/>
      <c r="CM139" s="94"/>
      <c r="CN139" s="94"/>
      <c r="CO139" s="94"/>
      <c r="CP139" s="94"/>
      <c r="CQ139" s="94"/>
      <c r="CR139" s="94"/>
      <c r="CS139" s="94"/>
      <c r="CT139" s="94"/>
      <c r="CU139" s="94"/>
      <c r="CV139" s="94"/>
      <c r="CW139" s="94"/>
      <c r="CX139" s="94"/>
      <c r="CY139" s="94"/>
      <c r="CZ139" s="94"/>
    </row>
    <row r="140" spans="1:104" ht="12.75">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c r="BC140" s="94"/>
      <c r="BD140" s="94"/>
      <c r="BE140" s="94"/>
      <c r="BF140" s="94"/>
      <c r="BG140" s="94"/>
      <c r="BH140" s="94"/>
      <c r="BI140" s="94"/>
      <c r="BJ140" s="94"/>
      <c r="BK140" s="94"/>
      <c r="BL140" s="94"/>
      <c r="BM140" s="94"/>
      <c r="BN140" s="94"/>
      <c r="BO140" s="94"/>
      <c r="BP140" s="94"/>
      <c r="BQ140" s="94"/>
      <c r="BR140" s="94"/>
      <c r="BS140" s="94"/>
      <c r="BT140" s="94"/>
      <c r="BU140" s="94"/>
      <c r="BV140" s="94"/>
      <c r="BW140" s="94"/>
      <c r="BX140" s="94"/>
      <c r="BY140" s="94"/>
      <c r="BZ140" s="94"/>
      <c r="CA140" s="94"/>
      <c r="CB140" s="94"/>
      <c r="CC140" s="94"/>
      <c r="CD140" s="94"/>
      <c r="CE140" s="94"/>
      <c r="CF140" s="94"/>
      <c r="CG140" s="94"/>
      <c r="CH140" s="94"/>
      <c r="CI140" s="94"/>
      <c r="CJ140" s="94"/>
      <c r="CK140" s="94"/>
      <c r="CL140" s="94"/>
      <c r="CM140" s="94"/>
      <c r="CN140" s="94"/>
      <c r="CO140" s="94"/>
      <c r="CP140" s="94"/>
      <c r="CQ140" s="94"/>
      <c r="CR140" s="94"/>
      <c r="CS140" s="94"/>
      <c r="CT140" s="94"/>
      <c r="CU140" s="94"/>
      <c r="CV140" s="94"/>
      <c r="CW140" s="94"/>
      <c r="CX140" s="94"/>
      <c r="CY140" s="94"/>
      <c r="CZ140" s="94"/>
    </row>
    <row r="141" spans="1:104" ht="12.7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94"/>
      <c r="CD141" s="94"/>
      <c r="CE141" s="94"/>
      <c r="CF141" s="94"/>
      <c r="CG141" s="94"/>
      <c r="CH141" s="94"/>
      <c r="CI141" s="94"/>
      <c r="CJ141" s="94"/>
      <c r="CK141" s="94"/>
      <c r="CL141" s="94"/>
      <c r="CM141" s="94"/>
      <c r="CN141" s="94"/>
      <c r="CO141" s="94"/>
      <c r="CP141" s="94"/>
      <c r="CQ141" s="94"/>
      <c r="CR141" s="94"/>
      <c r="CS141" s="94"/>
      <c r="CT141" s="94"/>
      <c r="CU141" s="94"/>
      <c r="CV141" s="94"/>
      <c r="CW141" s="94"/>
      <c r="CX141" s="94"/>
      <c r="CY141" s="94"/>
      <c r="CZ141" s="94"/>
    </row>
    <row r="142" spans="1:104" ht="12.75">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94"/>
      <c r="CB142" s="94"/>
      <c r="CC142" s="94"/>
      <c r="CD142" s="94"/>
      <c r="CE142" s="94"/>
      <c r="CF142" s="94"/>
      <c r="CG142" s="94"/>
      <c r="CH142" s="94"/>
      <c r="CI142" s="94"/>
      <c r="CJ142" s="94"/>
      <c r="CK142" s="94"/>
      <c r="CL142" s="94"/>
      <c r="CM142" s="94"/>
      <c r="CN142" s="94"/>
      <c r="CO142" s="94"/>
      <c r="CP142" s="94"/>
      <c r="CQ142" s="94"/>
      <c r="CR142" s="94"/>
      <c r="CS142" s="94"/>
      <c r="CT142" s="94"/>
      <c r="CU142" s="94"/>
      <c r="CV142" s="94"/>
      <c r="CW142" s="94"/>
      <c r="CX142" s="94"/>
      <c r="CY142" s="94"/>
      <c r="CZ142" s="94"/>
    </row>
    <row r="143" spans="1:104" ht="12.75">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94"/>
      <c r="CD143" s="94"/>
      <c r="CE143" s="94"/>
      <c r="CF143" s="94"/>
      <c r="CG143" s="94"/>
      <c r="CH143" s="94"/>
      <c r="CI143" s="94"/>
      <c r="CJ143" s="94"/>
      <c r="CK143" s="94"/>
      <c r="CL143" s="94"/>
      <c r="CM143" s="94"/>
      <c r="CN143" s="94"/>
      <c r="CO143" s="94"/>
      <c r="CP143" s="94"/>
      <c r="CQ143" s="94"/>
      <c r="CR143" s="94"/>
      <c r="CS143" s="94"/>
      <c r="CT143" s="94"/>
      <c r="CU143" s="94"/>
      <c r="CV143" s="94"/>
      <c r="CW143" s="94"/>
      <c r="CX143" s="94"/>
      <c r="CY143" s="94"/>
      <c r="CZ143" s="94"/>
    </row>
    <row r="144" spans="1:104" ht="12.75">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94"/>
      <c r="CD144" s="94"/>
      <c r="CE144" s="94"/>
      <c r="CF144" s="94"/>
      <c r="CG144" s="94"/>
      <c r="CH144" s="94"/>
      <c r="CI144" s="94"/>
      <c r="CJ144" s="94"/>
      <c r="CK144" s="94"/>
      <c r="CL144" s="94"/>
      <c r="CM144" s="94"/>
      <c r="CN144" s="94"/>
      <c r="CO144" s="94"/>
      <c r="CP144" s="94"/>
      <c r="CQ144" s="94"/>
      <c r="CR144" s="94"/>
      <c r="CS144" s="94"/>
      <c r="CT144" s="94"/>
      <c r="CU144" s="94"/>
      <c r="CV144" s="94"/>
      <c r="CW144" s="94"/>
      <c r="CX144" s="94"/>
      <c r="CY144" s="94"/>
      <c r="CZ144" s="94"/>
    </row>
    <row r="145" spans="1:104" ht="12.75">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A145" s="94"/>
      <c r="CB145" s="94"/>
      <c r="CC145" s="94"/>
      <c r="CD145" s="94"/>
      <c r="CE145" s="94"/>
      <c r="CF145" s="94"/>
      <c r="CG145" s="94"/>
      <c r="CH145" s="94"/>
      <c r="CI145" s="94"/>
      <c r="CJ145" s="94"/>
      <c r="CK145" s="94"/>
      <c r="CL145" s="94"/>
      <c r="CM145" s="94"/>
      <c r="CN145" s="94"/>
      <c r="CO145" s="94"/>
      <c r="CP145" s="94"/>
      <c r="CQ145" s="94"/>
      <c r="CR145" s="94"/>
      <c r="CS145" s="94"/>
      <c r="CT145" s="94"/>
      <c r="CU145" s="94"/>
      <c r="CV145" s="94"/>
      <c r="CW145" s="94"/>
      <c r="CX145" s="94"/>
      <c r="CY145" s="94"/>
      <c r="CZ145" s="94"/>
    </row>
    <row r="146" spans="1:104" ht="12.75">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94"/>
      <c r="CD146" s="94"/>
      <c r="CE146" s="94"/>
      <c r="CF146" s="94"/>
      <c r="CG146" s="94"/>
      <c r="CH146" s="94"/>
      <c r="CI146" s="94"/>
      <c r="CJ146" s="94"/>
      <c r="CK146" s="94"/>
      <c r="CL146" s="94"/>
      <c r="CM146" s="94"/>
      <c r="CN146" s="94"/>
      <c r="CO146" s="94"/>
      <c r="CP146" s="94"/>
      <c r="CQ146" s="94"/>
      <c r="CR146" s="94"/>
      <c r="CS146" s="94"/>
      <c r="CT146" s="94"/>
      <c r="CU146" s="94"/>
      <c r="CV146" s="94"/>
      <c r="CW146" s="94"/>
      <c r="CX146" s="94"/>
      <c r="CY146" s="94"/>
      <c r="CZ146" s="94"/>
    </row>
    <row r="147" spans="1:104" ht="12.75">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94"/>
      <c r="CD147" s="94"/>
      <c r="CE147" s="94"/>
      <c r="CF147" s="94"/>
      <c r="CG147" s="94"/>
      <c r="CH147" s="94"/>
      <c r="CI147" s="94"/>
      <c r="CJ147" s="94"/>
      <c r="CK147" s="94"/>
      <c r="CL147" s="94"/>
      <c r="CM147" s="94"/>
      <c r="CN147" s="94"/>
      <c r="CO147" s="94"/>
      <c r="CP147" s="94"/>
      <c r="CQ147" s="94"/>
      <c r="CR147" s="94"/>
      <c r="CS147" s="94"/>
      <c r="CT147" s="94"/>
      <c r="CU147" s="94"/>
      <c r="CV147" s="94"/>
      <c r="CW147" s="94"/>
      <c r="CX147" s="94"/>
      <c r="CY147" s="94"/>
      <c r="CZ147" s="94"/>
    </row>
    <row r="148" spans="1:104" ht="12.75">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94"/>
      <c r="CD148" s="94"/>
      <c r="CE148" s="94"/>
      <c r="CF148" s="94"/>
      <c r="CG148" s="94"/>
      <c r="CH148" s="94"/>
      <c r="CI148" s="94"/>
      <c r="CJ148" s="94"/>
      <c r="CK148" s="94"/>
      <c r="CL148" s="94"/>
      <c r="CM148" s="94"/>
      <c r="CN148" s="94"/>
      <c r="CO148" s="94"/>
      <c r="CP148" s="94"/>
      <c r="CQ148" s="94"/>
      <c r="CR148" s="94"/>
      <c r="CS148" s="94"/>
      <c r="CT148" s="94"/>
      <c r="CU148" s="94"/>
      <c r="CV148" s="94"/>
      <c r="CW148" s="94"/>
      <c r="CX148" s="94"/>
      <c r="CY148" s="94"/>
      <c r="CZ148" s="94"/>
    </row>
    <row r="149" spans="1:104" ht="12.75">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94"/>
      <c r="CD149" s="94"/>
      <c r="CE149" s="94"/>
      <c r="CF149" s="94"/>
      <c r="CG149" s="94"/>
      <c r="CH149" s="94"/>
      <c r="CI149" s="94"/>
      <c r="CJ149" s="94"/>
      <c r="CK149" s="94"/>
      <c r="CL149" s="94"/>
      <c r="CM149" s="94"/>
      <c r="CN149" s="94"/>
      <c r="CO149" s="94"/>
      <c r="CP149" s="94"/>
      <c r="CQ149" s="94"/>
      <c r="CR149" s="94"/>
      <c r="CS149" s="94"/>
      <c r="CT149" s="94"/>
      <c r="CU149" s="94"/>
      <c r="CV149" s="94"/>
      <c r="CW149" s="94"/>
      <c r="CX149" s="94"/>
      <c r="CY149" s="94"/>
      <c r="CZ149" s="94"/>
    </row>
    <row r="150" spans="1:104" ht="12.75">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4"/>
      <c r="BB150" s="94"/>
      <c r="BC150" s="94"/>
      <c r="BD150" s="94"/>
      <c r="BE150" s="94"/>
      <c r="BF150" s="94"/>
      <c r="BG150" s="94"/>
      <c r="BH150" s="94"/>
      <c r="BI150" s="94"/>
      <c r="BJ150" s="94"/>
      <c r="BK150" s="94"/>
      <c r="BL150" s="94"/>
      <c r="BM150" s="94"/>
      <c r="BN150" s="94"/>
      <c r="BO150" s="94"/>
      <c r="BP150" s="94"/>
      <c r="BQ150" s="94"/>
      <c r="BR150" s="94"/>
      <c r="BS150" s="94"/>
      <c r="BT150" s="94"/>
      <c r="BU150" s="94"/>
      <c r="BV150" s="94"/>
      <c r="BW150" s="94"/>
      <c r="BX150" s="94"/>
      <c r="BY150" s="94"/>
      <c r="BZ150" s="94"/>
      <c r="CA150" s="94"/>
      <c r="CB150" s="94"/>
      <c r="CC150" s="94"/>
      <c r="CD150" s="94"/>
      <c r="CE150" s="94"/>
      <c r="CF150" s="94"/>
      <c r="CG150" s="94"/>
      <c r="CH150" s="94"/>
      <c r="CI150" s="94"/>
      <c r="CJ150" s="94"/>
      <c r="CK150" s="94"/>
      <c r="CL150" s="94"/>
      <c r="CM150" s="94"/>
      <c r="CN150" s="94"/>
      <c r="CO150" s="94"/>
      <c r="CP150" s="94"/>
      <c r="CQ150" s="94"/>
      <c r="CR150" s="94"/>
      <c r="CS150" s="94"/>
      <c r="CT150" s="94"/>
      <c r="CU150" s="94"/>
      <c r="CV150" s="94"/>
      <c r="CW150" s="94"/>
      <c r="CX150" s="94"/>
      <c r="CY150" s="94"/>
      <c r="CZ150" s="94"/>
    </row>
    <row r="151" spans="1:104" ht="12.75">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c r="BC151" s="94"/>
      <c r="BD151" s="94"/>
      <c r="BE151" s="94"/>
      <c r="BF151" s="94"/>
      <c r="BG151" s="94"/>
      <c r="BH151" s="94"/>
      <c r="BI151" s="94"/>
      <c r="BJ151" s="94"/>
      <c r="BK151" s="94"/>
      <c r="BL151" s="94"/>
      <c r="BM151" s="94"/>
      <c r="BN151" s="94"/>
      <c r="BO151" s="94"/>
      <c r="BP151" s="94"/>
      <c r="BQ151" s="94"/>
      <c r="BR151" s="94"/>
      <c r="BS151" s="94"/>
      <c r="BT151" s="94"/>
      <c r="BU151" s="94"/>
      <c r="BV151" s="94"/>
      <c r="BW151" s="94"/>
      <c r="BX151" s="94"/>
      <c r="BY151" s="94"/>
      <c r="BZ151" s="94"/>
      <c r="CA151" s="94"/>
      <c r="CB151" s="94"/>
      <c r="CC151" s="94"/>
      <c r="CD151" s="94"/>
      <c r="CE151" s="94"/>
      <c r="CF151" s="94"/>
      <c r="CG151" s="94"/>
      <c r="CH151" s="94"/>
      <c r="CI151" s="94"/>
      <c r="CJ151" s="94"/>
      <c r="CK151" s="94"/>
      <c r="CL151" s="94"/>
      <c r="CM151" s="94"/>
      <c r="CN151" s="94"/>
      <c r="CO151" s="94"/>
      <c r="CP151" s="94"/>
      <c r="CQ151" s="94"/>
      <c r="CR151" s="94"/>
      <c r="CS151" s="94"/>
      <c r="CT151" s="94"/>
      <c r="CU151" s="94"/>
      <c r="CV151" s="94"/>
      <c r="CW151" s="94"/>
      <c r="CX151" s="94"/>
      <c r="CY151" s="94"/>
      <c r="CZ151" s="94"/>
    </row>
    <row r="152" spans="1:104" ht="12.75">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row>
    <row r="153" spans="1:104" ht="12.75">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94"/>
      <c r="CD153" s="94"/>
      <c r="CE153" s="94"/>
      <c r="CF153" s="94"/>
      <c r="CG153" s="94"/>
      <c r="CH153" s="94"/>
      <c r="CI153" s="94"/>
      <c r="CJ153" s="94"/>
      <c r="CK153" s="94"/>
      <c r="CL153" s="94"/>
      <c r="CM153" s="94"/>
      <c r="CN153" s="94"/>
      <c r="CO153" s="94"/>
      <c r="CP153" s="94"/>
      <c r="CQ153" s="94"/>
      <c r="CR153" s="94"/>
      <c r="CS153" s="94"/>
      <c r="CT153" s="94"/>
      <c r="CU153" s="94"/>
      <c r="CV153" s="94"/>
      <c r="CW153" s="94"/>
      <c r="CX153" s="94"/>
      <c r="CY153" s="94"/>
      <c r="CZ153" s="94"/>
    </row>
    <row r="154" spans="1:104" ht="12.75">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c r="BB154" s="94"/>
      <c r="BC154" s="94"/>
      <c r="BD154" s="94"/>
      <c r="BE154" s="94"/>
      <c r="BF154" s="94"/>
      <c r="BG154" s="94"/>
      <c r="BH154" s="94"/>
      <c r="BI154" s="94"/>
      <c r="BJ154" s="94"/>
      <c r="BK154" s="94"/>
      <c r="BL154" s="94"/>
      <c r="BM154" s="94"/>
      <c r="BN154" s="94"/>
      <c r="BO154" s="94"/>
      <c r="BP154" s="94"/>
      <c r="BQ154" s="94"/>
      <c r="BR154" s="94"/>
      <c r="BS154" s="94"/>
      <c r="BT154" s="94"/>
      <c r="BU154" s="94"/>
      <c r="BV154" s="94"/>
      <c r="BW154" s="94"/>
      <c r="BX154" s="94"/>
      <c r="BY154" s="94"/>
      <c r="BZ154" s="94"/>
      <c r="CA154" s="94"/>
      <c r="CB154" s="94"/>
      <c r="CC154" s="94"/>
      <c r="CD154" s="94"/>
      <c r="CE154" s="94"/>
      <c r="CF154" s="94"/>
      <c r="CG154" s="94"/>
      <c r="CH154" s="94"/>
      <c r="CI154" s="94"/>
      <c r="CJ154" s="94"/>
      <c r="CK154" s="94"/>
      <c r="CL154" s="94"/>
      <c r="CM154" s="94"/>
      <c r="CN154" s="94"/>
      <c r="CO154" s="94"/>
      <c r="CP154" s="94"/>
      <c r="CQ154" s="94"/>
      <c r="CR154" s="94"/>
      <c r="CS154" s="94"/>
      <c r="CT154" s="94"/>
      <c r="CU154" s="94"/>
      <c r="CV154" s="94"/>
      <c r="CW154" s="94"/>
      <c r="CX154" s="94"/>
      <c r="CY154" s="94"/>
      <c r="CZ154" s="94"/>
    </row>
    <row r="155" spans="1:104" ht="12.75">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94"/>
      <c r="CD155" s="94"/>
      <c r="CE155" s="94"/>
      <c r="CF155" s="94"/>
      <c r="CG155" s="94"/>
      <c r="CH155" s="94"/>
      <c r="CI155" s="94"/>
      <c r="CJ155" s="94"/>
      <c r="CK155" s="94"/>
      <c r="CL155" s="94"/>
      <c r="CM155" s="94"/>
      <c r="CN155" s="94"/>
      <c r="CO155" s="94"/>
      <c r="CP155" s="94"/>
      <c r="CQ155" s="94"/>
      <c r="CR155" s="94"/>
      <c r="CS155" s="94"/>
      <c r="CT155" s="94"/>
      <c r="CU155" s="94"/>
      <c r="CV155" s="94"/>
      <c r="CW155" s="94"/>
      <c r="CX155" s="94"/>
      <c r="CY155" s="94"/>
      <c r="CZ155" s="94"/>
    </row>
    <row r="156" spans="1:104" ht="12.75">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94"/>
      <c r="CD156" s="94"/>
      <c r="CE156" s="94"/>
      <c r="CF156" s="94"/>
      <c r="CG156" s="94"/>
      <c r="CH156" s="94"/>
      <c r="CI156" s="94"/>
      <c r="CJ156" s="94"/>
      <c r="CK156" s="94"/>
      <c r="CL156" s="94"/>
      <c r="CM156" s="94"/>
      <c r="CN156" s="94"/>
      <c r="CO156" s="94"/>
      <c r="CP156" s="94"/>
      <c r="CQ156" s="94"/>
      <c r="CR156" s="94"/>
      <c r="CS156" s="94"/>
      <c r="CT156" s="94"/>
      <c r="CU156" s="94"/>
      <c r="CV156" s="94"/>
      <c r="CW156" s="94"/>
      <c r="CX156" s="94"/>
      <c r="CY156" s="94"/>
      <c r="CZ156" s="94"/>
    </row>
    <row r="157" spans="1:104" ht="12.75">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4"/>
      <c r="BB157" s="94"/>
      <c r="BC157" s="94"/>
      <c r="BD157" s="94"/>
      <c r="BE157" s="94"/>
      <c r="BF157" s="94"/>
      <c r="BG157" s="94"/>
      <c r="BH157" s="94"/>
      <c r="BI157" s="94"/>
      <c r="BJ157" s="94"/>
      <c r="BK157" s="94"/>
      <c r="BL157" s="94"/>
      <c r="BM157" s="94"/>
      <c r="BN157" s="94"/>
      <c r="BO157" s="94"/>
      <c r="BP157" s="94"/>
      <c r="BQ157" s="94"/>
      <c r="BR157" s="94"/>
      <c r="BS157" s="94"/>
      <c r="BT157" s="94"/>
      <c r="BU157" s="94"/>
      <c r="BV157" s="94"/>
      <c r="BW157" s="94"/>
      <c r="BX157" s="94"/>
      <c r="BY157" s="94"/>
      <c r="BZ157" s="94"/>
      <c r="CA157" s="94"/>
      <c r="CB157" s="94"/>
      <c r="CC157" s="94"/>
      <c r="CD157" s="94"/>
      <c r="CE157" s="94"/>
      <c r="CF157" s="94"/>
      <c r="CG157" s="94"/>
      <c r="CH157" s="94"/>
      <c r="CI157" s="94"/>
      <c r="CJ157" s="94"/>
      <c r="CK157" s="94"/>
      <c r="CL157" s="94"/>
      <c r="CM157" s="94"/>
      <c r="CN157" s="94"/>
      <c r="CO157" s="94"/>
      <c r="CP157" s="94"/>
      <c r="CQ157" s="94"/>
      <c r="CR157" s="94"/>
      <c r="CS157" s="94"/>
      <c r="CT157" s="94"/>
      <c r="CU157" s="94"/>
      <c r="CV157" s="94"/>
      <c r="CW157" s="94"/>
      <c r="CX157" s="94"/>
      <c r="CY157" s="94"/>
      <c r="CZ157" s="94"/>
    </row>
    <row r="158" spans="1:104" ht="12.75">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row>
    <row r="159" spans="1:104" ht="12.75">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row>
    <row r="160" spans="1:104" ht="12.75">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row>
    <row r="161" spans="1:104" ht="12.75">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row>
    <row r="162" spans="1:104" ht="12.75">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row>
    <row r="163" spans="1:104" ht="12.75">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row>
    <row r="164" spans="1:104" ht="12.75">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row>
    <row r="165" spans="1:104" ht="12.75">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94"/>
      <c r="CB165" s="94"/>
      <c r="CC165" s="94"/>
      <c r="CD165" s="94"/>
      <c r="CE165" s="94"/>
      <c r="CF165" s="94"/>
      <c r="CG165" s="94"/>
      <c r="CH165" s="94"/>
      <c r="CI165" s="94"/>
      <c r="CJ165" s="94"/>
      <c r="CK165" s="94"/>
      <c r="CL165" s="94"/>
      <c r="CM165" s="94"/>
      <c r="CN165" s="94"/>
      <c r="CO165" s="94"/>
      <c r="CP165" s="94"/>
      <c r="CQ165" s="94"/>
      <c r="CR165" s="94"/>
      <c r="CS165" s="94"/>
      <c r="CT165" s="94"/>
      <c r="CU165" s="94"/>
      <c r="CV165" s="94"/>
      <c r="CW165" s="94"/>
      <c r="CX165" s="94"/>
      <c r="CY165" s="94"/>
      <c r="CZ165" s="94"/>
    </row>
    <row r="166" spans="1:104" ht="12.75">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4"/>
      <c r="BB166" s="94"/>
      <c r="BC166" s="94"/>
      <c r="BD166" s="94"/>
      <c r="BE166" s="94"/>
      <c r="BF166" s="94"/>
      <c r="BG166" s="94"/>
      <c r="BH166" s="94"/>
      <c r="BI166" s="94"/>
      <c r="BJ166" s="94"/>
      <c r="BK166" s="94"/>
      <c r="BL166" s="94"/>
      <c r="BM166" s="94"/>
      <c r="BN166" s="94"/>
      <c r="BO166" s="94"/>
      <c r="BP166" s="94"/>
      <c r="BQ166" s="94"/>
      <c r="BR166" s="94"/>
      <c r="BS166" s="94"/>
      <c r="BT166" s="94"/>
      <c r="BU166" s="94"/>
      <c r="BV166" s="94"/>
      <c r="BW166" s="94"/>
      <c r="BX166" s="94"/>
      <c r="BY166" s="94"/>
      <c r="BZ166" s="94"/>
      <c r="CA166" s="94"/>
      <c r="CB166" s="94"/>
      <c r="CC166" s="94"/>
      <c r="CD166" s="94"/>
      <c r="CE166" s="94"/>
      <c r="CF166" s="94"/>
      <c r="CG166" s="94"/>
      <c r="CH166" s="94"/>
      <c r="CI166" s="94"/>
      <c r="CJ166" s="94"/>
      <c r="CK166" s="94"/>
      <c r="CL166" s="94"/>
      <c r="CM166" s="94"/>
      <c r="CN166" s="94"/>
      <c r="CO166" s="94"/>
      <c r="CP166" s="94"/>
      <c r="CQ166" s="94"/>
      <c r="CR166" s="94"/>
      <c r="CS166" s="94"/>
      <c r="CT166" s="94"/>
      <c r="CU166" s="94"/>
      <c r="CV166" s="94"/>
      <c r="CW166" s="94"/>
      <c r="CX166" s="94"/>
      <c r="CY166" s="94"/>
      <c r="CZ166" s="94"/>
    </row>
    <row r="167" spans="1:104" ht="12.75">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A167" s="94"/>
      <c r="CB167" s="94"/>
      <c r="CC167" s="94"/>
      <c r="CD167" s="94"/>
      <c r="CE167" s="94"/>
      <c r="CF167" s="94"/>
      <c r="CG167" s="94"/>
      <c r="CH167" s="94"/>
      <c r="CI167" s="94"/>
      <c r="CJ167" s="94"/>
      <c r="CK167" s="94"/>
      <c r="CL167" s="94"/>
      <c r="CM167" s="94"/>
      <c r="CN167" s="94"/>
      <c r="CO167" s="94"/>
      <c r="CP167" s="94"/>
      <c r="CQ167" s="94"/>
      <c r="CR167" s="94"/>
      <c r="CS167" s="94"/>
      <c r="CT167" s="94"/>
      <c r="CU167" s="94"/>
      <c r="CV167" s="94"/>
      <c r="CW167" s="94"/>
      <c r="CX167" s="94"/>
      <c r="CY167" s="94"/>
      <c r="CZ167" s="94"/>
    </row>
    <row r="168" spans="1:104" ht="12.75">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c r="CA168" s="94"/>
      <c r="CB168" s="94"/>
      <c r="CC168" s="94"/>
      <c r="CD168" s="94"/>
      <c r="CE168" s="94"/>
      <c r="CF168" s="94"/>
      <c r="CG168" s="94"/>
      <c r="CH168" s="94"/>
      <c r="CI168" s="94"/>
      <c r="CJ168" s="94"/>
      <c r="CK168" s="94"/>
      <c r="CL168" s="94"/>
      <c r="CM168" s="94"/>
      <c r="CN168" s="94"/>
      <c r="CO168" s="94"/>
      <c r="CP168" s="94"/>
      <c r="CQ168" s="94"/>
      <c r="CR168" s="94"/>
      <c r="CS168" s="94"/>
      <c r="CT168" s="94"/>
      <c r="CU168" s="94"/>
      <c r="CV168" s="94"/>
      <c r="CW168" s="94"/>
      <c r="CX168" s="94"/>
      <c r="CY168" s="94"/>
      <c r="CZ168" s="94"/>
    </row>
    <row r="169" spans="1:104" ht="12.75">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row>
    <row r="170" spans="1:104" ht="12.75">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row>
    <row r="171" spans="1:104" ht="12.75">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row>
    <row r="172" spans="1:104" ht="12.75">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row>
    <row r="173" spans="1:104" ht="12.75">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row>
    <row r="174" spans="1:104" ht="12.75">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row>
    <row r="175" spans="1:104" ht="12.75">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row>
    <row r="176" spans="1:104" ht="12.75">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94"/>
      <c r="CD176" s="94"/>
      <c r="CE176" s="94"/>
      <c r="CF176" s="94"/>
      <c r="CG176" s="94"/>
      <c r="CH176" s="94"/>
      <c r="CI176" s="94"/>
      <c r="CJ176" s="94"/>
      <c r="CK176" s="94"/>
      <c r="CL176" s="94"/>
      <c r="CM176" s="94"/>
      <c r="CN176" s="94"/>
      <c r="CO176" s="94"/>
      <c r="CP176" s="94"/>
      <c r="CQ176" s="94"/>
      <c r="CR176" s="94"/>
      <c r="CS176" s="94"/>
      <c r="CT176" s="94"/>
      <c r="CU176" s="94"/>
      <c r="CV176" s="94"/>
      <c r="CW176" s="94"/>
      <c r="CX176" s="94"/>
      <c r="CY176" s="94"/>
      <c r="CZ176" s="94"/>
    </row>
    <row r="177" spans="1:104" ht="12.75">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94"/>
      <c r="CD177" s="94"/>
      <c r="CE177" s="94"/>
      <c r="CF177" s="94"/>
      <c r="CG177" s="94"/>
      <c r="CH177" s="94"/>
      <c r="CI177" s="94"/>
      <c r="CJ177" s="94"/>
      <c r="CK177" s="94"/>
      <c r="CL177" s="94"/>
      <c r="CM177" s="94"/>
      <c r="CN177" s="94"/>
      <c r="CO177" s="94"/>
      <c r="CP177" s="94"/>
      <c r="CQ177" s="94"/>
      <c r="CR177" s="94"/>
      <c r="CS177" s="94"/>
      <c r="CT177" s="94"/>
      <c r="CU177" s="94"/>
      <c r="CV177" s="94"/>
      <c r="CW177" s="94"/>
      <c r="CX177" s="94"/>
      <c r="CY177" s="94"/>
      <c r="CZ177" s="94"/>
    </row>
    <row r="178" spans="1:104" ht="12.75">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row>
    <row r="179" spans="1:104" ht="12.75">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94"/>
      <c r="CD179" s="94"/>
      <c r="CE179" s="94"/>
      <c r="CF179" s="94"/>
      <c r="CG179" s="94"/>
      <c r="CH179" s="94"/>
      <c r="CI179" s="94"/>
      <c r="CJ179" s="94"/>
      <c r="CK179" s="94"/>
      <c r="CL179" s="94"/>
      <c r="CM179" s="94"/>
      <c r="CN179" s="94"/>
      <c r="CO179" s="94"/>
      <c r="CP179" s="94"/>
      <c r="CQ179" s="94"/>
      <c r="CR179" s="94"/>
      <c r="CS179" s="94"/>
      <c r="CT179" s="94"/>
      <c r="CU179" s="94"/>
      <c r="CV179" s="94"/>
      <c r="CW179" s="94"/>
      <c r="CX179" s="94"/>
      <c r="CY179" s="94"/>
      <c r="CZ179" s="94"/>
    </row>
    <row r="180" spans="1:104" ht="12.75">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94"/>
      <c r="CD180" s="94"/>
      <c r="CE180" s="94"/>
      <c r="CF180" s="94"/>
      <c r="CG180" s="94"/>
      <c r="CH180" s="94"/>
      <c r="CI180" s="94"/>
      <c r="CJ180" s="94"/>
      <c r="CK180" s="94"/>
      <c r="CL180" s="94"/>
      <c r="CM180" s="94"/>
      <c r="CN180" s="94"/>
      <c r="CO180" s="94"/>
      <c r="CP180" s="94"/>
      <c r="CQ180" s="94"/>
      <c r="CR180" s="94"/>
      <c r="CS180" s="94"/>
      <c r="CT180" s="94"/>
      <c r="CU180" s="94"/>
      <c r="CV180" s="94"/>
      <c r="CW180" s="94"/>
      <c r="CX180" s="94"/>
      <c r="CY180" s="94"/>
      <c r="CZ180" s="94"/>
    </row>
    <row r="181" spans="1:104" ht="12.75">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94"/>
      <c r="CD181" s="94"/>
      <c r="CE181" s="94"/>
      <c r="CF181" s="94"/>
      <c r="CG181" s="94"/>
      <c r="CH181" s="94"/>
      <c r="CI181" s="94"/>
      <c r="CJ181" s="94"/>
      <c r="CK181" s="94"/>
      <c r="CL181" s="94"/>
      <c r="CM181" s="94"/>
      <c r="CN181" s="94"/>
      <c r="CO181" s="94"/>
      <c r="CP181" s="94"/>
      <c r="CQ181" s="94"/>
      <c r="CR181" s="94"/>
      <c r="CS181" s="94"/>
      <c r="CT181" s="94"/>
      <c r="CU181" s="94"/>
      <c r="CV181" s="94"/>
      <c r="CW181" s="94"/>
      <c r="CX181" s="94"/>
      <c r="CY181" s="94"/>
      <c r="CZ181" s="94"/>
    </row>
    <row r="182" spans="1:104" ht="12.75">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94"/>
      <c r="CD182" s="94"/>
      <c r="CE182" s="94"/>
      <c r="CF182" s="94"/>
      <c r="CG182" s="94"/>
      <c r="CH182" s="94"/>
      <c r="CI182" s="94"/>
      <c r="CJ182" s="94"/>
      <c r="CK182" s="94"/>
      <c r="CL182" s="94"/>
      <c r="CM182" s="94"/>
      <c r="CN182" s="94"/>
      <c r="CO182" s="94"/>
      <c r="CP182" s="94"/>
      <c r="CQ182" s="94"/>
      <c r="CR182" s="94"/>
      <c r="CS182" s="94"/>
      <c r="CT182" s="94"/>
      <c r="CU182" s="94"/>
      <c r="CV182" s="94"/>
      <c r="CW182" s="94"/>
      <c r="CX182" s="94"/>
      <c r="CY182" s="94"/>
      <c r="CZ182" s="94"/>
    </row>
    <row r="183" spans="1:104" ht="12.75">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94"/>
      <c r="BF183" s="94"/>
      <c r="BG183" s="94"/>
      <c r="BH183" s="94"/>
      <c r="BI183" s="94"/>
      <c r="BJ183" s="94"/>
      <c r="BK183" s="94"/>
      <c r="BL183" s="94"/>
      <c r="BM183" s="94"/>
      <c r="BN183" s="94"/>
      <c r="BO183" s="94"/>
      <c r="BP183" s="94"/>
      <c r="BQ183" s="94"/>
      <c r="BR183" s="94"/>
      <c r="BS183" s="94"/>
      <c r="BT183" s="94"/>
      <c r="BU183" s="94"/>
      <c r="BV183" s="94"/>
      <c r="BW183" s="94"/>
      <c r="BX183" s="94"/>
      <c r="BY183" s="94"/>
      <c r="BZ183" s="94"/>
      <c r="CA183" s="94"/>
      <c r="CB183" s="94"/>
      <c r="CC183" s="94"/>
      <c r="CD183" s="94"/>
      <c r="CE183" s="94"/>
      <c r="CF183" s="94"/>
      <c r="CG183" s="94"/>
      <c r="CH183" s="94"/>
      <c r="CI183" s="94"/>
      <c r="CJ183" s="94"/>
      <c r="CK183" s="94"/>
      <c r="CL183" s="94"/>
      <c r="CM183" s="94"/>
      <c r="CN183" s="94"/>
      <c r="CO183" s="94"/>
      <c r="CP183" s="94"/>
      <c r="CQ183" s="94"/>
      <c r="CR183" s="94"/>
      <c r="CS183" s="94"/>
      <c r="CT183" s="94"/>
      <c r="CU183" s="94"/>
      <c r="CV183" s="94"/>
      <c r="CW183" s="94"/>
      <c r="CX183" s="94"/>
      <c r="CY183" s="94"/>
      <c r="CZ183" s="94"/>
    </row>
    <row r="184" spans="1:104" ht="12.75">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A184" s="94"/>
      <c r="CB184" s="94"/>
      <c r="CC184" s="94"/>
      <c r="CD184" s="94"/>
      <c r="CE184" s="94"/>
      <c r="CF184" s="94"/>
      <c r="CG184" s="94"/>
      <c r="CH184" s="94"/>
      <c r="CI184" s="94"/>
      <c r="CJ184" s="94"/>
      <c r="CK184" s="94"/>
      <c r="CL184" s="94"/>
      <c r="CM184" s="94"/>
      <c r="CN184" s="94"/>
      <c r="CO184" s="94"/>
      <c r="CP184" s="94"/>
      <c r="CQ184" s="94"/>
      <c r="CR184" s="94"/>
      <c r="CS184" s="94"/>
      <c r="CT184" s="94"/>
      <c r="CU184" s="94"/>
      <c r="CV184" s="94"/>
      <c r="CW184" s="94"/>
      <c r="CX184" s="94"/>
      <c r="CY184" s="94"/>
      <c r="CZ184" s="94"/>
    </row>
    <row r="185" spans="1:104" ht="12.75">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94"/>
      <c r="BI185" s="94"/>
      <c r="BJ185" s="94"/>
      <c r="BK185" s="94"/>
      <c r="BL185" s="94"/>
      <c r="BM185" s="94"/>
      <c r="BN185" s="94"/>
      <c r="BO185" s="94"/>
      <c r="BP185" s="94"/>
      <c r="BQ185" s="94"/>
      <c r="BR185" s="94"/>
      <c r="BS185" s="94"/>
      <c r="BT185" s="94"/>
      <c r="BU185" s="94"/>
      <c r="BV185" s="94"/>
      <c r="BW185" s="94"/>
      <c r="BX185" s="94"/>
      <c r="BY185" s="94"/>
      <c r="BZ185" s="94"/>
      <c r="CA185" s="94"/>
      <c r="CB185" s="94"/>
      <c r="CC185" s="94"/>
      <c r="CD185" s="94"/>
      <c r="CE185" s="94"/>
      <c r="CF185" s="94"/>
      <c r="CG185" s="94"/>
      <c r="CH185" s="94"/>
      <c r="CI185" s="94"/>
      <c r="CJ185" s="94"/>
      <c r="CK185" s="94"/>
      <c r="CL185" s="94"/>
      <c r="CM185" s="94"/>
      <c r="CN185" s="94"/>
      <c r="CO185" s="94"/>
      <c r="CP185" s="94"/>
      <c r="CQ185" s="94"/>
      <c r="CR185" s="94"/>
      <c r="CS185" s="94"/>
      <c r="CT185" s="94"/>
      <c r="CU185" s="94"/>
      <c r="CV185" s="94"/>
      <c r="CW185" s="94"/>
      <c r="CX185" s="94"/>
      <c r="CY185" s="94"/>
      <c r="CZ185" s="94"/>
    </row>
    <row r="186" spans="1:104" ht="12.75">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c r="AZ186" s="94"/>
      <c r="BA186" s="94"/>
      <c r="BB186" s="94"/>
      <c r="BC186" s="94"/>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94"/>
      <c r="CD186" s="94"/>
      <c r="CE186" s="94"/>
      <c r="CF186" s="94"/>
      <c r="CG186" s="94"/>
      <c r="CH186" s="94"/>
      <c r="CI186" s="94"/>
      <c r="CJ186" s="94"/>
      <c r="CK186" s="94"/>
      <c r="CL186" s="94"/>
      <c r="CM186" s="94"/>
      <c r="CN186" s="94"/>
      <c r="CO186" s="94"/>
      <c r="CP186" s="94"/>
      <c r="CQ186" s="94"/>
      <c r="CR186" s="94"/>
      <c r="CS186" s="94"/>
      <c r="CT186" s="94"/>
      <c r="CU186" s="94"/>
      <c r="CV186" s="94"/>
      <c r="CW186" s="94"/>
      <c r="CX186" s="94"/>
      <c r="CY186" s="94"/>
      <c r="CZ186" s="94"/>
    </row>
    <row r="187" spans="1:104" ht="12.75">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94"/>
      <c r="CD187" s="94"/>
      <c r="CE187" s="94"/>
      <c r="CF187" s="94"/>
      <c r="CG187" s="94"/>
      <c r="CH187" s="94"/>
      <c r="CI187" s="94"/>
      <c r="CJ187" s="94"/>
      <c r="CK187" s="94"/>
      <c r="CL187" s="94"/>
      <c r="CM187" s="94"/>
      <c r="CN187" s="94"/>
      <c r="CO187" s="94"/>
      <c r="CP187" s="94"/>
      <c r="CQ187" s="94"/>
      <c r="CR187" s="94"/>
      <c r="CS187" s="94"/>
      <c r="CT187" s="94"/>
      <c r="CU187" s="94"/>
      <c r="CV187" s="94"/>
      <c r="CW187" s="94"/>
      <c r="CX187" s="94"/>
      <c r="CY187" s="94"/>
      <c r="CZ187" s="94"/>
    </row>
    <row r="188" spans="1:104" ht="12.75">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94"/>
      <c r="CD188" s="94"/>
      <c r="CE188" s="94"/>
      <c r="CF188" s="94"/>
      <c r="CG188" s="94"/>
      <c r="CH188" s="94"/>
      <c r="CI188" s="94"/>
      <c r="CJ188" s="94"/>
      <c r="CK188" s="94"/>
      <c r="CL188" s="94"/>
      <c r="CM188" s="94"/>
      <c r="CN188" s="94"/>
      <c r="CO188" s="94"/>
      <c r="CP188" s="94"/>
      <c r="CQ188" s="94"/>
      <c r="CR188" s="94"/>
      <c r="CS188" s="94"/>
      <c r="CT188" s="94"/>
      <c r="CU188" s="94"/>
      <c r="CV188" s="94"/>
      <c r="CW188" s="94"/>
      <c r="CX188" s="94"/>
      <c r="CY188" s="94"/>
      <c r="CZ188" s="94"/>
    </row>
    <row r="189" spans="1:104" ht="12.75">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94"/>
      <c r="BU189" s="94"/>
      <c r="BV189" s="94"/>
      <c r="BW189" s="94"/>
      <c r="BX189" s="94"/>
      <c r="BY189" s="94"/>
      <c r="BZ189" s="94"/>
      <c r="CA189" s="94"/>
      <c r="CB189" s="94"/>
      <c r="CC189" s="94"/>
      <c r="CD189" s="94"/>
      <c r="CE189" s="94"/>
      <c r="CF189" s="94"/>
      <c r="CG189" s="94"/>
      <c r="CH189" s="94"/>
      <c r="CI189" s="94"/>
      <c r="CJ189" s="94"/>
      <c r="CK189" s="94"/>
      <c r="CL189" s="94"/>
      <c r="CM189" s="94"/>
      <c r="CN189" s="94"/>
      <c r="CO189" s="94"/>
      <c r="CP189" s="94"/>
      <c r="CQ189" s="94"/>
      <c r="CR189" s="94"/>
      <c r="CS189" s="94"/>
      <c r="CT189" s="94"/>
      <c r="CU189" s="94"/>
      <c r="CV189" s="94"/>
      <c r="CW189" s="94"/>
      <c r="CX189" s="94"/>
      <c r="CY189" s="94"/>
      <c r="CZ189" s="94"/>
    </row>
    <row r="190" spans="1:104" ht="12.75">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row>
    <row r="191" spans="1:104" ht="12.75">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94"/>
      <c r="CD191" s="94"/>
      <c r="CE191" s="94"/>
      <c r="CF191" s="94"/>
      <c r="CG191" s="94"/>
      <c r="CH191" s="94"/>
      <c r="CI191" s="94"/>
      <c r="CJ191" s="94"/>
      <c r="CK191" s="94"/>
      <c r="CL191" s="94"/>
      <c r="CM191" s="94"/>
      <c r="CN191" s="94"/>
      <c r="CO191" s="94"/>
      <c r="CP191" s="94"/>
      <c r="CQ191" s="94"/>
      <c r="CR191" s="94"/>
      <c r="CS191" s="94"/>
      <c r="CT191" s="94"/>
      <c r="CU191" s="94"/>
      <c r="CV191" s="94"/>
      <c r="CW191" s="94"/>
      <c r="CX191" s="94"/>
      <c r="CY191" s="94"/>
      <c r="CZ191" s="94"/>
    </row>
    <row r="192" spans="1:104" ht="12.75">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94"/>
      <c r="CD192" s="94"/>
      <c r="CE192" s="94"/>
      <c r="CF192" s="94"/>
      <c r="CG192" s="94"/>
      <c r="CH192" s="94"/>
      <c r="CI192" s="94"/>
      <c r="CJ192" s="94"/>
      <c r="CK192" s="94"/>
      <c r="CL192" s="94"/>
      <c r="CM192" s="94"/>
      <c r="CN192" s="94"/>
      <c r="CO192" s="94"/>
      <c r="CP192" s="94"/>
      <c r="CQ192" s="94"/>
      <c r="CR192" s="94"/>
      <c r="CS192" s="94"/>
      <c r="CT192" s="94"/>
      <c r="CU192" s="94"/>
      <c r="CV192" s="94"/>
      <c r="CW192" s="94"/>
      <c r="CX192" s="94"/>
      <c r="CY192" s="94"/>
      <c r="CZ192" s="94"/>
    </row>
    <row r="193" spans="1:104" ht="12.75">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94"/>
      <c r="CD193" s="94"/>
      <c r="CE193" s="94"/>
      <c r="CF193" s="94"/>
      <c r="CG193" s="94"/>
      <c r="CH193" s="94"/>
      <c r="CI193" s="94"/>
      <c r="CJ193" s="94"/>
      <c r="CK193" s="94"/>
      <c r="CL193" s="94"/>
      <c r="CM193" s="94"/>
      <c r="CN193" s="94"/>
      <c r="CO193" s="94"/>
      <c r="CP193" s="94"/>
      <c r="CQ193" s="94"/>
      <c r="CR193" s="94"/>
      <c r="CS193" s="94"/>
      <c r="CT193" s="94"/>
      <c r="CU193" s="94"/>
      <c r="CV193" s="94"/>
      <c r="CW193" s="94"/>
      <c r="CX193" s="94"/>
      <c r="CY193" s="94"/>
      <c r="CZ193" s="94"/>
    </row>
    <row r="194" spans="1:104" ht="12.75">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94"/>
      <c r="CD194" s="94"/>
      <c r="CE194" s="94"/>
      <c r="CF194" s="94"/>
      <c r="CG194" s="94"/>
      <c r="CH194" s="94"/>
      <c r="CI194" s="94"/>
      <c r="CJ194" s="94"/>
      <c r="CK194" s="94"/>
      <c r="CL194" s="94"/>
      <c r="CM194" s="94"/>
      <c r="CN194" s="94"/>
      <c r="CO194" s="94"/>
      <c r="CP194" s="94"/>
      <c r="CQ194" s="94"/>
      <c r="CR194" s="94"/>
      <c r="CS194" s="94"/>
      <c r="CT194" s="94"/>
      <c r="CU194" s="94"/>
      <c r="CV194" s="94"/>
      <c r="CW194" s="94"/>
      <c r="CX194" s="94"/>
      <c r="CY194" s="94"/>
      <c r="CZ194" s="94"/>
    </row>
    <row r="195" spans="1:104" ht="12.75">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94"/>
      <c r="CD195" s="94"/>
      <c r="CE195" s="94"/>
      <c r="CF195" s="94"/>
      <c r="CG195" s="94"/>
      <c r="CH195" s="94"/>
      <c r="CI195" s="94"/>
      <c r="CJ195" s="94"/>
      <c r="CK195" s="94"/>
      <c r="CL195" s="94"/>
      <c r="CM195" s="94"/>
      <c r="CN195" s="94"/>
      <c r="CO195" s="94"/>
      <c r="CP195" s="94"/>
      <c r="CQ195" s="94"/>
      <c r="CR195" s="94"/>
      <c r="CS195" s="94"/>
      <c r="CT195" s="94"/>
      <c r="CU195" s="94"/>
      <c r="CV195" s="94"/>
      <c r="CW195" s="94"/>
      <c r="CX195" s="94"/>
      <c r="CY195" s="94"/>
      <c r="CZ195" s="94"/>
    </row>
    <row r="196" spans="1:104" ht="12.75">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4"/>
      <c r="BB196" s="94"/>
      <c r="BC196" s="94"/>
      <c r="BD196" s="94"/>
      <c r="BE196" s="94"/>
      <c r="BF196" s="94"/>
      <c r="BG196" s="94"/>
      <c r="BH196" s="94"/>
      <c r="BI196" s="94"/>
      <c r="BJ196" s="94"/>
      <c r="BK196" s="94"/>
      <c r="BL196" s="94"/>
      <c r="BM196" s="94"/>
      <c r="BN196" s="94"/>
      <c r="BO196" s="94"/>
      <c r="BP196" s="94"/>
      <c r="BQ196" s="94"/>
      <c r="BR196" s="94"/>
      <c r="BS196" s="94"/>
      <c r="BT196" s="94"/>
      <c r="BU196" s="94"/>
      <c r="BV196" s="94"/>
      <c r="BW196" s="94"/>
      <c r="BX196" s="94"/>
      <c r="BY196" s="94"/>
      <c r="BZ196" s="94"/>
      <c r="CA196" s="94"/>
      <c r="CB196" s="94"/>
      <c r="CC196" s="94"/>
      <c r="CD196" s="94"/>
      <c r="CE196" s="94"/>
      <c r="CF196" s="94"/>
      <c r="CG196" s="94"/>
      <c r="CH196" s="94"/>
      <c r="CI196" s="94"/>
      <c r="CJ196" s="94"/>
      <c r="CK196" s="94"/>
      <c r="CL196" s="94"/>
      <c r="CM196" s="94"/>
      <c r="CN196" s="94"/>
      <c r="CO196" s="94"/>
      <c r="CP196" s="94"/>
      <c r="CQ196" s="94"/>
      <c r="CR196" s="94"/>
      <c r="CS196" s="94"/>
      <c r="CT196" s="94"/>
      <c r="CU196" s="94"/>
      <c r="CV196" s="94"/>
      <c r="CW196" s="94"/>
      <c r="CX196" s="94"/>
      <c r="CY196" s="94"/>
      <c r="CZ196" s="94"/>
    </row>
    <row r="197" spans="1:104" ht="12.75">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A197" s="94"/>
      <c r="CB197" s="94"/>
      <c r="CC197" s="94"/>
      <c r="CD197" s="94"/>
      <c r="CE197" s="94"/>
      <c r="CF197" s="94"/>
      <c r="CG197" s="94"/>
      <c r="CH197" s="94"/>
      <c r="CI197" s="94"/>
      <c r="CJ197" s="94"/>
      <c r="CK197" s="94"/>
      <c r="CL197" s="94"/>
      <c r="CM197" s="94"/>
      <c r="CN197" s="94"/>
      <c r="CO197" s="94"/>
      <c r="CP197" s="94"/>
      <c r="CQ197" s="94"/>
      <c r="CR197" s="94"/>
      <c r="CS197" s="94"/>
      <c r="CT197" s="94"/>
      <c r="CU197" s="94"/>
      <c r="CV197" s="94"/>
      <c r="CW197" s="94"/>
      <c r="CX197" s="94"/>
      <c r="CY197" s="94"/>
      <c r="CZ197" s="94"/>
    </row>
    <row r="198" spans="1:104" ht="12.75">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94"/>
      <c r="CD198" s="94"/>
      <c r="CE198" s="94"/>
      <c r="CF198" s="94"/>
      <c r="CG198" s="94"/>
      <c r="CH198" s="94"/>
      <c r="CI198" s="94"/>
      <c r="CJ198" s="94"/>
      <c r="CK198" s="94"/>
      <c r="CL198" s="94"/>
      <c r="CM198" s="94"/>
      <c r="CN198" s="94"/>
      <c r="CO198" s="94"/>
      <c r="CP198" s="94"/>
      <c r="CQ198" s="94"/>
      <c r="CR198" s="94"/>
      <c r="CS198" s="94"/>
      <c r="CT198" s="94"/>
      <c r="CU198" s="94"/>
      <c r="CV198" s="94"/>
      <c r="CW198" s="94"/>
      <c r="CX198" s="94"/>
      <c r="CY198" s="94"/>
      <c r="CZ198" s="94"/>
    </row>
    <row r="199" spans="1:104" ht="12.75">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94"/>
      <c r="CD199" s="94"/>
      <c r="CE199" s="94"/>
      <c r="CF199" s="94"/>
      <c r="CG199" s="94"/>
      <c r="CH199" s="94"/>
      <c r="CI199" s="94"/>
      <c r="CJ199" s="94"/>
      <c r="CK199" s="94"/>
      <c r="CL199" s="94"/>
      <c r="CM199" s="94"/>
      <c r="CN199" s="94"/>
      <c r="CO199" s="94"/>
      <c r="CP199" s="94"/>
      <c r="CQ199" s="94"/>
      <c r="CR199" s="94"/>
      <c r="CS199" s="94"/>
      <c r="CT199" s="94"/>
      <c r="CU199" s="94"/>
      <c r="CV199" s="94"/>
      <c r="CW199" s="94"/>
      <c r="CX199" s="94"/>
      <c r="CY199" s="94"/>
      <c r="CZ199" s="94"/>
    </row>
    <row r="200" spans="1:104" ht="12.75">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94"/>
      <c r="CD200" s="94"/>
      <c r="CE200" s="94"/>
      <c r="CF200" s="94"/>
      <c r="CG200" s="94"/>
      <c r="CH200" s="94"/>
      <c r="CI200" s="94"/>
      <c r="CJ200" s="94"/>
      <c r="CK200" s="94"/>
      <c r="CL200" s="94"/>
      <c r="CM200" s="94"/>
      <c r="CN200" s="94"/>
      <c r="CO200" s="94"/>
      <c r="CP200" s="94"/>
      <c r="CQ200" s="94"/>
      <c r="CR200" s="94"/>
      <c r="CS200" s="94"/>
      <c r="CT200" s="94"/>
      <c r="CU200" s="94"/>
      <c r="CV200" s="94"/>
      <c r="CW200" s="94"/>
      <c r="CX200" s="94"/>
      <c r="CY200" s="94"/>
      <c r="CZ200" s="94"/>
    </row>
    <row r="201" spans="1:104" ht="12.75">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94"/>
      <c r="CB201" s="94"/>
      <c r="CC201" s="94"/>
      <c r="CD201" s="94"/>
      <c r="CE201" s="94"/>
      <c r="CF201" s="94"/>
      <c r="CG201" s="94"/>
      <c r="CH201" s="94"/>
      <c r="CI201" s="94"/>
      <c r="CJ201" s="94"/>
      <c r="CK201" s="94"/>
      <c r="CL201" s="94"/>
      <c r="CM201" s="94"/>
      <c r="CN201" s="94"/>
      <c r="CO201" s="94"/>
      <c r="CP201" s="94"/>
      <c r="CQ201" s="94"/>
      <c r="CR201" s="94"/>
      <c r="CS201" s="94"/>
      <c r="CT201" s="94"/>
      <c r="CU201" s="94"/>
      <c r="CV201" s="94"/>
      <c r="CW201" s="94"/>
      <c r="CX201" s="94"/>
      <c r="CY201" s="94"/>
      <c r="CZ201" s="94"/>
    </row>
    <row r="202" spans="1:104" ht="12.75">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94"/>
      <c r="CD202" s="94"/>
      <c r="CE202" s="94"/>
      <c r="CF202" s="94"/>
      <c r="CG202" s="94"/>
      <c r="CH202" s="94"/>
      <c r="CI202" s="94"/>
      <c r="CJ202" s="94"/>
      <c r="CK202" s="94"/>
      <c r="CL202" s="94"/>
      <c r="CM202" s="94"/>
      <c r="CN202" s="94"/>
      <c r="CO202" s="94"/>
      <c r="CP202" s="94"/>
      <c r="CQ202" s="94"/>
      <c r="CR202" s="94"/>
      <c r="CS202" s="94"/>
      <c r="CT202" s="94"/>
      <c r="CU202" s="94"/>
      <c r="CV202" s="94"/>
      <c r="CW202" s="94"/>
      <c r="CX202" s="94"/>
      <c r="CY202" s="94"/>
      <c r="CZ202" s="94"/>
    </row>
    <row r="203" spans="1:104" ht="12.75">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94"/>
      <c r="CD203" s="94"/>
      <c r="CE203" s="94"/>
      <c r="CF203" s="94"/>
      <c r="CG203" s="94"/>
      <c r="CH203" s="94"/>
      <c r="CI203" s="94"/>
      <c r="CJ203" s="94"/>
      <c r="CK203" s="94"/>
      <c r="CL203" s="94"/>
      <c r="CM203" s="94"/>
      <c r="CN203" s="94"/>
      <c r="CO203" s="94"/>
      <c r="CP203" s="94"/>
      <c r="CQ203" s="94"/>
      <c r="CR203" s="94"/>
      <c r="CS203" s="94"/>
      <c r="CT203" s="94"/>
      <c r="CU203" s="94"/>
      <c r="CV203" s="94"/>
      <c r="CW203" s="94"/>
      <c r="CX203" s="94"/>
      <c r="CY203" s="94"/>
      <c r="CZ203" s="94"/>
    </row>
    <row r="204" spans="1:104" ht="12.75">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94"/>
      <c r="CD204" s="94"/>
      <c r="CE204" s="94"/>
      <c r="CF204" s="94"/>
      <c r="CG204" s="94"/>
      <c r="CH204" s="94"/>
      <c r="CI204" s="94"/>
      <c r="CJ204" s="94"/>
      <c r="CK204" s="94"/>
      <c r="CL204" s="94"/>
      <c r="CM204" s="94"/>
      <c r="CN204" s="94"/>
      <c r="CO204" s="94"/>
      <c r="CP204" s="94"/>
      <c r="CQ204" s="94"/>
      <c r="CR204" s="94"/>
      <c r="CS204" s="94"/>
      <c r="CT204" s="94"/>
      <c r="CU204" s="94"/>
      <c r="CV204" s="94"/>
      <c r="CW204" s="94"/>
      <c r="CX204" s="94"/>
      <c r="CY204" s="94"/>
      <c r="CZ204" s="94"/>
    </row>
    <row r="205" spans="1:104" ht="12.75">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94"/>
      <c r="CD205" s="94"/>
      <c r="CE205" s="94"/>
      <c r="CF205" s="94"/>
      <c r="CG205" s="94"/>
      <c r="CH205" s="94"/>
      <c r="CI205" s="94"/>
      <c r="CJ205" s="94"/>
      <c r="CK205" s="94"/>
      <c r="CL205" s="94"/>
      <c r="CM205" s="94"/>
      <c r="CN205" s="94"/>
      <c r="CO205" s="94"/>
      <c r="CP205" s="94"/>
      <c r="CQ205" s="94"/>
      <c r="CR205" s="94"/>
      <c r="CS205" s="94"/>
      <c r="CT205" s="94"/>
      <c r="CU205" s="94"/>
      <c r="CV205" s="94"/>
      <c r="CW205" s="94"/>
      <c r="CX205" s="94"/>
      <c r="CY205" s="94"/>
      <c r="CZ205" s="94"/>
    </row>
    <row r="206" spans="1:104" ht="12.75">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94"/>
      <c r="BU206" s="94"/>
      <c r="BV206" s="94"/>
      <c r="BW206" s="94"/>
      <c r="BX206" s="94"/>
      <c r="BY206" s="94"/>
      <c r="BZ206" s="94"/>
      <c r="CA206" s="94"/>
      <c r="CB206" s="94"/>
      <c r="CC206" s="94"/>
      <c r="CD206" s="94"/>
      <c r="CE206" s="94"/>
      <c r="CF206" s="94"/>
      <c r="CG206" s="94"/>
      <c r="CH206" s="94"/>
      <c r="CI206" s="94"/>
      <c r="CJ206" s="94"/>
      <c r="CK206" s="94"/>
      <c r="CL206" s="94"/>
      <c r="CM206" s="94"/>
      <c r="CN206" s="94"/>
      <c r="CO206" s="94"/>
      <c r="CP206" s="94"/>
      <c r="CQ206" s="94"/>
      <c r="CR206" s="94"/>
      <c r="CS206" s="94"/>
      <c r="CT206" s="94"/>
      <c r="CU206" s="94"/>
      <c r="CV206" s="94"/>
      <c r="CW206" s="94"/>
      <c r="CX206" s="94"/>
      <c r="CY206" s="94"/>
      <c r="CZ206" s="94"/>
    </row>
    <row r="207" spans="1:104" ht="12.75">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A207" s="94"/>
      <c r="CB207" s="94"/>
      <c r="CC207" s="94"/>
      <c r="CD207" s="94"/>
      <c r="CE207" s="94"/>
      <c r="CF207" s="94"/>
      <c r="CG207" s="94"/>
      <c r="CH207" s="94"/>
      <c r="CI207" s="94"/>
      <c r="CJ207" s="94"/>
      <c r="CK207" s="94"/>
      <c r="CL207" s="94"/>
      <c r="CM207" s="94"/>
      <c r="CN207" s="94"/>
      <c r="CO207" s="94"/>
      <c r="CP207" s="94"/>
      <c r="CQ207" s="94"/>
      <c r="CR207" s="94"/>
      <c r="CS207" s="94"/>
      <c r="CT207" s="94"/>
      <c r="CU207" s="94"/>
      <c r="CV207" s="94"/>
      <c r="CW207" s="94"/>
      <c r="CX207" s="94"/>
      <c r="CY207" s="94"/>
      <c r="CZ207" s="94"/>
    </row>
    <row r="208" spans="1:104" ht="12.75">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94"/>
      <c r="CD208" s="94"/>
      <c r="CE208" s="94"/>
      <c r="CF208" s="94"/>
      <c r="CG208" s="94"/>
      <c r="CH208" s="94"/>
      <c r="CI208" s="94"/>
      <c r="CJ208" s="94"/>
      <c r="CK208" s="94"/>
      <c r="CL208" s="94"/>
      <c r="CM208" s="94"/>
      <c r="CN208" s="94"/>
      <c r="CO208" s="94"/>
      <c r="CP208" s="94"/>
      <c r="CQ208" s="94"/>
      <c r="CR208" s="94"/>
      <c r="CS208" s="94"/>
      <c r="CT208" s="94"/>
      <c r="CU208" s="94"/>
      <c r="CV208" s="94"/>
      <c r="CW208" s="94"/>
      <c r="CX208" s="94"/>
      <c r="CY208" s="94"/>
      <c r="CZ208" s="94"/>
    </row>
    <row r="209" spans="1:104" ht="12.75">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94"/>
      <c r="CD209" s="94"/>
      <c r="CE209" s="94"/>
      <c r="CF209" s="94"/>
      <c r="CG209" s="94"/>
      <c r="CH209" s="94"/>
      <c r="CI209" s="94"/>
      <c r="CJ209" s="94"/>
      <c r="CK209" s="94"/>
      <c r="CL209" s="94"/>
      <c r="CM209" s="94"/>
      <c r="CN209" s="94"/>
      <c r="CO209" s="94"/>
      <c r="CP209" s="94"/>
      <c r="CQ209" s="94"/>
      <c r="CR209" s="94"/>
      <c r="CS209" s="94"/>
      <c r="CT209" s="94"/>
      <c r="CU209" s="94"/>
      <c r="CV209" s="94"/>
      <c r="CW209" s="94"/>
      <c r="CX209" s="94"/>
      <c r="CY209" s="94"/>
      <c r="CZ209" s="94"/>
    </row>
    <row r="210" spans="1:104" ht="12.75">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c r="CA210" s="94"/>
      <c r="CB210" s="94"/>
      <c r="CC210" s="94"/>
      <c r="CD210" s="94"/>
      <c r="CE210" s="94"/>
      <c r="CF210" s="94"/>
      <c r="CG210" s="94"/>
      <c r="CH210" s="94"/>
      <c r="CI210" s="94"/>
      <c r="CJ210" s="94"/>
      <c r="CK210" s="94"/>
      <c r="CL210" s="94"/>
      <c r="CM210" s="94"/>
      <c r="CN210" s="94"/>
      <c r="CO210" s="94"/>
      <c r="CP210" s="94"/>
      <c r="CQ210" s="94"/>
      <c r="CR210" s="94"/>
      <c r="CS210" s="94"/>
      <c r="CT210" s="94"/>
      <c r="CU210" s="94"/>
      <c r="CV210" s="94"/>
      <c r="CW210" s="94"/>
      <c r="CX210" s="94"/>
      <c r="CY210" s="94"/>
      <c r="CZ210" s="94"/>
    </row>
    <row r="211" spans="1:104" ht="12.75">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c r="BB211" s="94"/>
      <c r="BC211" s="94"/>
      <c r="BD211" s="94"/>
      <c r="BE211" s="94"/>
      <c r="BF211" s="94"/>
      <c r="BG211" s="94"/>
      <c r="BH211" s="94"/>
      <c r="BI211" s="94"/>
      <c r="BJ211" s="94"/>
      <c r="BK211" s="94"/>
      <c r="BL211" s="94"/>
      <c r="BM211" s="94"/>
      <c r="BN211" s="94"/>
      <c r="BO211" s="94"/>
      <c r="BP211" s="94"/>
      <c r="BQ211" s="94"/>
      <c r="BR211" s="94"/>
      <c r="BS211" s="94"/>
      <c r="BT211" s="94"/>
      <c r="BU211" s="94"/>
      <c r="BV211" s="94"/>
      <c r="BW211" s="94"/>
      <c r="BX211" s="94"/>
      <c r="BY211" s="94"/>
      <c r="BZ211" s="94"/>
      <c r="CA211" s="94"/>
      <c r="CB211" s="94"/>
      <c r="CC211" s="94"/>
      <c r="CD211" s="94"/>
      <c r="CE211" s="94"/>
      <c r="CF211" s="94"/>
      <c r="CG211" s="94"/>
      <c r="CH211" s="94"/>
      <c r="CI211" s="94"/>
      <c r="CJ211" s="94"/>
      <c r="CK211" s="94"/>
      <c r="CL211" s="94"/>
      <c r="CM211" s="94"/>
      <c r="CN211" s="94"/>
      <c r="CO211" s="94"/>
      <c r="CP211" s="94"/>
      <c r="CQ211" s="94"/>
      <c r="CR211" s="94"/>
      <c r="CS211" s="94"/>
      <c r="CT211" s="94"/>
      <c r="CU211" s="94"/>
      <c r="CV211" s="94"/>
      <c r="CW211" s="94"/>
      <c r="CX211" s="94"/>
      <c r="CY211" s="94"/>
      <c r="CZ211" s="94"/>
    </row>
    <row r="212" spans="1:104" ht="12.75">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row>
    <row r="213" spans="1:104" ht="12.75">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row>
    <row r="214" spans="1:104" ht="12.75">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row>
    <row r="215" spans="1:104" ht="12.75">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row>
    <row r="216" spans="1:104" ht="12.75">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row>
    <row r="217" spans="1:104" ht="12.75">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row>
    <row r="218" spans="1:104" ht="12.75">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row>
    <row r="219" spans="1:104" ht="12.75">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row>
    <row r="220" spans="1:104" ht="12.75">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row>
    <row r="221" spans="1:104" ht="12.75">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row>
    <row r="222" spans="1:104" ht="12.75">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row>
    <row r="223" spans="1:104" ht="12.75">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row>
    <row r="224" spans="1:104" ht="12.75">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row>
    <row r="225" spans="1:104" ht="12.75">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row>
    <row r="226" spans="1:104" ht="12.75">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c r="AI226" s="94"/>
      <c r="AJ226" s="94"/>
      <c r="AK226" s="94"/>
      <c r="AL226" s="94"/>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row>
    <row r="227" spans="1:104" ht="12.75">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row>
    <row r="228" spans="1:104" ht="12.75">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row>
    <row r="229" spans="1:104" ht="12.75">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row>
    <row r="230" spans="1:104" ht="12.75">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row>
    <row r="231" spans="1:104" ht="12.75">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row>
    <row r="232" spans="1:104" ht="12.75">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row>
    <row r="233" spans="1:104" ht="12.75">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row>
    <row r="234" spans="1:104" ht="12.75">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row>
    <row r="235" spans="1:104" ht="12.75">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row>
    <row r="236" spans="1:104" ht="12.75">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row>
    <row r="237" spans="1:104" ht="12.75">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row>
    <row r="238" spans="1:104" ht="12.75">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row>
    <row r="239" spans="1:104" ht="12.75">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row>
    <row r="240" spans="1:104" ht="12.75">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row>
    <row r="241" spans="1:104" ht="12.75">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row>
    <row r="242" spans="1:104" ht="12.75">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row>
    <row r="243" spans="1:104" ht="12.75">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row>
    <row r="244" spans="1:104" ht="12.75">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row>
    <row r="245" spans="1:104" ht="12.75">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c r="AG245" s="94"/>
      <c r="AH245" s="94"/>
      <c r="AI245" s="94"/>
      <c r="AJ245" s="94"/>
      <c r="AK245" s="94"/>
      <c r="AL245" s="94"/>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row>
    <row r="246" spans="1:104" ht="12.75">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row>
    <row r="247" spans="1:104" ht="12.75">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row>
    <row r="248" spans="1:104" ht="12.75">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row>
    <row r="249" spans="1:104" ht="12.75">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row>
    <row r="250" spans="1:104" ht="12.75">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row>
    <row r="251" spans="1:104" ht="12.75">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row>
    <row r="252" spans="1:104" ht="12.75">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row>
    <row r="253" spans="1:104" ht="12.75">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row>
    <row r="254" spans="1:104" ht="12.75">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row>
    <row r="255" spans="1:104" ht="12.75">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row>
    <row r="256" spans="1:104" ht="12.75">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row>
    <row r="257" spans="1:104" ht="12.75">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row>
    <row r="258" spans="1:104" ht="12.75">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row>
    <row r="259" spans="1:104" ht="12.75">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row>
    <row r="260" spans="1:104" ht="12.75">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row>
    <row r="261" spans="1:104" ht="12.75">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row>
    <row r="262" spans="1:104" ht="12.75">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row>
    <row r="263" spans="1:104" ht="12.75">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row>
    <row r="264" spans="1:104" ht="12.75">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row>
    <row r="265" spans="1:104" ht="12.75">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row>
    <row r="266" spans="1:104" ht="12.75">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row>
    <row r="267" spans="1:104" ht="12.75">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row>
    <row r="268" spans="1:104" ht="12.75">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102"/>
      <c r="BP268" s="102"/>
      <c r="BQ268" s="102"/>
      <c r="BR268" s="102"/>
      <c r="BS268" s="102"/>
      <c r="BT268" s="102"/>
      <c r="BU268" s="102"/>
      <c r="BV268" s="102"/>
      <c r="BW268" s="102"/>
      <c r="BX268" s="102"/>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row>
    <row r="269" spans="1:104" ht="12.75">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102"/>
      <c r="BP269" s="102"/>
      <c r="BQ269" s="102"/>
      <c r="BR269" s="102"/>
      <c r="BS269" s="102"/>
      <c r="BT269" s="102"/>
      <c r="BU269" s="102"/>
      <c r="BV269" s="102"/>
      <c r="BW269" s="102"/>
      <c r="BX269" s="102"/>
      <c r="BY269" s="94"/>
      <c r="BZ269" s="94"/>
      <c r="CA269" s="94"/>
      <c r="CB269" s="94"/>
      <c r="CC269" s="94"/>
      <c r="CD269" s="94"/>
      <c r="CE269" s="94"/>
      <c r="CF269" s="94"/>
      <c r="CG269" s="94"/>
      <c r="CH269" s="94"/>
      <c r="CI269" s="94"/>
      <c r="CJ269" s="94"/>
      <c r="CK269" s="94"/>
      <c r="CL269" s="94"/>
      <c r="CM269" s="94"/>
      <c r="CN269" s="94"/>
      <c r="CO269" s="94"/>
      <c r="CP269" s="94"/>
      <c r="CQ269" s="94"/>
      <c r="CR269" s="94"/>
      <c r="CS269" s="94"/>
      <c r="CT269" s="94"/>
      <c r="CU269" s="94"/>
      <c r="CV269" s="94"/>
      <c r="CW269" s="94"/>
      <c r="CX269" s="94"/>
      <c r="CY269" s="94"/>
      <c r="CZ269" s="94"/>
    </row>
    <row r="270" spans="1:104" ht="12.75">
      <c r="BK270" s="94"/>
      <c r="BL270" s="94"/>
      <c r="BM270" s="94"/>
      <c r="BN270" s="94"/>
      <c r="BO270" s="102"/>
      <c r="BP270" s="102"/>
      <c r="BQ270" s="102"/>
      <c r="BR270" s="102"/>
      <c r="BS270" s="102"/>
      <c r="BT270" s="102"/>
      <c r="BU270" s="102"/>
      <c r="BV270" s="102"/>
      <c r="BW270" s="102"/>
      <c r="BX270" s="102"/>
      <c r="BY270" s="94"/>
      <c r="BZ270" s="94"/>
      <c r="CA270" s="94"/>
      <c r="CB270" s="94"/>
      <c r="CC270" s="94"/>
      <c r="CD270" s="94"/>
      <c r="CE270" s="94"/>
      <c r="CF270" s="94"/>
      <c r="CG270" s="94"/>
      <c r="CH270" s="94"/>
      <c r="CI270" s="94"/>
      <c r="CJ270" s="94"/>
      <c r="CK270" s="94"/>
      <c r="CL270" s="94"/>
      <c r="CM270" s="94"/>
      <c r="CN270" s="94"/>
      <c r="CO270" s="94"/>
      <c r="CP270" s="94"/>
      <c r="CQ270" s="94"/>
      <c r="CR270" s="94"/>
      <c r="CS270" s="94"/>
      <c r="CT270" s="94"/>
      <c r="CU270" s="94"/>
      <c r="CV270" s="94"/>
      <c r="CW270" s="94"/>
      <c r="CX270" s="94"/>
      <c r="CY270" s="94"/>
      <c r="CZ270" s="94"/>
    </row>
    <row r="271" spans="1:104" ht="27" customHeight="1">
      <c r="B271" s="766" t="str">
        <f>B1</f>
        <v>Multifamily (5 units or more per building)</v>
      </c>
      <c r="C271" s="766"/>
      <c r="D271" s="766"/>
      <c r="E271" s="766"/>
      <c r="F271" s="766"/>
      <c r="G271" s="766"/>
      <c r="H271" s="766"/>
      <c r="I271" s="767"/>
      <c r="J271" s="767"/>
      <c r="K271" s="767"/>
      <c r="L271" s="767"/>
      <c r="M271" s="767"/>
      <c r="N271" s="767"/>
      <c r="O271" s="767"/>
      <c r="P271" s="767"/>
      <c r="Q271" s="767"/>
      <c r="R271" s="767"/>
      <c r="S271" s="767"/>
      <c r="T271" s="767"/>
      <c r="U271" s="16"/>
      <c r="V271" s="16"/>
      <c r="W271" s="16"/>
      <c r="X271" s="16"/>
      <c r="Y271" s="16"/>
      <c r="Z271" s="16"/>
      <c r="AA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66" t="str">
        <f>BH1</f>
        <v>Effective November 1, 2023</v>
      </c>
      <c r="AY271" s="16"/>
      <c r="AZ271" s="16"/>
      <c r="BA271" s="16"/>
      <c r="BB271" s="16"/>
      <c r="BC271" s="16"/>
      <c r="BD271" s="16"/>
      <c r="BE271" s="16"/>
      <c r="BF271" s="16"/>
      <c r="BG271" s="16"/>
      <c r="BI271" s="16"/>
      <c r="BJ271" s="16"/>
      <c r="BK271" s="16"/>
      <c r="BL271" s="16"/>
      <c r="BN271" s="66"/>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row>
    <row r="272" spans="1:104" ht="18">
      <c r="B272" s="18" t="str">
        <f>B2</f>
        <v>Energy Efficiency Incentives</v>
      </c>
      <c r="C272" s="67"/>
      <c r="D272" s="67"/>
      <c r="E272" s="67"/>
      <c r="F272" s="67"/>
      <c r="G272" s="67"/>
      <c r="H272" s="67"/>
      <c r="I272" s="67"/>
      <c r="J272" s="67"/>
      <c r="K272" s="67"/>
      <c r="L272" s="67"/>
      <c r="M272" s="67"/>
      <c r="N272" s="67"/>
      <c r="O272" s="67"/>
      <c r="P272" s="67"/>
      <c r="Q272" s="67"/>
      <c r="AX272" s="17" t="s">
        <v>102</v>
      </c>
      <c r="BG272" s="67"/>
      <c r="BI272" s="67"/>
      <c r="BJ272" s="67"/>
      <c r="BK272" s="67"/>
      <c r="BL272" s="67"/>
      <c r="BM272" s="67"/>
      <c r="BN272" s="67"/>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row>
    <row r="273" spans="1:178" ht="18">
      <c r="B273" s="67" t="str">
        <f>B3</f>
        <v>HVAC Worksheet Data Input for Retrofits</v>
      </c>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81" t="s">
        <v>152</v>
      </c>
      <c r="AY273" s="920" t="str">
        <f>IF('Final Application'!AF7="","",'Final Application'!AF7)</f>
        <v/>
      </c>
      <c r="AZ273" s="920"/>
      <c r="BA273" s="920"/>
      <c r="BB273" s="920"/>
      <c r="BC273" s="920"/>
      <c r="BD273" s="920"/>
      <c r="BE273" s="920"/>
      <c r="BF273" s="920"/>
      <c r="BG273" s="920"/>
      <c r="BH273" s="920"/>
      <c r="BI273" s="920"/>
      <c r="BN273" s="195"/>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row>
    <row r="274" spans="1:178" ht="12.75" customHeight="1">
      <c r="B274" s="9" t="str">
        <f>B4</f>
        <v>For question regarding this worksheet, please contact Idaho Power by emailing multifamily@idahopower.com</v>
      </c>
      <c r="C274" s="68"/>
      <c r="D274" s="68"/>
      <c r="E274" s="68"/>
      <c r="F274" s="68"/>
      <c r="G274" s="68"/>
      <c r="H274" s="68"/>
      <c r="I274" s="68"/>
      <c r="J274" s="68"/>
      <c r="K274" s="68"/>
      <c r="L274" s="68"/>
      <c r="M274" s="68"/>
      <c r="N274" s="68"/>
      <c r="O274" s="68"/>
      <c r="P274" s="68"/>
      <c r="Q274" s="68"/>
      <c r="AI274" s="68"/>
      <c r="AJ274" s="68"/>
      <c r="AK274" s="68"/>
      <c r="AL274" s="68"/>
      <c r="AM274" s="68"/>
      <c r="AN274" s="68"/>
      <c r="AO274" s="68"/>
      <c r="AP274" s="68"/>
      <c r="AQ274" s="68"/>
      <c r="AR274" s="68"/>
      <c r="AS274" s="68"/>
      <c r="AT274" s="68"/>
      <c r="AU274" s="68"/>
      <c r="AV274" s="68"/>
      <c r="AW274" s="68"/>
      <c r="AX274" s="17" t="s">
        <v>2653</v>
      </c>
      <c r="AY274" s="926" t="str">
        <f>IF('Final Application'!B7="","",'Final Application'!B7)</f>
        <v/>
      </c>
      <c r="AZ274" s="926"/>
      <c r="BA274" s="926"/>
      <c r="BB274" s="926"/>
      <c r="BC274" s="926"/>
      <c r="BD274" s="926"/>
      <c r="BE274" s="926"/>
      <c r="BF274" s="926"/>
      <c r="BG274" s="926"/>
      <c r="BH274" s="926"/>
      <c r="BI274" s="926"/>
      <c r="BN274" s="195"/>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row>
    <row r="275" spans="1:178" ht="7.15" customHeight="1">
      <c r="A275" s="648"/>
      <c r="B275" s="649"/>
      <c r="C275" s="649"/>
      <c r="D275" s="649"/>
      <c r="E275" s="649"/>
      <c r="F275" s="649"/>
      <c r="G275" s="649"/>
      <c r="H275" s="649"/>
      <c r="I275" s="649"/>
      <c r="J275" s="649"/>
      <c r="K275" s="649"/>
      <c r="L275" s="649"/>
      <c r="M275" s="649"/>
      <c r="N275" s="649"/>
      <c r="O275" s="649"/>
      <c r="P275" s="649"/>
      <c r="Q275" s="649"/>
      <c r="R275" s="648"/>
      <c r="S275" s="648"/>
      <c r="T275" s="648"/>
      <c r="U275" s="648"/>
      <c r="V275" s="648"/>
      <c r="W275" s="648"/>
      <c r="X275" s="648"/>
      <c r="Y275" s="648"/>
      <c r="Z275" s="648"/>
      <c r="AA275" s="648"/>
      <c r="AB275" s="648"/>
      <c r="AC275" s="648"/>
      <c r="AD275" s="648"/>
      <c r="AE275" s="648"/>
      <c r="AF275" s="648"/>
      <c r="AG275" s="648"/>
      <c r="AH275" s="648"/>
      <c r="AI275" s="649"/>
      <c r="AJ275" s="649"/>
      <c r="AK275" s="649"/>
      <c r="AL275" s="649"/>
      <c r="AM275" s="649"/>
      <c r="AN275" s="649"/>
      <c r="AO275" s="649"/>
      <c r="AP275" s="649"/>
      <c r="AQ275" s="649"/>
      <c r="AR275" s="649"/>
      <c r="AS275" s="649"/>
      <c r="AT275" s="649"/>
      <c r="AU275" s="649"/>
      <c r="AV275" s="649"/>
      <c r="AW275" s="649"/>
      <c r="AX275" s="649"/>
      <c r="AY275" s="649"/>
      <c r="AZ275" s="649"/>
      <c r="BA275" s="649"/>
      <c r="BB275" s="649"/>
      <c r="BC275" s="649"/>
      <c r="BD275" s="649"/>
      <c r="BE275" s="649"/>
      <c r="BF275" s="649"/>
      <c r="BG275" s="649"/>
      <c r="BH275" s="649"/>
      <c r="BI275" s="649"/>
      <c r="BJ275" s="649"/>
      <c r="BK275" s="648"/>
      <c r="BL275" s="648"/>
      <c r="BM275" s="648"/>
      <c r="BN275" s="650"/>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row>
    <row r="276" spans="1:178" ht="18">
      <c r="A276" s="625" t="str">
        <f>A6</f>
        <v>Dwelling Unit Energy Efficiency Incentives for Retrofits</v>
      </c>
      <c r="B276" s="67"/>
      <c r="C276" s="68"/>
      <c r="D276" s="68"/>
      <c r="E276" s="68"/>
      <c r="F276" s="68"/>
      <c r="G276" s="68"/>
      <c r="H276" s="68"/>
      <c r="I276" s="68"/>
      <c r="J276" s="68"/>
      <c r="K276" s="68"/>
      <c r="L276" s="68"/>
      <c r="M276" s="68"/>
      <c r="N276" s="68"/>
      <c r="O276" s="68"/>
      <c r="P276" s="68"/>
      <c r="Q276" s="68"/>
      <c r="AB276" s="623" t="str">
        <f t="shared" ref="AB276:AB277" si="78">IF(AB6="","",AB6)</f>
        <v>Original heating type in dwelling units prior to retrofit?</v>
      </c>
      <c r="AD276" s="930" t="str">
        <f>IF(AD6="","",AD6)</f>
        <v>(Please Select)</v>
      </c>
      <c r="AE276" s="889"/>
      <c r="AF276" s="889"/>
      <c r="AG276" s="931"/>
      <c r="AI276" s="409" t="str">
        <f t="shared" ref="AI276:AI277" si="79">IF(AI6="","",AI6)</f>
        <v>*Required (May differ from Final Application tab if existing fuel type is different from new fuel type.)</v>
      </c>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N276" s="195"/>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row>
    <row r="277" spans="1:178" ht="16.5" thickBot="1">
      <c r="A277" s="80" t="str">
        <f>A7</f>
        <v>MF1 - Ductless Mini-Split Heat Pump</v>
      </c>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669" t="str">
        <f t="shared" si="78"/>
        <v>Select original heating system type in dwelling units prior to retrofit:</v>
      </c>
      <c r="AC277" s="80"/>
      <c r="AD277" s="933" t="str">
        <f>IF(AD7="","",AD7)</f>
        <v/>
      </c>
      <c r="AE277" s="933"/>
      <c r="AF277" s="933"/>
      <c r="AG277" s="933"/>
      <c r="AH277" s="80"/>
      <c r="AI277" s="668" t="str">
        <f t="shared" si="79"/>
        <v xml:space="preserve">*Required </v>
      </c>
      <c r="AJ277" s="80"/>
      <c r="AK277" s="80"/>
      <c r="AL277" s="80"/>
      <c r="AM277" s="80"/>
      <c r="AN277" s="80"/>
      <c r="AO277" s="80"/>
      <c r="AP277" s="80"/>
      <c r="AQ277" s="80"/>
      <c r="AR277" s="80"/>
      <c r="AS277" s="80"/>
      <c r="AT277" s="80"/>
      <c r="AU277" s="80"/>
      <c r="AV277" s="80"/>
      <c r="AW277" s="80"/>
      <c r="AX277" s="80"/>
      <c r="AY277" s="80"/>
      <c r="AZ277" s="80"/>
      <c r="BA277" s="80"/>
      <c r="BB277" s="80"/>
      <c r="BC277" s="80"/>
      <c r="BD277" s="80"/>
      <c r="BE277" s="80"/>
      <c r="BF277" s="80"/>
      <c r="BG277" s="280"/>
      <c r="BH277" s="20"/>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row>
    <row r="278" spans="1:178" s="22" customFormat="1" ht="12.75" customHeight="1">
      <c r="A278" s="588"/>
      <c r="B278" s="573"/>
      <c r="C278" s="573"/>
      <c r="D278" s="573"/>
      <c r="E278" s="573"/>
      <c r="F278" s="573"/>
      <c r="G278" s="573"/>
      <c r="H278" s="573"/>
      <c r="I278" s="573"/>
      <c r="J278" s="573"/>
      <c r="K278" s="573"/>
      <c r="L278" s="573"/>
      <c r="M278" s="573"/>
      <c r="N278" s="573"/>
      <c r="O278" s="573"/>
      <c r="P278" s="573"/>
      <c r="Q278" s="573"/>
      <c r="R278" s="573"/>
      <c r="S278" s="573"/>
      <c r="T278" s="573"/>
      <c r="U278" s="573"/>
      <c r="V278" s="573"/>
      <c r="W278" s="573"/>
      <c r="X278" s="573"/>
      <c r="Y278" s="573"/>
      <c r="Z278" s="573"/>
      <c r="AA278" s="573"/>
      <c r="AB278" s="573"/>
      <c r="AC278" s="573"/>
      <c r="AD278" s="573"/>
      <c r="AE278" s="573"/>
      <c r="AF278" s="573"/>
      <c r="AG278" s="573"/>
      <c r="AH278" s="573"/>
      <c r="AI278" s="573"/>
      <c r="AJ278" s="573"/>
      <c r="AK278" s="573"/>
      <c r="AL278" s="573"/>
      <c r="AM278" s="707"/>
      <c r="AN278" s="707"/>
      <c r="AO278" s="573"/>
      <c r="AP278" s="887" t="s">
        <v>2655</v>
      </c>
      <c r="AQ278" s="887"/>
      <c r="AR278" s="887"/>
      <c r="AS278" s="887"/>
      <c r="AT278" s="887"/>
      <c r="AU278" s="887"/>
      <c r="AV278" s="887"/>
      <c r="AW278" s="887"/>
      <c r="AX278" s="887"/>
      <c r="AY278" s="887"/>
      <c r="AZ278" s="887"/>
      <c r="BA278" s="887"/>
      <c r="BB278" s="887"/>
      <c r="BC278" s="887"/>
      <c r="BD278" s="887"/>
      <c r="BE278" s="887"/>
      <c r="BF278" s="887"/>
      <c r="BG278" s="589"/>
      <c r="BH278" s="888" t="str">
        <f>IF(BG8="","",BG8)</f>
        <v>Incentive
(tons x $125)</v>
      </c>
      <c r="BI278" s="888"/>
      <c r="BJ278" s="267"/>
      <c r="BK278" s="1"/>
      <c r="BL278" s="1"/>
      <c r="BM278" s="1"/>
      <c r="BN278" s="1"/>
      <c r="BO278" s="94"/>
      <c r="BP278" s="94"/>
      <c r="BQ278" s="94"/>
      <c r="BR278" s="94"/>
      <c r="BS278" s="94"/>
      <c r="BT278" s="94"/>
      <c r="BU278" s="94"/>
      <c r="BV278" s="94"/>
      <c r="BW278" s="94"/>
      <c r="BX278" s="94"/>
      <c r="BY278" s="102"/>
      <c r="BZ278" s="102"/>
      <c r="CA278" s="102"/>
      <c r="CB278" s="102"/>
      <c r="CC278" s="102"/>
      <c r="CD278" s="102"/>
      <c r="CE278" s="102"/>
      <c r="CF278" s="102"/>
      <c r="CG278" s="102"/>
      <c r="CH278" s="102"/>
      <c r="CI278" s="102"/>
      <c r="CJ278" s="102"/>
      <c r="CK278" s="102"/>
      <c r="CL278" s="102"/>
      <c r="CM278" s="102"/>
      <c r="CN278" s="102"/>
      <c r="CO278" s="102"/>
      <c r="CP278" s="102"/>
      <c r="CQ278" s="102"/>
      <c r="CR278" s="102"/>
      <c r="CS278" s="102"/>
      <c r="CT278" s="102"/>
      <c r="CU278" s="102"/>
      <c r="CV278" s="102"/>
      <c r="CW278" s="102"/>
      <c r="CX278" s="102"/>
      <c r="CY278" s="102"/>
      <c r="CZ278" s="102"/>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row>
    <row r="279" spans="1:178" s="22" customFormat="1" ht="20.45" customHeight="1">
      <c r="A279" s="69"/>
      <c r="B279" s="284"/>
      <c r="C279" s="70"/>
      <c r="D279" s="284"/>
      <c r="E279" s="284"/>
      <c r="F279" s="285"/>
      <c r="G279" s="285"/>
      <c r="H279" s="285"/>
      <c r="I279" s="285"/>
      <c r="J279" s="285"/>
      <c r="K279" s="285"/>
      <c r="L279" s="285"/>
      <c r="M279" s="285"/>
      <c r="N279" s="285"/>
      <c r="O279" s="285"/>
      <c r="P279" s="285"/>
      <c r="Q279" s="284"/>
      <c r="R279" s="632"/>
      <c r="S279" s="632"/>
      <c r="T279" s="632"/>
      <c r="U279" s="632"/>
      <c r="V279" s="289"/>
      <c r="W279" s="632"/>
      <c r="X279" s="632"/>
      <c r="Y279" s="632"/>
      <c r="Z279" s="632"/>
      <c r="AA279" s="632"/>
      <c r="AB279" s="632"/>
      <c r="AC279" s="289"/>
      <c r="AD279" s="289"/>
      <c r="AE279" s="289"/>
      <c r="AF279" s="289"/>
      <c r="AG279" s="289"/>
      <c r="AH279" s="71"/>
      <c r="AI279" s="71" t="str">
        <f t="shared" ref="AI279:AL290" si="80">IF(AI9="","",AI9)</f>
        <v>SEER2</v>
      </c>
      <c r="AJ279" s="289"/>
      <c r="AK279" s="72" t="str">
        <f t="shared" ref="AK279:AK280" si="81">IF(AK9="","",AK9)</f>
        <v>HSPF2</v>
      </c>
      <c r="AL279" s="289"/>
      <c r="AM279" s="289"/>
      <c r="AN279" s="289"/>
      <c r="AO279" s="289"/>
      <c r="AP279" s="880" t="str">
        <f>IF(AP9="","",AP9)</f>
        <v>ENERGY STAR®</v>
      </c>
      <c r="AQ279" s="880" t="str">
        <f t="shared" ref="AQ279:AX279" si="82">IF(AQ9="","",AQ9)</f>
        <v/>
      </c>
      <c r="AR279" s="880" t="str">
        <f t="shared" si="82"/>
        <v/>
      </c>
      <c r="AS279" s="880" t="str">
        <f t="shared" si="82"/>
        <v/>
      </c>
      <c r="AT279" s="880"/>
      <c r="AU279" s="880"/>
      <c r="AV279" s="880" t="str">
        <f t="shared" si="82"/>
        <v/>
      </c>
      <c r="AW279" s="880" t="str">
        <f t="shared" si="82"/>
        <v/>
      </c>
      <c r="AX279" s="880" t="str">
        <f t="shared" si="82"/>
        <v/>
      </c>
      <c r="AY279" s="284"/>
      <c r="AZ279" s="284"/>
      <c r="BA279" s="284"/>
      <c r="BB279" s="284"/>
      <c r="BC279" s="284"/>
      <c r="BD279" s="284"/>
      <c r="BE279" s="284"/>
      <c r="BF279" s="284"/>
      <c r="BG279"/>
      <c r="BH279" s="736"/>
      <c r="BI279" s="736"/>
      <c r="BJ279" s="73"/>
      <c r="BK279" s="1"/>
      <c r="BL279" s="1"/>
      <c r="BM279" s="1"/>
      <c r="BN279" s="1"/>
      <c r="BO279" s="94"/>
      <c r="BP279" s="94"/>
      <c r="BQ279" s="94"/>
      <c r="BR279" s="94"/>
      <c r="BS279" s="94"/>
      <c r="BT279" s="94"/>
      <c r="BU279" s="94"/>
      <c r="BV279" s="94"/>
      <c r="BW279" s="94"/>
      <c r="BX279" s="94"/>
      <c r="BY279" s="102"/>
      <c r="BZ279" s="102"/>
      <c r="CA279" s="102"/>
      <c r="CB279" s="102"/>
      <c r="CC279" s="102"/>
      <c r="CD279" s="102"/>
      <c r="CE279" s="102"/>
      <c r="CF279" s="102"/>
      <c r="CG279" s="102"/>
      <c r="CH279" s="102"/>
      <c r="CI279" s="102"/>
      <c r="CJ279" s="102"/>
      <c r="CK279" s="102"/>
      <c r="CL279" s="102"/>
      <c r="CM279" s="102"/>
      <c r="CN279" s="102"/>
      <c r="CO279" s="102"/>
      <c r="CP279" s="102"/>
      <c r="CQ279" s="102"/>
      <c r="CR279" s="102"/>
      <c r="CS279" s="102"/>
      <c r="CT279" s="102"/>
      <c r="CU279" s="102"/>
      <c r="CV279" s="102"/>
      <c r="CW279" s="102"/>
      <c r="CX279" s="102"/>
      <c r="CY279" s="102"/>
      <c r="CZ279" s="102"/>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row>
    <row r="280" spans="1:178" s="22" customFormat="1" ht="27.6" customHeight="1">
      <c r="A280" s="69"/>
      <c r="B280" s="246" t="str">
        <f t="shared" ref="B280:F290" si="83">IF(B10="","",B10)</f>
        <v>Qty</v>
      </c>
      <c r="C280" s="412"/>
      <c r="D280" s="246" t="str">
        <f t="shared" si="83"/>
        <v>Tons</v>
      </c>
      <c r="E280" s="246"/>
      <c r="F280" s="246" t="str">
        <f t="shared" si="83"/>
        <v>Description of Location</v>
      </c>
      <c r="G280" s="246"/>
      <c r="H280" s="246"/>
      <c r="I280" s="246"/>
      <c r="J280" s="246"/>
      <c r="K280" s="285"/>
      <c r="L280" s="285"/>
      <c r="M280" s="285"/>
      <c r="N280" s="285"/>
      <c r="O280" s="285"/>
      <c r="P280" s="285"/>
      <c r="Q280" s="284"/>
      <c r="R280" s="632"/>
      <c r="S280" s="632"/>
      <c r="T280" s="632"/>
      <c r="U280" s="632"/>
      <c r="V280" s="289"/>
      <c r="W280" s="632"/>
      <c r="X280" s="632"/>
      <c r="Y280" s="632"/>
      <c r="Z280" s="632"/>
      <c r="AA280" s="632"/>
      <c r="AB280" s="632"/>
      <c r="AC280" s="289"/>
      <c r="AD280" s="246" t="str">
        <f t="shared" ref="AD280:AD306" si="84">IF(AD10="","",AD10)</f>
        <v>Model / Designation</v>
      </c>
      <c r="AE280" s="281"/>
      <c r="AF280" s="246"/>
      <c r="AG280" s="246"/>
      <c r="AH280" s="413"/>
      <c r="AI280" s="246" t="str">
        <f t="shared" si="80"/>
        <v>Actual Eff.</v>
      </c>
      <c r="AJ280" s="281"/>
      <c r="AK280" s="246" t="str">
        <f t="shared" si="81"/>
        <v>Actual Eff.</v>
      </c>
      <c r="AL280" s="281"/>
      <c r="AM280" s="703"/>
      <c r="AN280" s="703"/>
      <c r="AO280" s="281"/>
      <c r="AP280" s="879" t="str">
        <f>IF(AP10="","",AP10)</f>
        <v>Ductless ($125/ ton)</v>
      </c>
      <c r="AQ280" s="863"/>
      <c r="AR280" s="863"/>
      <c r="AS280" s="863"/>
      <c r="AT280" s="863"/>
      <c r="AU280" s="863"/>
      <c r="AV280" s="863"/>
      <c r="AW280" s="863"/>
      <c r="AX280" s="246"/>
      <c r="AY280" s="281"/>
      <c r="AZ280" s="281"/>
      <c r="BA280" s="281"/>
      <c r="BB280" s="281"/>
      <c r="BC280" s="703"/>
      <c r="BD280" s="703"/>
      <c r="BE280" s="281"/>
      <c r="BF280" s="246"/>
      <c r="BG280"/>
      <c r="BH280" s="736"/>
      <c r="BI280" s="736"/>
      <c r="BJ280" s="73"/>
      <c r="BK280" s="1"/>
      <c r="BL280" s="1"/>
      <c r="BM280" s="1"/>
      <c r="BN280" s="1"/>
      <c r="BO280" s="94"/>
      <c r="BP280" s="94"/>
      <c r="BQ280" s="94"/>
      <c r="BR280" s="94"/>
      <c r="BS280" s="94"/>
      <c r="BT280" s="94"/>
      <c r="BU280" s="94"/>
      <c r="BV280" s="94"/>
      <c r="BW280" s="94"/>
      <c r="BX280" s="94"/>
      <c r="BY280" s="102"/>
      <c r="BZ280" s="102"/>
      <c r="CA280" s="102"/>
      <c r="CB280" s="102"/>
      <c r="CC280" s="102"/>
      <c r="CD280" s="102"/>
      <c r="CE280" s="102"/>
      <c r="CF280" s="102"/>
      <c r="CG280" s="102"/>
      <c r="CH280" s="102"/>
      <c r="CI280" s="102"/>
      <c r="CJ280" s="102"/>
      <c r="CK280" s="102"/>
      <c r="CL280" s="102"/>
      <c r="CM280" s="102"/>
      <c r="CN280" s="102"/>
      <c r="CO280" s="102"/>
      <c r="CP280" s="102"/>
      <c r="CQ280" s="102"/>
      <c r="CR280" s="102"/>
      <c r="CS280" s="102"/>
      <c r="CT280" s="102"/>
      <c r="CU280" s="102"/>
      <c r="CV280" s="102"/>
      <c r="CW280" s="102"/>
      <c r="CX280" s="102"/>
      <c r="CY280" s="102"/>
      <c r="CZ280" s="102"/>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row>
    <row r="281" spans="1:178" ht="12.75" customHeight="1">
      <c r="A281" s="74"/>
      <c r="B281" s="287" t="str">
        <f t="shared" si="83"/>
        <v/>
      </c>
      <c r="C281" s="9"/>
      <c r="D281" s="287" t="str">
        <f t="shared" si="83"/>
        <v/>
      </c>
      <c r="E281" s="274"/>
      <c r="F281" s="883" t="str">
        <f t="shared" si="83"/>
        <v/>
      </c>
      <c r="G281" s="883"/>
      <c r="H281" s="883"/>
      <c r="I281" s="883"/>
      <c r="J281" s="883"/>
      <c r="K281" s="883"/>
      <c r="L281" s="883"/>
      <c r="M281" s="883"/>
      <c r="N281" s="883"/>
      <c r="O281" s="883"/>
      <c r="P281" s="883"/>
      <c r="Q281" s="883"/>
      <c r="R281" s="883"/>
      <c r="S281" s="883"/>
      <c r="T281" s="883"/>
      <c r="U281" s="883"/>
      <c r="V281" s="883"/>
      <c r="W281" s="883"/>
      <c r="X281" s="883"/>
      <c r="Y281" s="883"/>
      <c r="Z281" s="883"/>
      <c r="AA281" s="883"/>
      <c r="AB281" s="274"/>
      <c r="AC281" s="289"/>
      <c r="AD281" s="886" t="str">
        <f t="shared" si="84"/>
        <v/>
      </c>
      <c r="AE281" s="886"/>
      <c r="AF281" s="886"/>
      <c r="AG281" s="886"/>
      <c r="AH281" s="9"/>
      <c r="AI281" s="287" t="str">
        <f t="shared" si="80"/>
        <v/>
      </c>
      <c r="AJ281" s="13" t="str">
        <f t="shared" si="80"/>
        <v/>
      </c>
      <c r="AK281" s="287" t="str">
        <f t="shared" si="80"/>
        <v/>
      </c>
      <c r="AL281" s="13" t="str">
        <f t="shared" si="80"/>
        <v/>
      </c>
      <c r="AM281" s="705"/>
      <c r="AN281" s="705"/>
      <c r="AO281" s="289"/>
      <c r="AP281" s="75" t="str">
        <f t="shared" ref="AP281:AS290" si="85">IF(AP11="","",AP11)</f>
        <v/>
      </c>
      <c r="AQ281" s="13" t="str">
        <f t="shared" si="85"/>
        <v/>
      </c>
      <c r="AR281" s="75" t="str">
        <f t="shared" si="85"/>
        <v/>
      </c>
      <c r="AS281" s="13" t="str">
        <f t="shared" si="85"/>
        <v/>
      </c>
      <c r="AT281" s="705"/>
      <c r="AU281" s="705"/>
      <c r="AV281" s="13"/>
      <c r="AW281" s="746" t="str">
        <f t="shared" ref="AW281:AW306" si="86">IF(AW11="","",AW11)</f>
        <v/>
      </c>
      <c r="AX281" s="746"/>
      <c r="AY281" s="417"/>
      <c r="AZ281" s="13"/>
      <c r="BA281" s="417"/>
      <c r="BB281" s="13"/>
      <c r="BC281" s="705"/>
      <c r="BD281" s="705"/>
      <c r="BE281" s="10"/>
      <c r="BF281" s="10"/>
      <c r="BG281" s="13" t="s">
        <v>142</v>
      </c>
      <c r="BH281" s="884" t="str">
        <f t="shared" ref="BH281:BH308" si="87">IF(BH11="","",BH11)</f>
        <v/>
      </c>
      <c r="BI281" s="884"/>
      <c r="BJ281" s="590"/>
      <c r="BM281" s="296">
        <f>COUNTIF(AW280:AW290,"Qualified")</f>
        <v>0</v>
      </c>
      <c r="BO281" s="94"/>
      <c r="BP281" s="94"/>
      <c r="BQ281" s="94"/>
      <c r="BR281" s="94"/>
      <c r="BS281" s="94"/>
      <c r="BT281" s="94"/>
      <c r="BU281" s="94"/>
      <c r="BV281" s="94"/>
      <c r="BW281" s="94"/>
      <c r="BX281" s="94"/>
      <c r="BY281" s="94"/>
      <c r="BZ281" s="94"/>
      <c r="CA281" s="94"/>
      <c r="CB281" s="94"/>
      <c r="CC281" s="94"/>
      <c r="CD281" s="94"/>
      <c r="CE281" s="94"/>
      <c r="CF281" s="94"/>
      <c r="CG281" s="94"/>
      <c r="CH281" s="94"/>
      <c r="CI281" s="94"/>
      <c r="CJ281" s="94"/>
      <c r="CK281" s="94"/>
      <c r="CL281" s="94"/>
      <c r="CM281" s="94"/>
      <c r="CN281" s="94"/>
      <c r="CO281" s="94"/>
      <c r="CP281" s="94"/>
      <c r="CQ281" s="94"/>
      <c r="CR281" s="94"/>
      <c r="CS281" s="94"/>
      <c r="CT281" s="94"/>
      <c r="CU281" s="94"/>
      <c r="CV281" s="94"/>
      <c r="CW281" s="94"/>
      <c r="CX281" s="94"/>
      <c r="CY281" s="94"/>
      <c r="CZ281" s="94"/>
    </row>
    <row r="282" spans="1:178" ht="12.75" customHeight="1">
      <c r="A282" s="74"/>
      <c r="B282" s="288" t="str">
        <f t="shared" si="83"/>
        <v/>
      </c>
      <c r="C282" s="9"/>
      <c r="D282" s="288" t="str">
        <f t="shared" si="83"/>
        <v/>
      </c>
      <c r="E282" s="274"/>
      <c r="F282" s="883" t="str">
        <f t="shared" si="83"/>
        <v/>
      </c>
      <c r="G282" s="883"/>
      <c r="H282" s="883"/>
      <c r="I282" s="883"/>
      <c r="J282" s="883"/>
      <c r="K282" s="883"/>
      <c r="L282" s="883"/>
      <c r="M282" s="883"/>
      <c r="N282" s="883"/>
      <c r="O282" s="883"/>
      <c r="P282" s="883"/>
      <c r="Q282" s="883"/>
      <c r="R282" s="883"/>
      <c r="S282" s="883"/>
      <c r="T282" s="883"/>
      <c r="U282" s="883"/>
      <c r="V282" s="883"/>
      <c r="W282" s="883"/>
      <c r="X282" s="883"/>
      <c r="Y282" s="883"/>
      <c r="Z282" s="883"/>
      <c r="AA282" s="883"/>
      <c r="AB282" s="274"/>
      <c r="AC282" s="289"/>
      <c r="AD282" s="885" t="str">
        <f t="shared" si="84"/>
        <v/>
      </c>
      <c r="AE282" s="885"/>
      <c r="AF282" s="885"/>
      <c r="AG282" s="885"/>
      <c r="AH282" s="9"/>
      <c r="AI282" s="288" t="str">
        <f t="shared" si="80"/>
        <v/>
      </c>
      <c r="AJ282" s="13" t="str">
        <f t="shared" si="80"/>
        <v/>
      </c>
      <c r="AK282" s="288" t="str">
        <f t="shared" si="80"/>
        <v/>
      </c>
      <c r="AL282" s="13" t="str">
        <f t="shared" si="80"/>
        <v/>
      </c>
      <c r="AM282" s="705"/>
      <c r="AN282" s="705"/>
      <c r="AO282" s="289"/>
      <c r="AP282" s="273" t="str">
        <f t="shared" si="85"/>
        <v/>
      </c>
      <c r="AQ282" s="13" t="str">
        <f t="shared" si="85"/>
        <v/>
      </c>
      <c r="AR282" s="273" t="str">
        <f t="shared" si="85"/>
        <v/>
      </c>
      <c r="AS282" s="13" t="str">
        <f t="shared" si="85"/>
        <v/>
      </c>
      <c r="AT282" s="705"/>
      <c r="AU282" s="705"/>
      <c r="AV282" s="13"/>
      <c r="AW282" s="746" t="str">
        <f t="shared" si="86"/>
        <v/>
      </c>
      <c r="AX282" s="746"/>
      <c r="AY282" s="417"/>
      <c r="AZ282" s="13"/>
      <c r="BA282" s="417"/>
      <c r="BB282" s="13"/>
      <c r="BC282" s="705"/>
      <c r="BD282" s="705"/>
      <c r="BE282" s="10"/>
      <c r="BF282" s="10"/>
      <c r="BG282" s="13" t="s">
        <v>142</v>
      </c>
      <c r="BH282" s="884" t="str">
        <f t="shared" si="87"/>
        <v/>
      </c>
      <c r="BI282" s="884"/>
      <c r="BJ282" s="590"/>
      <c r="BO282" s="94"/>
      <c r="BP282" s="94"/>
      <c r="BQ282" s="94"/>
      <c r="BR282" s="94"/>
      <c r="BS282" s="94"/>
      <c r="BT282" s="94"/>
      <c r="BU282" s="94"/>
      <c r="BV282" s="94"/>
      <c r="BW282" s="94"/>
      <c r="BX282" s="94"/>
      <c r="BY282" s="94"/>
      <c r="BZ282" s="94"/>
      <c r="CA282" s="94"/>
      <c r="CB282" s="94"/>
      <c r="CC282" s="94"/>
      <c r="CD282" s="94"/>
      <c r="CE282" s="94"/>
      <c r="CF282" s="94"/>
      <c r="CG282" s="94"/>
      <c r="CH282" s="94"/>
      <c r="CI282" s="94"/>
      <c r="CJ282" s="94"/>
      <c r="CK282" s="94"/>
      <c r="CL282" s="94"/>
      <c r="CM282" s="94"/>
      <c r="CN282" s="94"/>
      <c r="CO282" s="94"/>
      <c r="CP282" s="94"/>
      <c r="CQ282" s="94"/>
      <c r="CR282" s="94"/>
      <c r="CS282" s="94"/>
      <c r="CT282" s="94"/>
      <c r="CU282" s="94"/>
      <c r="CV282" s="94"/>
      <c r="CW282" s="94"/>
      <c r="CX282" s="94"/>
      <c r="CY282" s="94"/>
      <c r="CZ282" s="94"/>
    </row>
    <row r="283" spans="1:178" ht="12.75">
      <c r="A283" s="74"/>
      <c r="B283" s="288" t="str">
        <f t="shared" si="83"/>
        <v/>
      </c>
      <c r="C283" s="9"/>
      <c r="D283" s="288" t="str">
        <f t="shared" si="83"/>
        <v/>
      </c>
      <c r="E283" s="274"/>
      <c r="F283" s="883" t="str">
        <f t="shared" si="83"/>
        <v/>
      </c>
      <c r="G283" s="883"/>
      <c r="H283" s="883"/>
      <c r="I283" s="883"/>
      <c r="J283" s="883"/>
      <c r="K283" s="883"/>
      <c r="L283" s="883"/>
      <c r="M283" s="883"/>
      <c r="N283" s="883"/>
      <c r="O283" s="883"/>
      <c r="P283" s="883"/>
      <c r="Q283" s="883"/>
      <c r="R283" s="883"/>
      <c r="S283" s="883"/>
      <c r="T283" s="883"/>
      <c r="U283" s="883"/>
      <c r="V283" s="883"/>
      <c r="W283" s="883"/>
      <c r="X283" s="883"/>
      <c r="Y283" s="883"/>
      <c r="Z283" s="883"/>
      <c r="AA283" s="883"/>
      <c r="AB283" s="274"/>
      <c r="AC283" s="289"/>
      <c r="AD283" s="885" t="str">
        <f t="shared" si="84"/>
        <v/>
      </c>
      <c r="AE283" s="885"/>
      <c r="AF283" s="885"/>
      <c r="AG283" s="885"/>
      <c r="AH283" s="9"/>
      <c r="AI283" s="288" t="str">
        <f t="shared" si="80"/>
        <v/>
      </c>
      <c r="AJ283" s="13" t="str">
        <f t="shared" si="80"/>
        <v/>
      </c>
      <c r="AK283" s="288" t="str">
        <f t="shared" si="80"/>
        <v/>
      </c>
      <c r="AL283" s="13" t="str">
        <f t="shared" si="80"/>
        <v/>
      </c>
      <c r="AM283" s="705"/>
      <c r="AN283" s="705"/>
      <c r="AO283" s="289"/>
      <c r="AP283" s="273" t="str">
        <f t="shared" si="85"/>
        <v/>
      </c>
      <c r="AQ283" s="13" t="str">
        <f t="shared" si="85"/>
        <v/>
      </c>
      <c r="AR283" s="273" t="str">
        <f t="shared" si="85"/>
        <v/>
      </c>
      <c r="AS283" s="13" t="str">
        <f t="shared" si="85"/>
        <v/>
      </c>
      <c r="AT283" s="705"/>
      <c r="AU283" s="705"/>
      <c r="AV283" s="13"/>
      <c r="AW283" s="746" t="str">
        <f t="shared" si="86"/>
        <v/>
      </c>
      <c r="AX283" s="746"/>
      <c r="AY283" s="417"/>
      <c r="AZ283" s="13"/>
      <c r="BA283" s="417"/>
      <c r="BB283" s="13"/>
      <c r="BC283" s="705"/>
      <c r="BD283" s="705"/>
      <c r="BE283" s="10"/>
      <c r="BF283" s="10"/>
      <c r="BG283" s="13" t="s">
        <v>142</v>
      </c>
      <c r="BH283" s="884" t="str">
        <f t="shared" si="87"/>
        <v/>
      </c>
      <c r="BI283" s="884"/>
      <c r="BJ283" s="590"/>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row>
    <row r="284" spans="1:178" ht="12.75">
      <c r="A284" s="74"/>
      <c r="B284" s="288" t="str">
        <f t="shared" si="83"/>
        <v/>
      </c>
      <c r="C284" s="9"/>
      <c r="D284" s="288" t="str">
        <f t="shared" si="83"/>
        <v/>
      </c>
      <c r="E284" s="274"/>
      <c r="F284" s="883" t="str">
        <f t="shared" si="83"/>
        <v/>
      </c>
      <c r="G284" s="883"/>
      <c r="H284" s="883"/>
      <c r="I284" s="883"/>
      <c r="J284" s="883"/>
      <c r="K284" s="883"/>
      <c r="L284" s="883"/>
      <c r="M284" s="883"/>
      <c r="N284" s="883"/>
      <c r="O284" s="883"/>
      <c r="P284" s="883"/>
      <c r="Q284" s="883"/>
      <c r="R284" s="883"/>
      <c r="S284" s="883"/>
      <c r="T284" s="883"/>
      <c r="U284" s="883"/>
      <c r="V284" s="883"/>
      <c r="W284" s="883"/>
      <c r="X284" s="883"/>
      <c r="Y284" s="883"/>
      <c r="Z284" s="883"/>
      <c r="AA284" s="883"/>
      <c r="AB284" s="274"/>
      <c r="AC284" s="289"/>
      <c r="AD284" s="885" t="str">
        <f t="shared" si="84"/>
        <v/>
      </c>
      <c r="AE284" s="885"/>
      <c r="AF284" s="885"/>
      <c r="AG284" s="885"/>
      <c r="AH284" s="9"/>
      <c r="AI284" s="288" t="str">
        <f t="shared" si="80"/>
        <v/>
      </c>
      <c r="AJ284" s="13" t="str">
        <f t="shared" si="80"/>
        <v/>
      </c>
      <c r="AK284" s="288" t="str">
        <f t="shared" si="80"/>
        <v/>
      </c>
      <c r="AL284" s="13" t="str">
        <f t="shared" si="80"/>
        <v/>
      </c>
      <c r="AM284" s="705"/>
      <c r="AN284" s="705"/>
      <c r="AO284" s="289"/>
      <c r="AP284" s="273" t="str">
        <f t="shared" si="85"/>
        <v/>
      </c>
      <c r="AQ284" s="13" t="str">
        <f t="shared" si="85"/>
        <v/>
      </c>
      <c r="AR284" s="273" t="str">
        <f t="shared" si="85"/>
        <v/>
      </c>
      <c r="AS284" s="13" t="str">
        <f t="shared" si="85"/>
        <v/>
      </c>
      <c r="AT284" s="705"/>
      <c r="AU284" s="705"/>
      <c r="AV284" s="13"/>
      <c r="AW284" s="746" t="str">
        <f t="shared" si="86"/>
        <v/>
      </c>
      <c r="AX284" s="746"/>
      <c r="AY284" s="417"/>
      <c r="AZ284" s="13"/>
      <c r="BA284" s="417"/>
      <c r="BB284" s="13"/>
      <c r="BC284" s="705"/>
      <c r="BD284" s="705"/>
      <c r="BE284" s="10"/>
      <c r="BF284" s="10"/>
      <c r="BG284" s="13" t="s">
        <v>142</v>
      </c>
      <c r="BH284" s="884" t="str">
        <f t="shared" si="87"/>
        <v/>
      </c>
      <c r="BI284" s="884"/>
      <c r="BJ284" s="590"/>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row>
    <row r="285" spans="1:178" ht="12.75">
      <c r="A285" s="74"/>
      <c r="B285" s="288" t="str">
        <f t="shared" si="83"/>
        <v/>
      </c>
      <c r="C285" s="9"/>
      <c r="D285" s="288" t="str">
        <f t="shared" si="83"/>
        <v/>
      </c>
      <c r="E285" s="274"/>
      <c r="F285" s="883" t="str">
        <f t="shared" si="83"/>
        <v/>
      </c>
      <c r="G285" s="883"/>
      <c r="H285" s="883"/>
      <c r="I285" s="883"/>
      <c r="J285" s="883"/>
      <c r="K285" s="883"/>
      <c r="L285" s="883"/>
      <c r="M285" s="883"/>
      <c r="N285" s="883"/>
      <c r="O285" s="883"/>
      <c r="P285" s="883"/>
      <c r="Q285" s="883"/>
      <c r="R285" s="883"/>
      <c r="S285" s="883"/>
      <c r="T285" s="883"/>
      <c r="U285" s="883"/>
      <c r="V285" s="883"/>
      <c r="W285" s="883"/>
      <c r="X285" s="883"/>
      <c r="Y285" s="883"/>
      <c r="Z285" s="883"/>
      <c r="AA285" s="883"/>
      <c r="AB285" s="274"/>
      <c r="AC285" s="289"/>
      <c r="AD285" s="885" t="str">
        <f t="shared" si="84"/>
        <v/>
      </c>
      <c r="AE285" s="885"/>
      <c r="AF285" s="885"/>
      <c r="AG285" s="885"/>
      <c r="AH285" s="9"/>
      <c r="AI285" s="288" t="str">
        <f t="shared" si="80"/>
        <v/>
      </c>
      <c r="AJ285" s="13" t="str">
        <f t="shared" si="80"/>
        <v/>
      </c>
      <c r="AK285" s="288" t="str">
        <f t="shared" si="80"/>
        <v/>
      </c>
      <c r="AL285" s="13" t="str">
        <f t="shared" si="80"/>
        <v/>
      </c>
      <c r="AM285" s="705"/>
      <c r="AN285" s="705"/>
      <c r="AO285" s="289"/>
      <c r="AP285" s="273" t="str">
        <f t="shared" si="85"/>
        <v/>
      </c>
      <c r="AQ285" s="13" t="str">
        <f t="shared" si="85"/>
        <v/>
      </c>
      <c r="AR285" s="273" t="str">
        <f t="shared" si="85"/>
        <v/>
      </c>
      <c r="AS285" s="13" t="str">
        <f t="shared" si="85"/>
        <v/>
      </c>
      <c r="AT285" s="705"/>
      <c r="AU285" s="705"/>
      <c r="AV285" s="13"/>
      <c r="AW285" s="746" t="str">
        <f t="shared" si="86"/>
        <v/>
      </c>
      <c r="AX285" s="746"/>
      <c r="AY285" s="417"/>
      <c r="AZ285" s="13"/>
      <c r="BA285" s="417"/>
      <c r="BB285" s="13"/>
      <c r="BC285" s="705"/>
      <c r="BD285" s="705"/>
      <c r="BE285" s="10"/>
      <c r="BF285" s="10"/>
      <c r="BG285" s="13" t="s">
        <v>142</v>
      </c>
      <c r="BH285" s="884" t="str">
        <f t="shared" si="87"/>
        <v/>
      </c>
      <c r="BI285" s="884"/>
      <c r="BJ285" s="590"/>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row>
    <row r="286" spans="1:178" ht="12.75">
      <c r="A286" s="74"/>
      <c r="B286" s="288" t="str">
        <f t="shared" si="83"/>
        <v/>
      </c>
      <c r="C286" s="9"/>
      <c r="D286" s="288" t="str">
        <f t="shared" si="83"/>
        <v/>
      </c>
      <c r="E286" s="274"/>
      <c r="F286" s="883" t="str">
        <f t="shared" si="83"/>
        <v/>
      </c>
      <c r="G286" s="883"/>
      <c r="H286" s="883"/>
      <c r="I286" s="883"/>
      <c r="J286" s="883"/>
      <c r="K286" s="883"/>
      <c r="L286" s="883"/>
      <c r="M286" s="883"/>
      <c r="N286" s="883"/>
      <c r="O286" s="883"/>
      <c r="P286" s="883"/>
      <c r="Q286" s="883"/>
      <c r="R286" s="883"/>
      <c r="S286" s="883"/>
      <c r="T286" s="883"/>
      <c r="U286" s="883"/>
      <c r="V286" s="883"/>
      <c r="W286" s="883"/>
      <c r="X286" s="883"/>
      <c r="Y286" s="883"/>
      <c r="Z286" s="883"/>
      <c r="AA286" s="883"/>
      <c r="AB286" s="274"/>
      <c r="AC286" s="289"/>
      <c r="AD286" s="885" t="str">
        <f t="shared" si="84"/>
        <v/>
      </c>
      <c r="AE286" s="885"/>
      <c r="AF286" s="885"/>
      <c r="AG286" s="885"/>
      <c r="AH286" s="9"/>
      <c r="AI286" s="288" t="str">
        <f t="shared" si="80"/>
        <v/>
      </c>
      <c r="AJ286" s="13" t="str">
        <f t="shared" si="80"/>
        <v/>
      </c>
      <c r="AK286" s="288" t="str">
        <f t="shared" si="80"/>
        <v/>
      </c>
      <c r="AL286" s="13" t="str">
        <f t="shared" si="80"/>
        <v/>
      </c>
      <c r="AM286" s="705"/>
      <c r="AN286" s="705"/>
      <c r="AO286" s="289"/>
      <c r="AP286" s="273" t="str">
        <f t="shared" si="85"/>
        <v/>
      </c>
      <c r="AQ286" s="13" t="str">
        <f t="shared" si="85"/>
        <v/>
      </c>
      <c r="AR286" s="273" t="str">
        <f t="shared" si="85"/>
        <v/>
      </c>
      <c r="AS286" s="13" t="str">
        <f t="shared" si="85"/>
        <v/>
      </c>
      <c r="AT286" s="705"/>
      <c r="AU286" s="705"/>
      <c r="AV286" s="13"/>
      <c r="AW286" s="746" t="str">
        <f t="shared" si="86"/>
        <v/>
      </c>
      <c r="AX286" s="746"/>
      <c r="AY286" s="417"/>
      <c r="AZ286" s="13"/>
      <c r="BA286" s="417"/>
      <c r="BB286" s="13"/>
      <c r="BC286" s="705"/>
      <c r="BD286" s="705"/>
      <c r="BE286" s="10"/>
      <c r="BF286" s="10"/>
      <c r="BG286" s="13" t="s">
        <v>142</v>
      </c>
      <c r="BH286" s="884" t="str">
        <f t="shared" si="87"/>
        <v/>
      </c>
      <c r="BI286" s="884"/>
      <c r="BJ286" s="590"/>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row>
    <row r="287" spans="1:178" ht="12.75">
      <c r="A287" s="74"/>
      <c r="B287" s="288" t="str">
        <f t="shared" si="83"/>
        <v/>
      </c>
      <c r="C287" s="9"/>
      <c r="D287" s="288" t="str">
        <f t="shared" si="83"/>
        <v/>
      </c>
      <c r="E287" s="274"/>
      <c r="F287" s="883" t="str">
        <f t="shared" si="83"/>
        <v/>
      </c>
      <c r="G287" s="883"/>
      <c r="H287" s="883"/>
      <c r="I287" s="883"/>
      <c r="J287" s="883"/>
      <c r="K287" s="883"/>
      <c r="L287" s="883"/>
      <c r="M287" s="883"/>
      <c r="N287" s="883"/>
      <c r="O287" s="883"/>
      <c r="P287" s="883"/>
      <c r="Q287" s="883"/>
      <c r="R287" s="883"/>
      <c r="S287" s="883"/>
      <c r="T287" s="883"/>
      <c r="U287" s="883"/>
      <c r="V287" s="883"/>
      <c r="W287" s="883"/>
      <c r="X287" s="883"/>
      <c r="Y287" s="883"/>
      <c r="Z287" s="883"/>
      <c r="AA287" s="883"/>
      <c r="AB287" s="274"/>
      <c r="AC287" s="289"/>
      <c r="AD287" s="885" t="str">
        <f t="shared" si="84"/>
        <v/>
      </c>
      <c r="AE287" s="885"/>
      <c r="AF287" s="885"/>
      <c r="AG287" s="885"/>
      <c r="AH287" s="9"/>
      <c r="AI287" s="288" t="str">
        <f t="shared" si="80"/>
        <v/>
      </c>
      <c r="AJ287" s="13" t="str">
        <f t="shared" si="80"/>
        <v/>
      </c>
      <c r="AK287" s="288" t="str">
        <f t="shared" si="80"/>
        <v/>
      </c>
      <c r="AL287" s="13" t="str">
        <f t="shared" si="80"/>
        <v/>
      </c>
      <c r="AM287" s="705"/>
      <c r="AN287" s="705"/>
      <c r="AO287" s="289"/>
      <c r="AP287" s="273" t="str">
        <f t="shared" si="85"/>
        <v/>
      </c>
      <c r="AQ287" s="13" t="str">
        <f t="shared" si="85"/>
        <v/>
      </c>
      <c r="AR287" s="273" t="str">
        <f t="shared" si="85"/>
        <v/>
      </c>
      <c r="AS287" s="13" t="str">
        <f t="shared" si="85"/>
        <v/>
      </c>
      <c r="AT287" s="705"/>
      <c r="AU287" s="705"/>
      <c r="AV287" s="13"/>
      <c r="AW287" s="746" t="str">
        <f t="shared" si="86"/>
        <v/>
      </c>
      <c r="AX287" s="746"/>
      <c r="AY287" s="417"/>
      <c r="AZ287" s="13"/>
      <c r="BA287" s="417"/>
      <c r="BB287" s="13"/>
      <c r="BC287" s="705"/>
      <c r="BD287" s="705"/>
      <c r="BE287" s="10"/>
      <c r="BF287" s="10"/>
      <c r="BG287" s="13" t="s">
        <v>142</v>
      </c>
      <c r="BH287" s="884" t="str">
        <f t="shared" si="87"/>
        <v/>
      </c>
      <c r="BI287" s="884"/>
      <c r="BJ287" s="590"/>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row>
    <row r="288" spans="1:178" ht="12.75">
      <c r="A288" s="74"/>
      <c r="B288" s="288" t="str">
        <f t="shared" si="83"/>
        <v/>
      </c>
      <c r="C288" s="9"/>
      <c r="D288" s="288" t="str">
        <f t="shared" si="83"/>
        <v/>
      </c>
      <c r="E288" s="274"/>
      <c r="F288" s="883" t="str">
        <f t="shared" si="83"/>
        <v/>
      </c>
      <c r="G288" s="883"/>
      <c r="H288" s="883"/>
      <c r="I288" s="883"/>
      <c r="J288" s="883"/>
      <c r="K288" s="883"/>
      <c r="L288" s="883"/>
      <c r="M288" s="883"/>
      <c r="N288" s="883"/>
      <c r="O288" s="883"/>
      <c r="P288" s="883"/>
      <c r="Q288" s="883"/>
      <c r="R288" s="883"/>
      <c r="S288" s="883"/>
      <c r="T288" s="883"/>
      <c r="U288" s="883"/>
      <c r="V288" s="883"/>
      <c r="W288" s="883"/>
      <c r="X288" s="883"/>
      <c r="Y288" s="883"/>
      <c r="Z288" s="883"/>
      <c r="AA288" s="883"/>
      <c r="AB288" s="274"/>
      <c r="AC288" s="289"/>
      <c r="AD288" s="885" t="str">
        <f t="shared" si="84"/>
        <v/>
      </c>
      <c r="AE288" s="885"/>
      <c r="AF288" s="885"/>
      <c r="AG288" s="885"/>
      <c r="AH288" s="9"/>
      <c r="AI288" s="288" t="str">
        <f t="shared" si="80"/>
        <v/>
      </c>
      <c r="AJ288" s="13" t="str">
        <f t="shared" si="80"/>
        <v/>
      </c>
      <c r="AK288" s="288" t="str">
        <f t="shared" si="80"/>
        <v/>
      </c>
      <c r="AL288" s="13" t="str">
        <f t="shared" si="80"/>
        <v/>
      </c>
      <c r="AM288" s="705"/>
      <c r="AN288" s="705"/>
      <c r="AO288" s="289"/>
      <c r="AP288" s="273" t="str">
        <f t="shared" si="85"/>
        <v/>
      </c>
      <c r="AQ288" s="13" t="str">
        <f t="shared" si="85"/>
        <v/>
      </c>
      <c r="AR288" s="273" t="str">
        <f t="shared" si="85"/>
        <v/>
      </c>
      <c r="AS288" s="13" t="str">
        <f t="shared" si="85"/>
        <v/>
      </c>
      <c r="AT288" s="705"/>
      <c r="AU288" s="705"/>
      <c r="AV288" s="13"/>
      <c r="AW288" s="746" t="str">
        <f t="shared" si="86"/>
        <v/>
      </c>
      <c r="AX288" s="746"/>
      <c r="AY288" s="417"/>
      <c r="AZ288" s="13"/>
      <c r="BA288" s="417"/>
      <c r="BB288" s="13"/>
      <c r="BC288" s="705"/>
      <c r="BD288" s="705"/>
      <c r="BE288" s="10"/>
      <c r="BF288" s="10"/>
      <c r="BG288" s="13" t="s">
        <v>142</v>
      </c>
      <c r="BH288" s="884" t="str">
        <f t="shared" si="87"/>
        <v/>
      </c>
      <c r="BI288" s="884"/>
      <c r="BJ288" s="590"/>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c r="CK288" s="94"/>
      <c r="CL288" s="94"/>
      <c r="CM288" s="94"/>
      <c r="CN288" s="94"/>
      <c r="CO288" s="94"/>
      <c r="CP288" s="94"/>
      <c r="CQ288" s="94"/>
      <c r="CR288" s="94"/>
      <c r="CS288" s="94"/>
      <c r="CT288" s="94"/>
      <c r="CU288" s="94"/>
      <c r="CV288" s="94"/>
      <c r="CW288" s="94"/>
      <c r="CX288" s="94"/>
      <c r="CY288" s="94"/>
      <c r="CZ288" s="94"/>
    </row>
    <row r="289" spans="1:178" ht="12.75">
      <c r="A289" s="74"/>
      <c r="B289" s="288" t="str">
        <f t="shared" si="83"/>
        <v/>
      </c>
      <c r="C289" s="9"/>
      <c r="D289" s="288" t="str">
        <f t="shared" si="83"/>
        <v/>
      </c>
      <c r="E289" s="274"/>
      <c r="F289" s="883" t="str">
        <f t="shared" si="83"/>
        <v/>
      </c>
      <c r="G289" s="883"/>
      <c r="H289" s="883"/>
      <c r="I289" s="883"/>
      <c r="J289" s="883"/>
      <c r="K289" s="883"/>
      <c r="L289" s="883"/>
      <c r="M289" s="883"/>
      <c r="N289" s="883"/>
      <c r="O289" s="883"/>
      <c r="P289" s="883"/>
      <c r="Q289" s="883"/>
      <c r="R289" s="883"/>
      <c r="S289" s="883"/>
      <c r="T289" s="883"/>
      <c r="U289" s="883"/>
      <c r="V289" s="883"/>
      <c r="W289" s="883"/>
      <c r="X289" s="883"/>
      <c r="Y289" s="883"/>
      <c r="Z289" s="883"/>
      <c r="AA289" s="883"/>
      <c r="AB289" s="274"/>
      <c r="AC289" s="289"/>
      <c r="AD289" s="885" t="str">
        <f t="shared" si="84"/>
        <v/>
      </c>
      <c r="AE289" s="885"/>
      <c r="AF289" s="885"/>
      <c r="AG289" s="885"/>
      <c r="AH289" s="9"/>
      <c r="AI289" s="288" t="str">
        <f t="shared" si="80"/>
        <v/>
      </c>
      <c r="AJ289" s="13" t="str">
        <f t="shared" si="80"/>
        <v/>
      </c>
      <c r="AK289" s="288" t="str">
        <f t="shared" si="80"/>
        <v/>
      </c>
      <c r="AL289" s="13" t="str">
        <f t="shared" si="80"/>
        <v/>
      </c>
      <c r="AM289" s="705"/>
      <c r="AN289" s="705"/>
      <c r="AO289" s="289"/>
      <c r="AP289" s="273" t="str">
        <f t="shared" si="85"/>
        <v/>
      </c>
      <c r="AQ289" s="13" t="str">
        <f t="shared" si="85"/>
        <v/>
      </c>
      <c r="AR289" s="273" t="str">
        <f t="shared" si="85"/>
        <v/>
      </c>
      <c r="AS289" s="13" t="str">
        <f t="shared" si="85"/>
        <v/>
      </c>
      <c r="AT289" s="705"/>
      <c r="AU289" s="705"/>
      <c r="AV289" s="13"/>
      <c r="AW289" s="746" t="str">
        <f t="shared" si="86"/>
        <v/>
      </c>
      <c r="AX289" s="746"/>
      <c r="AY289" s="417"/>
      <c r="AZ289" s="13"/>
      <c r="BA289" s="417"/>
      <c r="BB289" s="13"/>
      <c r="BC289" s="705"/>
      <c r="BD289" s="705"/>
      <c r="BE289" s="10"/>
      <c r="BF289" s="10"/>
      <c r="BG289" s="13" t="s">
        <v>142</v>
      </c>
      <c r="BH289" s="884" t="str">
        <f t="shared" si="87"/>
        <v/>
      </c>
      <c r="BI289" s="884"/>
      <c r="BJ289" s="590"/>
      <c r="BO289" s="94"/>
      <c r="BP289" s="94"/>
      <c r="BQ289" s="94"/>
      <c r="BR289" s="94"/>
      <c r="BS289" s="94"/>
      <c r="BT289" s="94"/>
      <c r="BU289" s="94"/>
      <c r="BV289" s="94"/>
      <c r="BW289" s="94"/>
      <c r="BX289" s="94"/>
      <c r="BY289" s="94"/>
      <c r="BZ289" s="94"/>
      <c r="CA289" s="94"/>
      <c r="CB289" s="94"/>
      <c r="CC289" s="94"/>
      <c r="CD289" s="94"/>
      <c r="CE289" s="94"/>
      <c r="CF289" s="94"/>
      <c r="CG289" s="94"/>
      <c r="CH289" s="94"/>
      <c r="CI289" s="94"/>
      <c r="CJ289" s="94"/>
      <c r="CK289" s="94"/>
      <c r="CL289" s="94"/>
      <c r="CM289" s="94"/>
      <c r="CN289" s="94"/>
      <c r="CO289" s="94"/>
      <c r="CP289" s="94"/>
      <c r="CQ289" s="94"/>
      <c r="CR289" s="94"/>
      <c r="CS289" s="94"/>
      <c r="CT289" s="94"/>
      <c r="CU289" s="94"/>
      <c r="CV289" s="94"/>
      <c r="CW289" s="94"/>
      <c r="CX289" s="94"/>
      <c r="CY289" s="94"/>
      <c r="CZ289" s="94"/>
    </row>
    <row r="290" spans="1:178" ht="12.75">
      <c r="A290" s="74"/>
      <c r="B290" s="288" t="str">
        <f t="shared" si="83"/>
        <v/>
      </c>
      <c r="C290" s="9"/>
      <c r="D290" s="288" t="str">
        <f t="shared" si="83"/>
        <v/>
      </c>
      <c r="E290" s="274"/>
      <c r="F290" s="883" t="str">
        <f t="shared" si="83"/>
        <v/>
      </c>
      <c r="G290" s="883"/>
      <c r="H290" s="883"/>
      <c r="I290" s="883"/>
      <c r="J290" s="883"/>
      <c r="K290" s="883"/>
      <c r="L290" s="883"/>
      <c r="M290" s="883"/>
      <c r="N290" s="883"/>
      <c r="O290" s="883"/>
      <c r="P290" s="883"/>
      <c r="Q290" s="883"/>
      <c r="R290" s="883"/>
      <c r="S290" s="883"/>
      <c r="T290" s="883"/>
      <c r="U290" s="883"/>
      <c r="V290" s="883"/>
      <c r="W290" s="883"/>
      <c r="X290" s="883"/>
      <c r="Y290" s="883"/>
      <c r="Z290" s="883"/>
      <c r="AA290" s="883"/>
      <c r="AB290" s="274"/>
      <c r="AC290" s="289"/>
      <c r="AD290" s="885" t="str">
        <f t="shared" si="84"/>
        <v/>
      </c>
      <c r="AE290" s="885"/>
      <c r="AF290" s="885"/>
      <c r="AG290" s="885"/>
      <c r="AH290" s="9"/>
      <c r="AI290" s="288" t="str">
        <f t="shared" si="80"/>
        <v/>
      </c>
      <c r="AJ290" s="13" t="str">
        <f t="shared" si="80"/>
        <v/>
      </c>
      <c r="AK290" s="288" t="str">
        <f t="shared" si="80"/>
        <v/>
      </c>
      <c r="AL290" s="13" t="str">
        <f t="shared" si="80"/>
        <v/>
      </c>
      <c r="AM290" s="705"/>
      <c r="AN290" s="705"/>
      <c r="AO290" s="289"/>
      <c r="AP290" s="273" t="str">
        <f t="shared" si="85"/>
        <v/>
      </c>
      <c r="AQ290" s="13" t="str">
        <f t="shared" si="85"/>
        <v/>
      </c>
      <c r="AR290" s="273" t="str">
        <f t="shared" si="85"/>
        <v/>
      </c>
      <c r="AS290" s="13" t="str">
        <f t="shared" si="85"/>
        <v/>
      </c>
      <c r="AT290" s="705"/>
      <c r="AU290" s="705"/>
      <c r="AV290" s="13"/>
      <c r="AW290" s="746" t="str">
        <f t="shared" si="86"/>
        <v/>
      </c>
      <c r="AX290" s="746"/>
      <c r="AY290" s="417"/>
      <c r="AZ290" s="13"/>
      <c r="BA290" s="417"/>
      <c r="BB290" s="13"/>
      <c r="BC290" s="705"/>
      <c r="BD290" s="705"/>
      <c r="BE290" s="10"/>
      <c r="BF290" s="10"/>
      <c r="BG290" s="13" t="s">
        <v>142</v>
      </c>
      <c r="BH290" s="884" t="str">
        <f t="shared" si="87"/>
        <v/>
      </c>
      <c r="BI290" s="884"/>
      <c r="BJ290" s="590"/>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row>
    <row r="291" spans="1:178" ht="13.5" thickBot="1">
      <c r="A291" s="76"/>
      <c r="B291" s="651"/>
      <c r="C291" s="276"/>
      <c r="D291" s="651"/>
      <c r="E291" s="651"/>
      <c r="F291" s="652"/>
      <c r="G291" s="652"/>
      <c r="H291" s="652"/>
      <c r="I291" s="652"/>
      <c r="J291" s="652"/>
      <c r="K291" s="652"/>
      <c r="L291" s="652"/>
      <c r="M291" s="652"/>
      <c r="N291" s="652"/>
      <c r="O291" s="652"/>
      <c r="P291" s="652"/>
      <c r="Q291" s="653"/>
      <c r="R291" s="651"/>
      <c r="S291" s="651"/>
      <c r="T291" s="651"/>
      <c r="U291" s="651"/>
      <c r="V291" s="654"/>
      <c r="W291" s="651"/>
      <c r="X291" s="651"/>
      <c r="Y291" s="651"/>
      <c r="Z291" s="651"/>
      <c r="AA291" s="651"/>
      <c r="AB291" s="651"/>
      <c r="AC291" s="654"/>
      <c r="AD291" s="655"/>
      <c r="AE291" s="655"/>
      <c r="AF291" s="655"/>
      <c r="AG291" s="655"/>
      <c r="AH291" s="276"/>
      <c r="AI291" s="651"/>
      <c r="AJ291" s="656"/>
      <c r="AK291" s="651"/>
      <c r="AL291" s="656"/>
      <c r="AM291" s="656"/>
      <c r="AN291" s="656"/>
      <c r="AO291" s="654"/>
      <c r="AP291" s="657"/>
      <c r="AQ291" s="656"/>
      <c r="AR291" s="657"/>
      <c r="AS291" s="656"/>
      <c r="AT291" s="656"/>
      <c r="AU291" s="656"/>
      <c r="AV291" s="656"/>
      <c r="AW291" s="658"/>
      <c r="AX291" s="658"/>
      <c r="AY291" s="657"/>
      <c r="AZ291" s="656"/>
      <c r="BA291" s="657"/>
      <c r="BB291" s="656"/>
      <c r="BC291" s="656"/>
      <c r="BD291" s="656"/>
      <c r="BE291" s="658"/>
      <c r="BF291" s="658"/>
      <c r="BG291" s="656"/>
      <c r="BH291" s="659"/>
      <c r="BI291" s="659"/>
      <c r="BJ291" s="660"/>
      <c r="BO291" s="102"/>
      <c r="BP291" s="102"/>
      <c r="BQ291" s="102"/>
      <c r="BR291" s="102"/>
      <c r="BS291" s="102"/>
      <c r="BT291" s="102"/>
      <c r="BU291" s="102"/>
      <c r="BV291" s="102"/>
      <c r="BW291" s="102"/>
      <c r="BX291" s="102"/>
      <c r="BY291" s="94"/>
      <c r="BZ291" s="94"/>
      <c r="CA291" s="94"/>
      <c r="CB291" s="94"/>
      <c r="CC291" s="94"/>
      <c r="CD291" s="94"/>
      <c r="CE291" s="94"/>
      <c r="CF291" s="94"/>
      <c r="CG291" s="94"/>
      <c r="CH291" s="94"/>
      <c r="CI291" s="94"/>
      <c r="CJ291" s="94"/>
      <c r="CK291" s="94"/>
      <c r="CL291" s="94"/>
      <c r="CM291" s="94"/>
      <c r="CN291" s="94"/>
      <c r="CO291" s="94"/>
      <c r="CP291" s="94"/>
      <c r="CQ291" s="94"/>
      <c r="CR291" s="94"/>
      <c r="CS291" s="94"/>
      <c r="CT291" s="94"/>
      <c r="CU291" s="94"/>
      <c r="CV291" s="94"/>
      <c r="CW291" s="94"/>
      <c r="CX291" s="94"/>
      <c r="CY291" s="94"/>
      <c r="CZ291" s="94"/>
    </row>
    <row r="292" spans="1:178" ht="12.75">
      <c r="B292" s="274"/>
      <c r="C292" s="9"/>
      <c r="D292" s="274"/>
      <c r="E292" s="274"/>
      <c r="F292" s="415"/>
      <c r="G292" s="415"/>
      <c r="H292" s="415"/>
      <c r="I292" s="415"/>
      <c r="J292" s="415"/>
      <c r="K292" s="415"/>
      <c r="L292" s="415"/>
      <c r="M292" s="415"/>
      <c r="N292" s="415"/>
      <c r="O292" s="415"/>
      <c r="P292" s="415"/>
      <c r="Q292" s="284"/>
      <c r="R292" s="274"/>
      <c r="S292" s="274"/>
      <c r="T292" s="274"/>
      <c r="U292" s="274"/>
      <c r="V292" s="289"/>
      <c r="W292" s="274"/>
      <c r="X292" s="274"/>
      <c r="Y292" s="274"/>
      <c r="Z292" s="274"/>
      <c r="AA292" s="274"/>
      <c r="AB292" s="274"/>
      <c r="AC292" s="289"/>
      <c r="AD292" s="416"/>
      <c r="AE292" s="416"/>
      <c r="AF292" s="416"/>
      <c r="AG292" s="416"/>
      <c r="AH292" s="9"/>
      <c r="AI292" s="274"/>
      <c r="AJ292" s="13"/>
      <c r="AK292" s="274"/>
      <c r="AL292" s="13"/>
      <c r="AM292" s="705"/>
      <c r="AN292" s="705"/>
      <c r="AO292" s="289"/>
      <c r="AP292" s="417"/>
      <c r="AQ292" s="13"/>
      <c r="AR292" s="417"/>
      <c r="AS292" s="13"/>
      <c r="AT292" s="705"/>
      <c r="AU292" s="705"/>
      <c r="AV292" s="13"/>
      <c r="AW292" s="10"/>
      <c r="AX292" s="10"/>
      <c r="AY292" s="417"/>
      <c r="AZ292" s="13"/>
      <c r="BA292" s="417"/>
      <c r="BB292" s="13"/>
      <c r="BC292" s="705"/>
      <c r="BD292" s="705"/>
      <c r="BE292" s="10"/>
      <c r="BF292" s="10"/>
      <c r="BG292" s="13" t="s">
        <v>142</v>
      </c>
      <c r="BH292" s="884" t="str">
        <f t="shared" si="87"/>
        <v/>
      </c>
      <c r="BI292" s="884"/>
      <c r="BJ292" s="592"/>
      <c r="BO292" s="102"/>
      <c r="BP292" s="102"/>
      <c r="BQ292" s="102"/>
      <c r="BR292" s="102"/>
      <c r="BS292" s="102"/>
      <c r="BT292" s="102"/>
      <c r="BU292" s="102"/>
      <c r="BV292" s="102"/>
      <c r="BW292" s="102"/>
      <c r="BX292" s="102"/>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row>
    <row r="293" spans="1:178" ht="16.5" thickBot="1">
      <c r="A293" s="80" t="str">
        <f>A23</f>
        <v>MF2 - Air Source Heat Pumps</v>
      </c>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280"/>
      <c r="BH293" s="20"/>
      <c r="BO293" s="94"/>
      <c r="BP293" s="94"/>
      <c r="BQ293" s="94"/>
      <c r="BR293" s="94"/>
      <c r="BS293" s="94"/>
      <c r="BT293" s="94"/>
      <c r="BU293" s="94"/>
      <c r="BV293" s="94"/>
      <c r="BW293" s="94"/>
      <c r="BX293" s="94"/>
      <c r="BY293" s="94"/>
      <c r="BZ293" s="94"/>
      <c r="CA293" s="94"/>
      <c r="CB293" s="94"/>
      <c r="CC293" s="94"/>
      <c r="CD293" s="94"/>
      <c r="CE293" s="94"/>
      <c r="CF293" s="94"/>
      <c r="CG293" s="94"/>
      <c r="CH293" s="94"/>
      <c r="CI293" s="94"/>
      <c r="CJ293" s="94"/>
      <c r="CK293" s="94"/>
      <c r="CL293" s="94"/>
      <c r="CM293" s="94"/>
      <c r="CN293" s="94"/>
      <c r="CO293" s="94"/>
      <c r="CP293" s="94"/>
      <c r="CQ293" s="94"/>
      <c r="CR293" s="94"/>
      <c r="CS293" s="94"/>
      <c r="CT293" s="94"/>
      <c r="CU293" s="94"/>
      <c r="CV293" s="94"/>
      <c r="CW293" s="94"/>
      <c r="CX293" s="94"/>
      <c r="CY293" s="94"/>
      <c r="CZ293" s="94"/>
    </row>
    <row r="294" spans="1:178" s="22" customFormat="1" ht="12.75" customHeight="1">
      <c r="A294" s="588"/>
      <c r="B294" s="573"/>
      <c r="C294" s="573"/>
      <c r="D294" s="573"/>
      <c r="E294" s="573"/>
      <c r="F294" s="573"/>
      <c r="G294" s="573"/>
      <c r="H294" s="573"/>
      <c r="I294" s="573"/>
      <c r="J294" s="573"/>
      <c r="K294" s="573"/>
      <c r="L294" s="573"/>
      <c r="M294" s="573"/>
      <c r="N294" s="573"/>
      <c r="O294" s="573"/>
      <c r="P294" s="573"/>
      <c r="Q294" s="573"/>
      <c r="R294" s="573"/>
      <c r="S294" s="573"/>
      <c r="T294" s="573"/>
      <c r="U294" s="573"/>
      <c r="V294" s="573"/>
      <c r="W294" s="573"/>
      <c r="X294" s="573"/>
      <c r="Y294" s="573"/>
      <c r="Z294" s="573"/>
      <c r="AA294" s="573"/>
      <c r="AB294" s="573"/>
      <c r="AC294" s="573"/>
      <c r="AD294" s="573"/>
      <c r="AE294" s="573"/>
      <c r="AF294" s="573"/>
      <c r="AG294" s="573"/>
      <c r="AH294" s="573"/>
      <c r="AI294" s="573"/>
      <c r="AJ294" s="573"/>
      <c r="AK294" s="573"/>
      <c r="AL294" s="573"/>
      <c r="AM294" s="707"/>
      <c r="AN294" s="707"/>
      <c r="AO294" s="573"/>
      <c r="AP294" s="887" t="s">
        <v>2655</v>
      </c>
      <c r="AQ294" s="887"/>
      <c r="AR294" s="887"/>
      <c r="AS294" s="887"/>
      <c r="AT294" s="887"/>
      <c r="AU294" s="887"/>
      <c r="AV294" s="887"/>
      <c r="AW294" s="887"/>
      <c r="AX294" s="887"/>
      <c r="AY294" s="887"/>
      <c r="AZ294" s="887"/>
      <c r="BA294" s="887"/>
      <c r="BB294" s="887"/>
      <c r="BC294" s="887"/>
      <c r="BD294" s="887"/>
      <c r="BE294" s="887"/>
      <c r="BF294" s="887"/>
      <c r="BG294" s="589"/>
      <c r="BH294" s="888" t="str">
        <f>IF(BG24="","",BG24)</f>
        <v>Incentive
(tons x $75 or $125)</v>
      </c>
      <c r="BI294" s="888"/>
      <c r="BJ294" s="267"/>
      <c r="BK294" s="1"/>
      <c r="BL294" s="1"/>
      <c r="BM294" s="1"/>
      <c r="BN294" s="1"/>
      <c r="BO294" s="94"/>
      <c r="BP294" s="94"/>
      <c r="BQ294" s="94"/>
      <c r="BR294" s="94"/>
      <c r="BS294" s="94"/>
      <c r="BT294" s="94"/>
      <c r="BU294" s="94"/>
      <c r="BV294" s="94"/>
      <c r="BW294" s="94"/>
      <c r="BX294" s="94"/>
      <c r="BY294" s="102"/>
      <c r="BZ294" s="102"/>
      <c r="CA294" s="102"/>
      <c r="CB294" s="102"/>
      <c r="CC294" s="102"/>
      <c r="CD294" s="102"/>
      <c r="CE294" s="102"/>
      <c r="CF294" s="102"/>
      <c r="CG294" s="102"/>
      <c r="CH294" s="102"/>
      <c r="CI294" s="102"/>
      <c r="CJ294" s="102"/>
      <c r="CK294" s="102"/>
      <c r="CL294" s="102"/>
      <c r="CM294" s="102"/>
      <c r="CN294" s="102"/>
      <c r="CO294" s="102"/>
      <c r="CP294" s="102"/>
      <c r="CQ294" s="102"/>
      <c r="CR294" s="102"/>
      <c r="CS294" s="102"/>
      <c r="CT294" s="102"/>
      <c r="CU294" s="102"/>
      <c r="CV294" s="102"/>
      <c r="CW294" s="102"/>
      <c r="CX294" s="102"/>
      <c r="CY294" s="102"/>
      <c r="CZ294" s="102"/>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row>
    <row r="295" spans="1:178" s="22" customFormat="1" ht="12.75" customHeight="1">
      <c r="A295" s="69"/>
      <c r="B295" s="284"/>
      <c r="C295" s="70"/>
      <c r="D295" s="284"/>
      <c r="E295" s="284"/>
      <c r="F295" s="285"/>
      <c r="G295" s="285"/>
      <c r="H295" s="285"/>
      <c r="I295" s="285"/>
      <c r="J295" s="285"/>
      <c r="K295" s="285"/>
      <c r="L295" s="285"/>
      <c r="M295" s="285"/>
      <c r="N295" s="285"/>
      <c r="O295" s="285"/>
      <c r="P295" s="285"/>
      <c r="Q295" s="284"/>
      <c r="R295" s="632"/>
      <c r="S295" s="632"/>
      <c r="T295" s="632"/>
      <c r="U295" s="632"/>
      <c r="V295" s="289"/>
      <c r="W295" s="781" t="str">
        <f>IF(W25="","",W25)</f>
        <v>Split or Single</v>
      </c>
      <c r="X295" s="781"/>
      <c r="Y295" s="781"/>
      <c r="Z295" s="781"/>
      <c r="AA295" s="781"/>
      <c r="AB295" s="781"/>
      <c r="AC295" s="289"/>
      <c r="AD295" s="289"/>
      <c r="AE295" s="289"/>
      <c r="AF295" s="289"/>
      <c r="AG295" s="289"/>
      <c r="AH295" s="71"/>
      <c r="AI295" s="71" t="str">
        <f t="shared" ref="AI295:AL306" si="88">IF(AI25="","",AI25)</f>
        <v>SEER</v>
      </c>
      <c r="AJ295" s="289"/>
      <c r="AK295" s="72" t="str">
        <f t="shared" ref="AK295:AM296" si="89">IF(AK25="","",AK25)</f>
        <v>EER</v>
      </c>
      <c r="AL295" s="289"/>
      <c r="AM295" s="72" t="str">
        <f t="shared" si="89"/>
        <v>HSPF</v>
      </c>
      <c r="AN295" s="289"/>
      <c r="AO295" s="289"/>
      <c r="AP295" s="880" t="str">
        <f>IF(AP25="","",AP25)</f>
        <v>Tier 1</v>
      </c>
      <c r="AQ295" s="880" t="str">
        <f t="shared" ref="AQ295:AX295" si="90">IF(AQ25="","",AQ25)</f>
        <v/>
      </c>
      <c r="AR295" s="880" t="str">
        <f t="shared" si="90"/>
        <v/>
      </c>
      <c r="AS295" s="880" t="str">
        <f t="shared" si="90"/>
        <v/>
      </c>
      <c r="AT295" s="880"/>
      <c r="AU295" s="880"/>
      <c r="AV295" s="880" t="str">
        <f t="shared" si="90"/>
        <v/>
      </c>
      <c r="AW295" s="880" t="str">
        <f t="shared" si="90"/>
        <v/>
      </c>
      <c r="AX295" s="880" t="str">
        <f t="shared" si="90"/>
        <v/>
      </c>
      <c r="AY295" s="880" t="str">
        <f>IF(AY25="","",AY25)</f>
        <v>Tier 2</v>
      </c>
      <c r="AZ295" s="880" t="str">
        <f t="shared" ref="AZ295:BG295" si="91">IF(AZ25="","",AZ25)</f>
        <v/>
      </c>
      <c r="BA295" s="880" t="str">
        <f t="shared" si="91"/>
        <v/>
      </c>
      <c r="BB295" s="880" t="str">
        <f t="shared" si="91"/>
        <v/>
      </c>
      <c r="BC295" s="880"/>
      <c r="BD295" s="880"/>
      <c r="BE295" s="880" t="str">
        <f t="shared" si="91"/>
        <v/>
      </c>
      <c r="BF295" s="880" t="str">
        <f t="shared" si="91"/>
        <v/>
      </c>
      <c r="BG295" s="880" t="str">
        <f t="shared" si="91"/>
        <v/>
      </c>
      <c r="BH295" s="736"/>
      <c r="BI295" s="736"/>
      <c r="BJ295" s="73"/>
      <c r="BK295" s="1"/>
      <c r="BL295" s="1"/>
      <c r="BM295" s="1"/>
      <c r="BN295" s="1"/>
      <c r="BO295" s="94"/>
      <c r="BP295" s="94"/>
      <c r="BQ295" s="94"/>
      <c r="BR295" s="94"/>
      <c r="BS295" s="94"/>
      <c r="BT295" s="94"/>
      <c r="BU295" s="94"/>
      <c r="BV295" s="94"/>
      <c r="BW295" s="94"/>
      <c r="BX295" s="94"/>
      <c r="BY295" s="102"/>
      <c r="BZ295" s="102"/>
      <c r="CA295" s="102"/>
      <c r="CB295" s="102"/>
      <c r="CC295" s="102"/>
      <c r="CD295" s="102"/>
      <c r="CE295" s="102"/>
      <c r="CF295" s="102"/>
      <c r="CG295" s="102"/>
      <c r="CH295" s="102"/>
      <c r="CI295" s="102"/>
      <c r="CJ295" s="102"/>
      <c r="CK295" s="102"/>
      <c r="CL295" s="102"/>
      <c r="CM295" s="102"/>
      <c r="CN295" s="102"/>
      <c r="CO295" s="102"/>
      <c r="CP295" s="102"/>
      <c r="CQ295" s="102"/>
      <c r="CR295" s="102"/>
      <c r="CS295" s="102"/>
      <c r="CT295" s="102"/>
      <c r="CU295" s="102"/>
      <c r="CV295" s="102"/>
      <c r="CW295" s="102"/>
      <c r="CX295" s="102"/>
      <c r="CY295" s="102"/>
      <c r="CZ295" s="102"/>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row>
    <row r="296" spans="1:178" s="22" customFormat="1" ht="27.6" customHeight="1">
      <c r="A296" s="69"/>
      <c r="B296" s="246" t="str">
        <f t="shared" ref="B296:F306" si="92">IF(B26="","",B26)</f>
        <v>Qty</v>
      </c>
      <c r="C296" s="412"/>
      <c r="D296" s="246" t="str">
        <f t="shared" si="92"/>
        <v>Tons</v>
      </c>
      <c r="E296" s="246"/>
      <c r="F296" s="246" t="str">
        <f t="shared" si="92"/>
        <v>Description of Location</v>
      </c>
      <c r="G296" s="246"/>
      <c r="H296" s="246"/>
      <c r="I296" s="246"/>
      <c r="J296" s="246"/>
      <c r="K296" s="285"/>
      <c r="L296" s="285"/>
      <c r="M296" s="285"/>
      <c r="N296" s="285"/>
      <c r="O296" s="285"/>
      <c r="P296" s="285"/>
      <c r="Q296" s="284"/>
      <c r="R296" s="632"/>
      <c r="S296" s="632"/>
      <c r="T296" s="632"/>
      <c r="U296" s="632"/>
      <c r="V296" s="289"/>
      <c r="W296" s="781"/>
      <c r="X296" s="781"/>
      <c r="Y296" s="781"/>
      <c r="Z296" s="781"/>
      <c r="AA296" s="781"/>
      <c r="AB296" s="781"/>
      <c r="AC296" s="289"/>
      <c r="AD296" s="246" t="str">
        <f>IF(AD26="","",AD26)</f>
        <v>Model / Designation</v>
      </c>
      <c r="AE296" s="281"/>
      <c r="AF296" s="246"/>
      <c r="AG296" s="246"/>
      <c r="AH296" s="413"/>
      <c r="AI296" s="246" t="str">
        <f t="shared" si="88"/>
        <v>Actual Eff.</v>
      </c>
      <c r="AJ296" s="281"/>
      <c r="AK296" s="246" t="str">
        <f t="shared" si="89"/>
        <v>Actual Eff.</v>
      </c>
      <c r="AL296" s="281"/>
      <c r="AM296" s="246" t="str">
        <f t="shared" si="89"/>
        <v>Actual Eff.</v>
      </c>
      <c r="AN296" s="703"/>
      <c r="AO296" s="281"/>
      <c r="AP296" s="879" t="str">
        <f>IF(AP26="","",AP26)</f>
        <v>Air Source HP ($75/ton)</v>
      </c>
      <c r="AQ296" s="863"/>
      <c r="AR296" s="863"/>
      <c r="AS296" s="863"/>
      <c r="AT296" s="863"/>
      <c r="AU296" s="863"/>
      <c r="AV296" s="863"/>
      <c r="AW296" s="863"/>
      <c r="AX296" s="246"/>
      <c r="AY296" s="879" t="str">
        <f>IF(AY26="","",AY26)</f>
        <v>Air Source HP ($125/ ton)</v>
      </c>
      <c r="AZ296" s="863"/>
      <c r="BA296" s="863"/>
      <c r="BB296" s="863"/>
      <c r="BC296" s="863"/>
      <c r="BD296" s="863"/>
      <c r="BE296" s="863"/>
      <c r="BF296" s="863"/>
      <c r="BG296" s="246"/>
      <c r="BH296" s="736"/>
      <c r="BI296" s="736"/>
      <c r="BJ296" s="73"/>
      <c r="BK296" s="1"/>
      <c r="BL296" s="1"/>
      <c r="BM296" s="1"/>
      <c r="BN296" s="1"/>
      <c r="BO296" s="94"/>
      <c r="BP296" s="94"/>
      <c r="BQ296" s="94"/>
      <c r="BR296" s="94"/>
      <c r="BS296" s="94"/>
      <c r="BT296" s="94"/>
      <c r="BU296" s="94"/>
      <c r="BV296" s="94"/>
      <c r="BW296" s="94"/>
      <c r="BX296" s="94"/>
      <c r="BY296" s="102"/>
      <c r="BZ296" s="102"/>
      <c r="CA296" s="102"/>
      <c r="CB296" s="102"/>
      <c r="CC296" s="102"/>
      <c r="CD296" s="102"/>
      <c r="CE296" s="102"/>
      <c r="CF296" s="102"/>
      <c r="CG296" s="102"/>
      <c r="CH296" s="102"/>
      <c r="CI296" s="102"/>
      <c r="CJ296" s="102"/>
      <c r="CK296" s="102"/>
      <c r="CL296" s="102"/>
      <c r="CM296" s="102"/>
      <c r="CN296" s="102"/>
      <c r="CO296" s="102"/>
      <c r="CP296" s="102"/>
      <c r="CQ296" s="102"/>
      <c r="CR296" s="102"/>
      <c r="CS296" s="102"/>
      <c r="CT296" s="102"/>
      <c r="CU296" s="102"/>
      <c r="CV296" s="102"/>
      <c r="CW296" s="102"/>
      <c r="CX296" s="102"/>
      <c r="CY296" s="102"/>
      <c r="CZ296" s="102"/>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row>
    <row r="297" spans="1:178" ht="12.75" customHeight="1">
      <c r="A297" s="74"/>
      <c r="B297" s="287" t="str">
        <f t="shared" si="92"/>
        <v/>
      </c>
      <c r="C297" s="9"/>
      <c r="D297" s="287" t="str">
        <f t="shared" si="92"/>
        <v/>
      </c>
      <c r="E297" s="274"/>
      <c r="F297" s="883" t="str">
        <f t="shared" si="92"/>
        <v/>
      </c>
      <c r="G297" s="883"/>
      <c r="H297" s="883"/>
      <c r="I297" s="883"/>
      <c r="J297" s="883"/>
      <c r="K297" s="883"/>
      <c r="L297" s="883"/>
      <c r="M297" s="883"/>
      <c r="N297" s="883"/>
      <c r="O297" s="883"/>
      <c r="P297" s="883"/>
      <c r="Q297" s="883"/>
      <c r="R297" s="883"/>
      <c r="S297" s="883"/>
      <c r="T297" s="883"/>
      <c r="U297" s="883"/>
      <c r="V297" s="289"/>
      <c r="W297" s="915" t="str">
        <f t="shared" ref="W297:W306" si="93">IF(W27="","",W27)</f>
        <v/>
      </c>
      <c r="X297" s="915"/>
      <c r="Y297" s="915"/>
      <c r="Z297" s="915"/>
      <c r="AA297" s="915"/>
      <c r="AB297" s="915"/>
      <c r="AC297" s="289"/>
      <c r="AD297" s="886" t="str">
        <f t="shared" si="84"/>
        <v/>
      </c>
      <c r="AE297" s="886"/>
      <c r="AF297" s="886"/>
      <c r="AG297" s="886"/>
      <c r="AH297" s="9"/>
      <c r="AI297" s="287" t="str">
        <f t="shared" si="88"/>
        <v/>
      </c>
      <c r="AJ297" s="13" t="str">
        <f t="shared" si="88"/>
        <v/>
      </c>
      <c r="AK297" s="287" t="str">
        <f t="shared" si="88"/>
        <v/>
      </c>
      <c r="AL297" s="13" t="str">
        <f t="shared" si="88"/>
        <v/>
      </c>
      <c r="AM297" s="711" t="str">
        <f t="shared" ref="AM297:AN297" si="94">IF(AM27="","",AM27)</f>
        <v/>
      </c>
      <c r="AN297" s="705" t="str">
        <f t="shared" si="94"/>
        <v/>
      </c>
      <c r="AO297" s="289"/>
      <c r="AP297" s="75" t="str">
        <f t="shared" ref="AP297:AS306" si="95">IF(AP27="","",AP27)</f>
        <v/>
      </c>
      <c r="AQ297" s="13" t="str">
        <f t="shared" si="95"/>
        <v/>
      </c>
      <c r="AR297" s="75" t="str">
        <f t="shared" si="95"/>
        <v/>
      </c>
      <c r="AS297" s="13" t="str">
        <f t="shared" si="95"/>
        <v/>
      </c>
      <c r="AT297" s="75" t="str">
        <f t="shared" ref="AT297:AU297" si="96">IF(AT27="","",AT27)</f>
        <v/>
      </c>
      <c r="AU297" s="705" t="str">
        <f t="shared" si="96"/>
        <v/>
      </c>
      <c r="AV297" s="13"/>
      <c r="AW297" s="746" t="str">
        <f t="shared" si="86"/>
        <v/>
      </c>
      <c r="AX297" s="746"/>
      <c r="AY297" s="75" t="str">
        <f t="shared" ref="AY297:BE306" si="97">IF(AY27="","",AY27)</f>
        <v/>
      </c>
      <c r="AZ297" s="13" t="str">
        <f t="shared" si="97"/>
        <v/>
      </c>
      <c r="BA297" s="75" t="str">
        <f t="shared" si="97"/>
        <v/>
      </c>
      <c r="BB297" s="13" t="str">
        <f t="shared" si="97"/>
        <v/>
      </c>
      <c r="BC297" s="75" t="str">
        <f t="shared" ref="BC297:BD297" si="98">IF(BC27="","",BC27)</f>
        <v/>
      </c>
      <c r="BD297" s="705" t="str">
        <f t="shared" si="98"/>
        <v/>
      </c>
      <c r="BE297" s="746" t="str">
        <f t="shared" si="97"/>
        <v/>
      </c>
      <c r="BF297" s="746"/>
      <c r="BG297" s="13" t="s">
        <v>142</v>
      </c>
      <c r="BH297" s="884" t="str">
        <f t="shared" si="87"/>
        <v/>
      </c>
      <c r="BI297" s="884"/>
      <c r="BJ297" s="590"/>
      <c r="BM297" s="296">
        <f>COUNTIF(AW296:AW306,"Qualified")+COUNTIF(BE296:BE306,"Qualified")</f>
        <v>0</v>
      </c>
      <c r="BO297" s="94"/>
      <c r="BP297" s="94"/>
      <c r="BQ297" s="94"/>
      <c r="BR297" s="94"/>
      <c r="BS297" s="94"/>
      <c r="BT297" s="94"/>
      <c r="BU297" s="94"/>
      <c r="BV297" s="94"/>
      <c r="BW297" s="94"/>
      <c r="BX297" s="94"/>
      <c r="BY297" s="94"/>
      <c r="BZ297" s="94"/>
      <c r="CA297" s="94"/>
      <c r="CB297" s="94"/>
      <c r="CC297" s="94"/>
      <c r="CD297" s="94"/>
      <c r="CE297" s="94"/>
      <c r="CF297" s="94"/>
      <c r="CG297" s="94"/>
      <c r="CH297" s="94"/>
      <c r="CI297" s="94"/>
      <c r="CJ297" s="94"/>
      <c r="CK297" s="94"/>
      <c r="CL297" s="94"/>
      <c r="CM297" s="94"/>
      <c r="CN297" s="94"/>
      <c r="CO297" s="94"/>
      <c r="CP297" s="94"/>
      <c r="CQ297" s="94"/>
      <c r="CR297" s="94"/>
      <c r="CS297" s="94"/>
      <c r="CT297" s="94"/>
      <c r="CU297" s="94"/>
      <c r="CV297" s="94"/>
      <c r="CW297" s="94"/>
      <c r="CX297" s="94"/>
      <c r="CY297" s="94"/>
      <c r="CZ297" s="94"/>
    </row>
    <row r="298" spans="1:178" ht="12.75" customHeight="1">
      <c r="A298" s="74"/>
      <c r="B298" s="288" t="str">
        <f t="shared" si="92"/>
        <v/>
      </c>
      <c r="C298" s="9"/>
      <c r="D298" s="288" t="str">
        <f t="shared" si="92"/>
        <v/>
      </c>
      <c r="E298" s="274"/>
      <c r="F298" s="883" t="str">
        <f t="shared" si="92"/>
        <v/>
      </c>
      <c r="G298" s="883"/>
      <c r="H298" s="883"/>
      <c r="I298" s="883"/>
      <c r="J298" s="883"/>
      <c r="K298" s="883"/>
      <c r="L298" s="883"/>
      <c r="M298" s="883"/>
      <c r="N298" s="883"/>
      <c r="O298" s="883"/>
      <c r="P298" s="883"/>
      <c r="Q298" s="883"/>
      <c r="R298" s="883"/>
      <c r="S298" s="883"/>
      <c r="T298" s="883"/>
      <c r="U298" s="883"/>
      <c r="V298" s="289"/>
      <c r="W298" s="889" t="str">
        <f t="shared" si="93"/>
        <v/>
      </c>
      <c r="X298" s="889"/>
      <c r="Y298" s="889"/>
      <c r="Z298" s="889"/>
      <c r="AA298" s="889"/>
      <c r="AB298" s="889"/>
      <c r="AC298" s="289"/>
      <c r="AD298" s="885" t="str">
        <f t="shared" si="84"/>
        <v/>
      </c>
      <c r="AE298" s="885"/>
      <c r="AF298" s="885"/>
      <c r="AG298" s="885"/>
      <c r="AH298" s="9"/>
      <c r="AI298" s="288" t="str">
        <f t="shared" si="88"/>
        <v/>
      </c>
      <c r="AJ298" s="13" t="str">
        <f t="shared" si="88"/>
        <v/>
      </c>
      <c r="AK298" s="288" t="str">
        <f t="shared" si="88"/>
        <v/>
      </c>
      <c r="AL298" s="13" t="str">
        <f t="shared" si="88"/>
        <v/>
      </c>
      <c r="AM298" s="708" t="str">
        <f t="shared" ref="AM298:AN298" si="99">IF(AM28="","",AM28)</f>
        <v/>
      </c>
      <c r="AN298" s="705" t="str">
        <f t="shared" si="99"/>
        <v/>
      </c>
      <c r="AO298" s="289"/>
      <c r="AP298" s="273" t="str">
        <f t="shared" si="95"/>
        <v/>
      </c>
      <c r="AQ298" s="13" t="str">
        <f t="shared" si="95"/>
        <v/>
      </c>
      <c r="AR298" s="273" t="str">
        <f t="shared" si="95"/>
        <v/>
      </c>
      <c r="AS298" s="13" t="str">
        <f t="shared" si="95"/>
        <v/>
      </c>
      <c r="AT298" s="273" t="str">
        <f t="shared" ref="AT298:AU298" si="100">IF(AT28="","",AT28)</f>
        <v/>
      </c>
      <c r="AU298" s="705" t="str">
        <f t="shared" si="100"/>
        <v/>
      </c>
      <c r="AV298" s="13"/>
      <c r="AW298" s="746" t="str">
        <f t="shared" si="86"/>
        <v/>
      </c>
      <c r="AX298" s="746"/>
      <c r="AY298" s="75" t="str">
        <f t="shared" si="97"/>
        <v/>
      </c>
      <c r="AZ298" s="13" t="str">
        <f t="shared" si="97"/>
        <v/>
      </c>
      <c r="BA298" s="75" t="str">
        <f t="shared" si="97"/>
        <v/>
      </c>
      <c r="BB298" s="13" t="str">
        <f t="shared" si="97"/>
        <v/>
      </c>
      <c r="BC298" s="75" t="str">
        <f t="shared" ref="BC298:BD298" si="101">IF(BC28="","",BC28)</f>
        <v/>
      </c>
      <c r="BD298" s="705" t="str">
        <f t="shared" si="101"/>
        <v/>
      </c>
      <c r="BE298" s="746" t="str">
        <f t="shared" si="97"/>
        <v/>
      </c>
      <c r="BF298" s="746"/>
      <c r="BG298" s="13" t="s">
        <v>142</v>
      </c>
      <c r="BH298" s="884" t="str">
        <f t="shared" si="87"/>
        <v/>
      </c>
      <c r="BI298" s="884"/>
      <c r="BJ298" s="590"/>
      <c r="BO298" s="94"/>
      <c r="BP298" s="94"/>
      <c r="BQ298" s="94"/>
      <c r="BR298" s="94"/>
      <c r="BS298" s="94"/>
      <c r="BT298" s="94"/>
      <c r="BU298" s="94"/>
      <c r="BV298" s="94"/>
      <c r="BW298" s="94"/>
      <c r="BX298" s="94"/>
      <c r="BY298" s="94"/>
      <c r="BZ298" s="94"/>
      <c r="CA298" s="94"/>
      <c r="CB298" s="94"/>
      <c r="CC298" s="94"/>
      <c r="CD298" s="94"/>
      <c r="CE298" s="94"/>
      <c r="CF298" s="94"/>
      <c r="CG298" s="94"/>
      <c r="CH298" s="94"/>
      <c r="CI298" s="94"/>
      <c r="CJ298" s="94"/>
      <c r="CK298" s="94"/>
      <c r="CL298" s="94"/>
      <c r="CM298" s="94"/>
      <c r="CN298" s="94"/>
      <c r="CO298" s="94"/>
      <c r="CP298" s="94"/>
      <c r="CQ298" s="94"/>
      <c r="CR298" s="94"/>
      <c r="CS298" s="94"/>
      <c r="CT298" s="94"/>
      <c r="CU298" s="94"/>
      <c r="CV298" s="94"/>
      <c r="CW298" s="94"/>
      <c r="CX298" s="94"/>
      <c r="CY298" s="94"/>
      <c r="CZ298" s="94"/>
    </row>
    <row r="299" spans="1:178" ht="12.75">
      <c r="A299" s="74"/>
      <c r="B299" s="288" t="str">
        <f t="shared" si="92"/>
        <v/>
      </c>
      <c r="C299" s="9"/>
      <c r="D299" s="288" t="str">
        <f t="shared" si="92"/>
        <v/>
      </c>
      <c r="E299" s="274"/>
      <c r="F299" s="883" t="str">
        <f t="shared" si="92"/>
        <v/>
      </c>
      <c r="G299" s="883"/>
      <c r="H299" s="883"/>
      <c r="I299" s="883"/>
      <c r="J299" s="883"/>
      <c r="K299" s="883"/>
      <c r="L299" s="883"/>
      <c r="M299" s="883"/>
      <c r="N299" s="883"/>
      <c r="O299" s="883"/>
      <c r="P299" s="883"/>
      <c r="Q299" s="883"/>
      <c r="R299" s="883"/>
      <c r="S299" s="883"/>
      <c r="T299" s="883"/>
      <c r="U299" s="883"/>
      <c r="V299" s="289"/>
      <c r="W299" s="889" t="str">
        <f t="shared" si="93"/>
        <v/>
      </c>
      <c r="X299" s="889"/>
      <c r="Y299" s="889"/>
      <c r="Z299" s="889"/>
      <c r="AA299" s="889"/>
      <c r="AB299" s="889"/>
      <c r="AC299" s="289"/>
      <c r="AD299" s="885" t="str">
        <f t="shared" si="84"/>
        <v/>
      </c>
      <c r="AE299" s="885"/>
      <c r="AF299" s="885"/>
      <c r="AG299" s="885"/>
      <c r="AH299" s="9"/>
      <c r="AI299" s="288" t="str">
        <f t="shared" si="88"/>
        <v/>
      </c>
      <c r="AJ299" s="13" t="str">
        <f t="shared" si="88"/>
        <v/>
      </c>
      <c r="AK299" s="288" t="str">
        <f t="shared" si="88"/>
        <v/>
      </c>
      <c r="AL299" s="13" t="str">
        <f t="shared" si="88"/>
        <v/>
      </c>
      <c r="AM299" s="708" t="str">
        <f t="shared" ref="AM299:AN299" si="102">IF(AM29="","",AM29)</f>
        <v/>
      </c>
      <c r="AN299" s="705" t="str">
        <f t="shared" si="102"/>
        <v/>
      </c>
      <c r="AO299" s="289"/>
      <c r="AP299" s="273" t="str">
        <f t="shared" si="95"/>
        <v/>
      </c>
      <c r="AQ299" s="13" t="str">
        <f t="shared" si="95"/>
        <v/>
      </c>
      <c r="AR299" s="273" t="str">
        <f t="shared" si="95"/>
        <v/>
      </c>
      <c r="AS299" s="13" t="str">
        <f t="shared" si="95"/>
        <v/>
      </c>
      <c r="AT299" s="273" t="str">
        <f t="shared" ref="AT299:AU299" si="103">IF(AT29="","",AT29)</f>
        <v/>
      </c>
      <c r="AU299" s="705" t="str">
        <f t="shared" si="103"/>
        <v/>
      </c>
      <c r="AV299" s="13"/>
      <c r="AW299" s="746" t="str">
        <f t="shared" si="86"/>
        <v/>
      </c>
      <c r="AX299" s="746"/>
      <c r="AY299" s="75" t="str">
        <f t="shared" si="97"/>
        <v/>
      </c>
      <c r="AZ299" s="13" t="str">
        <f t="shared" si="97"/>
        <v/>
      </c>
      <c r="BA299" s="75" t="str">
        <f t="shared" si="97"/>
        <v/>
      </c>
      <c r="BB299" s="13" t="str">
        <f t="shared" si="97"/>
        <v/>
      </c>
      <c r="BC299" s="75" t="str">
        <f t="shared" ref="BC299:BD299" si="104">IF(BC29="","",BC29)</f>
        <v/>
      </c>
      <c r="BD299" s="705" t="str">
        <f t="shared" si="104"/>
        <v/>
      </c>
      <c r="BE299" s="746" t="str">
        <f t="shared" si="97"/>
        <v/>
      </c>
      <c r="BF299" s="746"/>
      <c r="BG299" s="13" t="s">
        <v>142</v>
      </c>
      <c r="BH299" s="884" t="str">
        <f t="shared" si="87"/>
        <v/>
      </c>
      <c r="BI299" s="884"/>
      <c r="BJ299" s="590"/>
      <c r="BO299" s="94"/>
      <c r="BP299" s="94"/>
      <c r="BQ299" s="94"/>
      <c r="BR299" s="94"/>
      <c r="BS299" s="94"/>
      <c r="BT299" s="94"/>
      <c r="BU299" s="94"/>
      <c r="BV299" s="94"/>
      <c r="BW299" s="94"/>
      <c r="BX299" s="94"/>
      <c r="BY299" s="94"/>
      <c r="BZ299" s="94"/>
      <c r="CA299" s="94"/>
      <c r="CB299" s="94"/>
      <c r="CC299" s="94"/>
      <c r="CD299" s="94"/>
      <c r="CE299" s="94"/>
      <c r="CF299" s="94"/>
      <c r="CG299" s="94"/>
      <c r="CH299" s="94"/>
      <c r="CI299" s="94"/>
      <c r="CJ299" s="94"/>
      <c r="CK299" s="94"/>
      <c r="CL299" s="94"/>
      <c r="CM299" s="94"/>
      <c r="CN299" s="94"/>
      <c r="CO299" s="94"/>
      <c r="CP299" s="94"/>
      <c r="CQ299" s="94"/>
      <c r="CR299" s="94"/>
      <c r="CS299" s="94"/>
      <c r="CT299" s="94"/>
      <c r="CU299" s="94"/>
      <c r="CV299" s="94"/>
      <c r="CW299" s="94"/>
      <c r="CX299" s="94"/>
      <c r="CY299" s="94"/>
      <c r="CZ299" s="94"/>
    </row>
    <row r="300" spans="1:178" ht="12.75">
      <c r="A300" s="74"/>
      <c r="B300" s="288" t="str">
        <f t="shared" si="92"/>
        <v/>
      </c>
      <c r="C300" s="9"/>
      <c r="D300" s="288" t="str">
        <f t="shared" si="92"/>
        <v/>
      </c>
      <c r="E300" s="274"/>
      <c r="F300" s="883" t="str">
        <f t="shared" si="92"/>
        <v/>
      </c>
      <c r="G300" s="883"/>
      <c r="H300" s="883"/>
      <c r="I300" s="883"/>
      <c r="J300" s="883"/>
      <c r="K300" s="883"/>
      <c r="L300" s="883"/>
      <c r="M300" s="883"/>
      <c r="N300" s="883"/>
      <c r="O300" s="883"/>
      <c r="P300" s="883"/>
      <c r="Q300" s="883"/>
      <c r="R300" s="883"/>
      <c r="S300" s="883"/>
      <c r="T300" s="883"/>
      <c r="U300" s="883"/>
      <c r="V300" s="289"/>
      <c r="W300" s="889" t="str">
        <f t="shared" si="93"/>
        <v/>
      </c>
      <c r="X300" s="889"/>
      <c r="Y300" s="889"/>
      <c r="Z300" s="889"/>
      <c r="AA300" s="889"/>
      <c r="AB300" s="889"/>
      <c r="AC300" s="289"/>
      <c r="AD300" s="885" t="str">
        <f t="shared" si="84"/>
        <v/>
      </c>
      <c r="AE300" s="885"/>
      <c r="AF300" s="885"/>
      <c r="AG300" s="885"/>
      <c r="AH300" s="9"/>
      <c r="AI300" s="288" t="str">
        <f t="shared" si="88"/>
        <v/>
      </c>
      <c r="AJ300" s="13" t="str">
        <f t="shared" si="88"/>
        <v/>
      </c>
      <c r="AK300" s="288" t="str">
        <f t="shared" si="88"/>
        <v/>
      </c>
      <c r="AL300" s="13" t="str">
        <f t="shared" si="88"/>
        <v/>
      </c>
      <c r="AM300" s="708" t="str">
        <f t="shared" ref="AM300:AN300" si="105">IF(AM30="","",AM30)</f>
        <v/>
      </c>
      <c r="AN300" s="705" t="str">
        <f t="shared" si="105"/>
        <v/>
      </c>
      <c r="AO300" s="289"/>
      <c r="AP300" s="273" t="str">
        <f t="shared" si="95"/>
        <v/>
      </c>
      <c r="AQ300" s="13" t="str">
        <f t="shared" si="95"/>
        <v/>
      </c>
      <c r="AR300" s="273" t="str">
        <f t="shared" si="95"/>
        <v/>
      </c>
      <c r="AS300" s="13" t="str">
        <f t="shared" si="95"/>
        <v/>
      </c>
      <c r="AT300" s="273" t="str">
        <f t="shared" ref="AT300:AU300" si="106">IF(AT30="","",AT30)</f>
        <v/>
      </c>
      <c r="AU300" s="705" t="str">
        <f t="shared" si="106"/>
        <v/>
      </c>
      <c r="AV300" s="13"/>
      <c r="AW300" s="746" t="str">
        <f t="shared" si="86"/>
        <v/>
      </c>
      <c r="AX300" s="746"/>
      <c r="AY300" s="75" t="str">
        <f t="shared" si="97"/>
        <v/>
      </c>
      <c r="AZ300" s="13" t="str">
        <f t="shared" si="97"/>
        <v/>
      </c>
      <c r="BA300" s="75" t="str">
        <f t="shared" si="97"/>
        <v/>
      </c>
      <c r="BB300" s="13" t="str">
        <f t="shared" si="97"/>
        <v/>
      </c>
      <c r="BC300" s="75" t="str">
        <f t="shared" ref="BC300:BD300" si="107">IF(BC30="","",BC30)</f>
        <v/>
      </c>
      <c r="BD300" s="705" t="str">
        <f t="shared" si="107"/>
        <v/>
      </c>
      <c r="BE300" s="746" t="str">
        <f t="shared" si="97"/>
        <v/>
      </c>
      <c r="BF300" s="746"/>
      <c r="BG300" s="13" t="s">
        <v>142</v>
      </c>
      <c r="BH300" s="884" t="str">
        <f t="shared" si="87"/>
        <v/>
      </c>
      <c r="BI300" s="884"/>
      <c r="BJ300" s="590"/>
      <c r="BO300" s="94"/>
      <c r="BP300" s="94"/>
      <c r="BQ300" s="94"/>
      <c r="BR300" s="94"/>
      <c r="BS300" s="94"/>
      <c r="BT300" s="94"/>
      <c r="BU300" s="94"/>
      <c r="BV300" s="94"/>
      <c r="BW300" s="94"/>
      <c r="BX300" s="94"/>
      <c r="BY300" s="94"/>
      <c r="BZ300" s="94"/>
      <c r="CA300" s="94"/>
      <c r="CB300" s="94"/>
      <c r="CC300" s="94"/>
      <c r="CD300" s="94"/>
      <c r="CE300" s="94"/>
      <c r="CF300" s="94"/>
      <c r="CG300" s="94"/>
      <c r="CH300" s="94"/>
      <c r="CI300" s="94"/>
      <c r="CJ300" s="94"/>
      <c r="CK300" s="94"/>
      <c r="CL300" s="94"/>
      <c r="CM300" s="94"/>
      <c r="CN300" s="94"/>
      <c r="CO300" s="94"/>
      <c r="CP300" s="94"/>
      <c r="CQ300" s="94"/>
      <c r="CR300" s="94"/>
      <c r="CS300" s="94"/>
      <c r="CT300" s="94"/>
      <c r="CU300" s="94"/>
      <c r="CV300" s="94"/>
      <c r="CW300" s="94"/>
      <c r="CX300" s="94"/>
      <c r="CY300" s="94"/>
      <c r="CZ300" s="94"/>
    </row>
    <row r="301" spans="1:178" ht="12.75">
      <c r="A301" s="74"/>
      <c r="B301" s="288" t="str">
        <f t="shared" si="92"/>
        <v/>
      </c>
      <c r="C301" s="9"/>
      <c r="D301" s="288" t="str">
        <f t="shared" si="92"/>
        <v/>
      </c>
      <c r="E301" s="274"/>
      <c r="F301" s="883" t="str">
        <f t="shared" si="92"/>
        <v/>
      </c>
      <c r="G301" s="883"/>
      <c r="H301" s="883"/>
      <c r="I301" s="883"/>
      <c r="J301" s="883"/>
      <c r="K301" s="883"/>
      <c r="L301" s="883"/>
      <c r="M301" s="883"/>
      <c r="N301" s="883"/>
      <c r="O301" s="883"/>
      <c r="P301" s="883"/>
      <c r="Q301" s="883"/>
      <c r="R301" s="883"/>
      <c r="S301" s="883"/>
      <c r="T301" s="883"/>
      <c r="U301" s="883"/>
      <c r="V301" s="289"/>
      <c r="W301" s="889" t="str">
        <f t="shared" si="93"/>
        <v/>
      </c>
      <c r="X301" s="889"/>
      <c r="Y301" s="889"/>
      <c r="Z301" s="889"/>
      <c r="AA301" s="889"/>
      <c r="AB301" s="889"/>
      <c r="AC301" s="289"/>
      <c r="AD301" s="885" t="str">
        <f t="shared" si="84"/>
        <v/>
      </c>
      <c r="AE301" s="885"/>
      <c r="AF301" s="885"/>
      <c r="AG301" s="885"/>
      <c r="AH301" s="9"/>
      <c r="AI301" s="288" t="str">
        <f t="shared" si="88"/>
        <v/>
      </c>
      <c r="AJ301" s="13" t="str">
        <f t="shared" si="88"/>
        <v/>
      </c>
      <c r="AK301" s="288" t="str">
        <f t="shared" si="88"/>
        <v/>
      </c>
      <c r="AL301" s="13" t="str">
        <f t="shared" si="88"/>
        <v/>
      </c>
      <c r="AM301" s="708" t="str">
        <f t="shared" ref="AM301:AN301" si="108">IF(AM31="","",AM31)</f>
        <v/>
      </c>
      <c r="AN301" s="705" t="str">
        <f t="shared" si="108"/>
        <v/>
      </c>
      <c r="AO301" s="289"/>
      <c r="AP301" s="273" t="str">
        <f t="shared" si="95"/>
        <v/>
      </c>
      <c r="AQ301" s="13" t="str">
        <f t="shared" si="95"/>
        <v/>
      </c>
      <c r="AR301" s="273" t="str">
        <f t="shared" si="95"/>
        <v/>
      </c>
      <c r="AS301" s="13" t="str">
        <f t="shared" si="95"/>
        <v/>
      </c>
      <c r="AT301" s="273" t="str">
        <f t="shared" ref="AT301:AU301" si="109">IF(AT31="","",AT31)</f>
        <v/>
      </c>
      <c r="AU301" s="705" t="str">
        <f t="shared" si="109"/>
        <v/>
      </c>
      <c r="AV301" s="13"/>
      <c r="AW301" s="746" t="str">
        <f t="shared" si="86"/>
        <v/>
      </c>
      <c r="AX301" s="746"/>
      <c r="AY301" s="75" t="str">
        <f t="shared" si="97"/>
        <v/>
      </c>
      <c r="AZ301" s="13" t="str">
        <f t="shared" si="97"/>
        <v/>
      </c>
      <c r="BA301" s="75" t="str">
        <f t="shared" si="97"/>
        <v/>
      </c>
      <c r="BB301" s="13" t="str">
        <f t="shared" si="97"/>
        <v/>
      </c>
      <c r="BC301" s="75" t="str">
        <f t="shared" ref="BC301:BD301" si="110">IF(BC31="","",BC31)</f>
        <v/>
      </c>
      <c r="BD301" s="705" t="str">
        <f t="shared" si="110"/>
        <v/>
      </c>
      <c r="BE301" s="746" t="str">
        <f t="shared" si="97"/>
        <v/>
      </c>
      <c r="BF301" s="746"/>
      <c r="BG301" s="13" t="s">
        <v>142</v>
      </c>
      <c r="BH301" s="884" t="str">
        <f t="shared" si="87"/>
        <v/>
      </c>
      <c r="BI301" s="884"/>
      <c r="BJ301" s="590"/>
      <c r="BO301" s="94"/>
      <c r="BP301" s="94"/>
      <c r="BQ301" s="94"/>
      <c r="BR301" s="94"/>
      <c r="BS301" s="94"/>
      <c r="BT301" s="94"/>
      <c r="BU301" s="94"/>
      <c r="BV301" s="94"/>
      <c r="BW301" s="94"/>
      <c r="BX301" s="94"/>
      <c r="BY301" s="94"/>
      <c r="BZ301" s="94"/>
      <c r="CA301" s="94"/>
      <c r="CB301" s="94"/>
      <c r="CC301" s="94"/>
      <c r="CD301" s="94"/>
      <c r="CE301" s="94"/>
      <c r="CF301" s="94"/>
      <c r="CG301" s="94"/>
      <c r="CH301" s="94"/>
      <c r="CI301" s="94"/>
      <c r="CJ301" s="94"/>
      <c r="CK301" s="94"/>
      <c r="CL301" s="94"/>
      <c r="CM301" s="94"/>
      <c r="CN301" s="94"/>
      <c r="CO301" s="94"/>
      <c r="CP301" s="94"/>
      <c r="CQ301" s="94"/>
      <c r="CR301" s="94"/>
      <c r="CS301" s="94"/>
      <c r="CT301" s="94"/>
      <c r="CU301" s="94"/>
      <c r="CV301" s="94"/>
      <c r="CW301" s="94"/>
      <c r="CX301" s="94"/>
      <c r="CY301" s="94"/>
      <c r="CZ301" s="94"/>
    </row>
    <row r="302" spans="1:178" ht="12.75">
      <c r="A302" s="74"/>
      <c r="B302" s="288" t="str">
        <f t="shared" si="92"/>
        <v/>
      </c>
      <c r="C302" s="9"/>
      <c r="D302" s="288" t="str">
        <f t="shared" si="92"/>
        <v/>
      </c>
      <c r="E302" s="274"/>
      <c r="F302" s="883" t="str">
        <f t="shared" si="92"/>
        <v/>
      </c>
      <c r="G302" s="883"/>
      <c r="H302" s="883"/>
      <c r="I302" s="883"/>
      <c r="J302" s="883"/>
      <c r="K302" s="883"/>
      <c r="L302" s="883"/>
      <c r="M302" s="883"/>
      <c r="N302" s="883"/>
      <c r="O302" s="883"/>
      <c r="P302" s="883"/>
      <c r="Q302" s="883"/>
      <c r="R302" s="883"/>
      <c r="S302" s="883"/>
      <c r="T302" s="883"/>
      <c r="U302" s="883"/>
      <c r="V302" s="289"/>
      <c r="W302" s="889" t="str">
        <f t="shared" si="93"/>
        <v/>
      </c>
      <c r="X302" s="889"/>
      <c r="Y302" s="889"/>
      <c r="Z302" s="889"/>
      <c r="AA302" s="889"/>
      <c r="AB302" s="889"/>
      <c r="AC302" s="289"/>
      <c r="AD302" s="885" t="str">
        <f t="shared" si="84"/>
        <v/>
      </c>
      <c r="AE302" s="885"/>
      <c r="AF302" s="885"/>
      <c r="AG302" s="885"/>
      <c r="AH302" s="9"/>
      <c r="AI302" s="288" t="str">
        <f t="shared" si="88"/>
        <v/>
      </c>
      <c r="AJ302" s="13" t="str">
        <f t="shared" si="88"/>
        <v/>
      </c>
      <c r="AK302" s="288" t="str">
        <f t="shared" si="88"/>
        <v/>
      </c>
      <c r="AL302" s="13" t="str">
        <f t="shared" si="88"/>
        <v/>
      </c>
      <c r="AM302" s="708" t="str">
        <f t="shared" ref="AM302:AN302" si="111">IF(AM32="","",AM32)</f>
        <v/>
      </c>
      <c r="AN302" s="705" t="str">
        <f t="shared" si="111"/>
        <v/>
      </c>
      <c r="AO302" s="289"/>
      <c r="AP302" s="273" t="str">
        <f t="shared" si="95"/>
        <v/>
      </c>
      <c r="AQ302" s="13" t="str">
        <f t="shared" si="95"/>
        <v/>
      </c>
      <c r="AR302" s="273" t="str">
        <f t="shared" si="95"/>
        <v/>
      </c>
      <c r="AS302" s="13" t="str">
        <f t="shared" si="95"/>
        <v/>
      </c>
      <c r="AT302" s="273" t="str">
        <f t="shared" ref="AT302:AU302" si="112">IF(AT32="","",AT32)</f>
        <v/>
      </c>
      <c r="AU302" s="705" t="str">
        <f t="shared" si="112"/>
        <v/>
      </c>
      <c r="AV302" s="13"/>
      <c r="AW302" s="746" t="str">
        <f t="shared" si="86"/>
        <v/>
      </c>
      <c r="AX302" s="746"/>
      <c r="AY302" s="75" t="str">
        <f t="shared" si="97"/>
        <v/>
      </c>
      <c r="AZ302" s="13" t="str">
        <f t="shared" si="97"/>
        <v/>
      </c>
      <c r="BA302" s="75" t="str">
        <f t="shared" si="97"/>
        <v/>
      </c>
      <c r="BB302" s="13" t="str">
        <f t="shared" si="97"/>
        <v/>
      </c>
      <c r="BC302" s="75" t="str">
        <f t="shared" ref="BC302:BD302" si="113">IF(BC32="","",BC32)</f>
        <v/>
      </c>
      <c r="BD302" s="705" t="str">
        <f t="shared" si="113"/>
        <v/>
      </c>
      <c r="BE302" s="746" t="str">
        <f t="shared" si="97"/>
        <v/>
      </c>
      <c r="BF302" s="746"/>
      <c r="BG302" s="13" t="s">
        <v>142</v>
      </c>
      <c r="BH302" s="884" t="str">
        <f t="shared" si="87"/>
        <v/>
      </c>
      <c r="BI302" s="884"/>
      <c r="BJ302" s="590"/>
      <c r="BO302" s="94"/>
      <c r="BP302" s="94"/>
      <c r="BQ302" s="94"/>
      <c r="BR302" s="94"/>
      <c r="BS302" s="94"/>
      <c r="BT302" s="94"/>
      <c r="BU302" s="94"/>
      <c r="BV302" s="94"/>
      <c r="BW302" s="94"/>
      <c r="BX302" s="94"/>
      <c r="BY302" s="94"/>
      <c r="BZ302" s="94"/>
      <c r="CA302" s="94"/>
      <c r="CB302" s="94"/>
      <c r="CC302" s="94"/>
      <c r="CD302" s="94"/>
      <c r="CE302" s="94"/>
      <c r="CF302" s="94"/>
      <c r="CG302" s="94"/>
      <c r="CH302" s="94"/>
      <c r="CI302" s="94"/>
      <c r="CJ302" s="94"/>
      <c r="CK302" s="94"/>
      <c r="CL302" s="94"/>
      <c r="CM302" s="94"/>
      <c r="CN302" s="94"/>
      <c r="CO302" s="94"/>
      <c r="CP302" s="94"/>
      <c r="CQ302" s="94"/>
      <c r="CR302" s="94"/>
      <c r="CS302" s="94"/>
      <c r="CT302" s="94"/>
      <c r="CU302" s="94"/>
      <c r="CV302" s="94"/>
      <c r="CW302" s="94"/>
      <c r="CX302" s="94"/>
      <c r="CY302" s="94"/>
      <c r="CZ302" s="94"/>
    </row>
    <row r="303" spans="1:178" ht="12.75">
      <c r="A303" s="74"/>
      <c r="B303" s="288" t="str">
        <f t="shared" si="92"/>
        <v/>
      </c>
      <c r="C303" s="9"/>
      <c r="D303" s="288" t="str">
        <f t="shared" si="92"/>
        <v/>
      </c>
      <c r="E303" s="274"/>
      <c r="F303" s="883" t="str">
        <f t="shared" si="92"/>
        <v/>
      </c>
      <c r="G303" s="883"/>
      <c r="H303" s="883"/>
      <c r="I303" s="883"/>
      <c r="J303" s="883"/>
      <c r="K303" s="883"/>
      <c r="L303" s="883"/>
      <c r="M303" s="883"/>
      <c r="N303" s="883"/>
      <c r="O303" s="883"/>
      <c r="P303" s="883"/>
      <c r="Q303" s="883"/>
      <c r="R303" s="883"/>
      <c r="S303" s="883"/>
      <c r="T303" s="883"/>
      <c r="U303" s="883"/>
      <c r="V303" s="289"/>
      <c r="W303" s="889" t="str">
        <f t="shared" si="93"/>
        <v/>
      </c>
      <c r="X303" s="889"/>
      <c r="Y303" s="889"/>
      <c r="Z303" s="889"/>
      <c r="AA303" s="889"/>
      <c r="AB303" s="889"/>
      <c r="AC303" s="289"/>
      <c r="AD303" s="885" t="str">
        <f t="shared" si="84"/>
        <v/>
      </c>
      <c r="AE303" s="885"/>
      <c r="AF303" s="885"/>
      <c r="AG303" s="885"/>
      <c r="AH303" s="9"/>
      <c r="AI303" s="288" t="str">
        <f t="shared" si="88"/>
        <v/>
      </c>
      <c r="AJ303" s="13" t="str">
        <f t="shared" si="88"/>
        <v/>
      </c>
      <c r="AK303" s="288" t="str">
        <f t="shared" si="88"/>
        <v/>
      </c>
      <c r="AL303" s="13" t="str">
        <f t="shared" si="88"/>
        <v/>
      </c>
      <c r="AM303" s="708" t="str">
        <f t="shared" ref="AM303:AN303" si="114">IF(AM33="","",AM33)</f>
        <v/>
      </c>
      <c r="AN303" s="705" t="str">
        <f t="shared" si="114"/>
        <v/>
      </c>
      <c r="AO303" s="289"/>
      <c r="AP303" s="273" t="str">
        <f t="shared" si="95"/>
        <v/>
      </c>
      <c r="AQ303" s="13" t="str">
        <f t="shared" si="95"/>
        <v/>
      </c>
      <c r="AR303" s="273" t="str">
        <f t="shared" si="95"/>
        <v/>
      </c>
      <c r="AS303" s="13" t="str">
        <f t="shared" si="95"/>
        <v/>
      </c>
      <c r="AT303" s="273" t="str">
        <f t="shared" ref="AT303:AU303" si="115">IF(AT33="","",AT33)</f>
        <v/>
      </c>
      <c r="AU303" s="705" t="str">
        <f t="shared" si="115"/>
        <v/>
      </c>
      <c r="AV303" s="13"/>
      <c r="AW303" s="746" t="str">
        <f t="shared" si="86"/>
        <v/>
      </c>
      <c r="AX303" s="746"/>
      <c r="AY303" s="75" t="str">
        <f t="shared" si="97"/>
        <v/>
      </c>
      <c r="AZ303" s="13" t="str">
        <f t="shared" si="97"/>
        <v/>
      </c>
      <c r="BA303" s="75" t="str">
        <f t="shared" si="97"/>
        <v/>
      </c>
      <c r="BB303" s="13" t="str">
        <f t="shared" si="97"/>
        <v/>
      </c>
      <c r="BC303" s="75" t="str">
        <f t="shared" ref="BC303:BD303" si="116">IF(BC33="","",BC33)</f>
        <v/>
      </c>
      <c r="BD303" s="705" t="str">
        <f t="shared" si="116"/>
        <v/>
      </c>
      <c r="BE303" s="746" t="str">
        <f t="shared" si="97"/>
        <v/>
      </c>
      <c r="BF303" s="746"/>
      <c r="BG303" s="13" t="s">
        <v>142</v>
      </c>
      <c r="BH303" s="884" t="str">
        <f t="shared" si="87"/>
        <v/>
      </c>
      <c r="BI303" s="884"/>
      <c r="BJ303" s="590"/>
      <c r="BO303" s="94"/>
      <c r="BP303" s="94"/>
      <c r="BQ303" s="94"/>
      <c r="BR303" s="94"/>
      <c r="BS303" s="94"/>
      <c r="BT303" s="94"/>
      <c r="BU303" s="94"/>
      <c r="BV303" s="94"/>
      <c r="BW303" s="94"/>
      <c r="BX303" s="94"/>
      <c r="BY303" s="94"/>
      <c r="BZ303" s="94"/>
      <c r="CA303" s="94"/>
      <c r="CB303" s="94"/>
      <c r="CC303" s="94"/>
      <c r="CD303" s="94"/>
      <c r="CE303" s="94"/>
      <c r="CF303" s="94"/>
      <c r="CG303" s="94"/>
      <c r="CH303" s="94"/>
      <c r="CI303" s="94"/>
      <c r="CJ303" s="94"/>
      <c r="CK303" s="94"/>
      <c r="CL303" s="94"/>
      <c r="CM303" s="94"/>
      <c r="CN303" s="94"/>
      <c r="CO303" s="94"/>
      <c r="CP303" s="94"/>
      <c r="CQ303" s="94"/>
      <c r="CR303" s="94"/>
      <c r="CS303" s="94"/>
      <c r="CT303" s="94"/>
      <c r="CU303" s="94"/>
      <c r="CV303" s="94"/>
      <c r="CW303" s="94"/>
      <c r="CX303" s="94"/>
      <c r="CY303" s="94"/>
      <c r="CZ303" s="94"/>
    </row>
    <row r="304" spans="1:178" ht="12.75">
      <c r="A304" s="74"/>
      <c r="B304" s="288" t="str">
        <f t="shared" si="92"/>
        <v/>
      </c>
      <c r="C304" s="9"/>
      <c r="D304" s="288" t="str">
        <f t="shared" si="92"/>
        <v/>
      </c>
      <c r="E304" s="274"/>
      <c r="F304" s="883" t="str">
        <f t="shared" si="92"/>
        <v/>
      </c>
      <c r="G304" s="883"/>
      <c r="H304" s="883"/>
      <c r="I304" s="883"/>
      <c r="J304" s="883"/>
      <c r="K304" s="883"/>
      <c r="L304" s="883"/>
      <c r="M304" s="883"/>
      <c r="N304" s="883"/>
      <c r="O304" s="883"/>
      <c r="P304" s="883"/>
      <c r="Q304" s="883"/>
      <c r="R304" s="883"/>
      <c r="S304" s="883"/>
      <c r="T304" s="883"/>
      <c r="U304" s="883"/>
      <c r="V304" s="289"/>
      <c r="W304" s="889" t="str">
        <f t="shared" si="93"/>
        <v/>
      </c>
      <c r="X304" s="889"/>
      <c r="Y304" s="889"/>
      <c r="Z304" s="889"/>
      <c r="AA304" s="889"/>
      <c r="AB304" s="889"/>
      <c r="AC304" s="289"/>
      <c r="AD304" s="885" t="str">
        <f t="shared" si="84"/>
        <v/>
      </c>
      <c r="AE304" s="885"/>
      <c r="AF304" s="885"/>
      <c r="AG304" s="885"/>
      <c r="AH304" s="9"/>
      <c r="AI304" s="288" t="str">
        <f t="shared" si="88"/>
        <v/>
      </c>
      <c r="AJ304" s="13" t="str">
        <f t="shared" si="88"/>
        <v/>
      </c>
      <c r="AK304" s="288" t="str">
        <f t="shared" si="88"/>
        <v/>
      </c>
      <c r="AL304" s="13" t="str">
        <f t="shared" si="88"/>
        <v/>
      </c>
      <c r="AM304" s="708" t="str">
        <f t="shared" ref="AM304:AN304" si="117">IF(AM34="","",AM34)</f>
        <v/>
      </c>
      <c r="AN304" s="705" t="str">
        <f t="shared" si="117"/>
        <v/>
      </c>
      <c r="AO304" s="289"/>
      <c r="AP304" s="273" t="str">
        <f t="shared" si="95"/>
        <v/>
      </c>
      <c r="AQ304" s="13" t="str">
        <f t="shared" si="95"/>
        <v/>
      </c>
      <c r="AR304" s="273" t="str">
        <f t="shared" si="95"/>
        <v/>
      </c>
      <c r="AS304" s="13" t="str">
        <f t="shared" si="95"/>
        <v/>
      </c>
      <c r="AT304" s="273" t="str">
        <f t="shared" ref="AT304:AU304" si="118">IF(AT34="","",AT34)</f>
        <v/>
      </c>
      <c r="AU304" s="705" t="str">
        <f t="shared" si="118"/>
        <v/>
      </c>
      <c r="AV304" s="13"/>
      <c r="AW304" s="746" t="str">
        <f t="shared" si="86"/>
        <v/>
      </c>
      <c r="AX304" s="746"/>
      <c r="AY304" s="75" t="str">
        <f t="shared" si="97"/>
        <v/>
      </c>
      <c r="AZ304" s="13" t="str">
        <f t="shared" si="97"/>
        <v/>
      </c>
      <c r="BA304" s="75" t="str">
        <f t="shared" si="97"/>
        <v/>
      </c>
      <c r="BB304" s="13" t="str">
        <f t="shared" si="97"/>
        <v/>
      </c>
      <c r="BC304" s="75" t="str">
        <f t="shared" ref="BC304:BD304" si="119">IF(BC34="","",BC34)</f>
        <v/>
      </c>
      <c r="BD304" s="705" t="str">
        <f t="shared" si="119"/>
        <v/>
      </c>
      <c r="BE304" s="746" t="str">
        <f t="shared" si="97"/>
        <v/>
      </c>
      <c r="BF304" s="746"/>
      <c r="BG304" s="13" t="s">
        <v>142</v>
      </c>
      <c r="BH304" s="884" t="str">
        <f t="shared" si="87"/>
        <v/>
      </c>
      <c r="BI304" s="884"/>
      <c r="BJ304" s="590"/>
      <c r="BO304" s="94"/>
      <c r="BP304" s="94"/>
      <c r="BQ304" s="94"/>
      <c r="BR304" s="94"/>
      <c r="BS304" s="94"/>
      <c r="BT304" s="94"/>
      <c r="BU304" s="94"/>
      <c r="BV304" s="94"/>
      <c r="BW304" s="94"/>
      <c r="BX304" s="94"/>
      <c r="BY304" s="94"/>
      <c r="BZ304" s="94"/>
      <c r="CA304" s="94"/>
      <c r="CB304" s="94"/>
      <c r="CC304" s="94"/>
      <c r="CD304" s="94"/>
      <c r="CE304" s="94"/>
      <c r="CF304" s="94"/>
      <c r="CG304" s="94"/>
      <c r="CH304" s="94"/>
      <c r="CI304" s="94"/>
      <c r="CJ304" s="94"/>
      <c r="CK304" s="94"/>
      <c r="CL304" s="94"/>
      <c r="CM304" s="94"/>
      <c r="CN304" s="94"/>
      <c r="CO304" s="94"/>
      <c r="CP304" s="94"/>
      <c r="CQ304" s="94"/>
      <c r="CR304" s="94"/>
      <c r="CS304" s="94"/>
      <c r="CT304" s="94"/>
      <c r="CU304" s="94"/>
      <c r="CV304" s="94"/>
      <c r="CW304" s="94"/>
      <c r="CX304" s="94"/>
      <c r="CY304" s="94"/>
      <c r="CZ304" s="94"/>
    </row>
    <row r="305" spans="1:178" ht="12.75">
      <c r="A305" s="74"/>
      <c r="B305" s="288" t="str">
        <f t="shared" si="92"/>
        <v/>
      </c>
      <c r="C305" s="9"/>
      <c r="D305" s="288" t="str">
        <f t="shared" si="92"/>
        <v/>
      </c>
      <c r="E305" s="274"/>
      <c r="F305" s="883" t="str">
        <f t="shared" si="92"/>
        <v/>
      </c>
      <c r="G305" s="883"/>
      <c r="H305" s="883"/>
      <c r="I305" s="883"/>
      <c r="J305" s="883"/>
      <c r="K305" s="883"/>
      <c r="L305" s="883"/>
      <c r="M305" s="883"/>
      <c r="N305" s="883"/>
      <c r="O305" s="883"/>
      <c r="P305" s="883"/>
      <c r="Q305" s="883"/>
      <c r="R305" s="883"/>
      <c r="S305" s="883"/>
      <c r="T305" s="883"/>
      <c r="U305" s="883"/>
      <c r="V305" s="289"/>
      <c r="W305" s="889" t="str">
        <f t="shared" si="93"/>
        <v/>
      </c>
      <c r="X305" s="889"/>
      <c r="Y305" s="889"/>
      <c r="Z305" s="889"/>
      <c r="AA305" s="889"/>
      <c r="AB305" s="889"/>
      <c r="AC305" s="289"/>
      <c r="AD305" s="885" t="str">
        <f t="shared" si="84"/>
        <v/>
      </c>
      <c r="AE305" s="885"/>
      <c r="AF305" s="885"/>
      <c r="AG305" s="885"/>
      <c r="AH305" s="9"/>
      <c r="AI305" s="288" t="str">
        <f t="shared" si="88"/>
        <v/>
      </c>
      <c r="AJ305" s="13" t="str">
        <f t="shared" si="88"/>
        <v/>
      </c>
      <c r="AK305" s="288" t="str">
        <f t="shared" si="88"/>
        <v/>
      </c>
      <c r="AL305" s="13" t="str">
        <f t="shared" si="88"/>
        <v/>
      </c>
      <c r="AM305" s="708" t="str">
        <f t="shared" ref="AM305:AN305" si="120">IF(AM35="","",AM35)</f>
        <v/>
      </c>
      <c r="AN305" s="705" t="str">
        <f t="shared" si="120"/>
        <v/>
      </c>
      <c r="AO305" s="289"/>
      <c r="AP305" s="273" t="str">
        <f t="shared" si="95"/>
        <v/>
      </c>
      <c r="AQ305" s="13" t="str">
        <f t="shared" si="95"/>
        <v/>
      </c>
      <c r="AR305" s="273" t="str">
        <f t="shared" si="95"/>
        <v/>
      </c>
      <c r="AS305" s="13" t="str">
        <f t="shared" si="95"/>
        <v/>
      </c>
      <c r="AT305" s="273" t="str">
        <f t="shared" ref="AT305:AU305" si="121">IF(AT35="","",AT35)</f>
        <v/>
      </c>
      <c r="AU305" s="705" t="str">
        <f t="shared" si="121"/>
        <v/>
      </c>
      <c r="AV305" s="13"/>
      <c r="AW305" s="746" t="str">
        <f t="shared" si="86"/>
        <v/>
      </c>
      <c r="AX305" s="746"/>
      <c r="AY305" s="75" t="str">
        <f t="shared" si="97"/>
        <v/>
      </c>
      <c r="AZ305" s="13" t="str">
        <f t="shared" si="97"/>
        <v/>
      </c>
      <c r="BA305" s="75" t="str">
        <f t="shared" si="97"/>
        <v/>
      </c>
      <c r="BB305" s="13" t="str">
        <f t="shared" si="97"/>
        <v/>
      </c>
      <c r="BC305" s="75" t="str">
        <f t="shared" ref="BC305:BD305" si="122">IF(BC35="","",BC35)</f>
        <v/>
      </c>
      <c r="BD305" s="705" t="str">
        <f t="shared" si="122"/>
        <v/>
      </c>
      <c r="BE305" s="746" t="str">
        <f t="shared" si="97"/>
        <v/>
      </c>
      <c r="BF305" s="746"/>
      <c r="BG305" s="13" t="s">
        <v>142</v>
      </c>
      <c r="BH305" s="884" t="str">
        <f t="shared" si="87"/>
        <v/>
      </c>
      <c r="BI305" s="884"/>
      <c r="BJ305" s="590"/>
      <c r="BO305" s="94"/>
      <c r="BP305" s="94"/>
      <c r="BQ305" s="94"/>
      <c r="BR305" s="94"/>
      <c r="BS305" s="94"/>
      <c r="BT305" s="94"/>
      <c r="BU305" s="94"/>
      <c r="BV305" s="94"/>
      <c r="BW305" s="94"/>
      <c r="BX305" s="94"/>
      <c r="BY305" s="94"/>
      <c r="BZ305" s="94"/>
      <c r="CA305" s="94"/>
      <c r="CB305" s="94"/>
      <c r="CC305" s="94"/>
      <c r="CD305" s="94"/>
      <c r="CE305" s="94"/>
      <c r="CF305" s="94"/>
      <c r="CG305" s="94"/>
      <c r="CH305" s="94"/>
      <c r="CI305" s="94"/>
      <c r="CJ305" s="94"/>
      <c r="CK305" s="94"/>
      <c r="CL305" s="94"/>
      <c r="CM305" s="94"/>
      <c r="CN305" s="94"/>
      <c r="CO305" s="94"/>
      <c r="CP305" s="94"/>
      <c r="CQ305" s="94"/>
      <c r="CR305" s="94"/>
      <c r="CS305" s="94"/>
      <c r="CT305" s="94"/>
      <c r="CU305" s="94"/>
      <c r="CV305" s="94"/>
      <c r="CW305" s="94"/>
      <c r="CX305" s="94"/>
      <c r="CY305" s="94"/>
      <c r="CZ305" s="94"/>
    </row>
    <row r="306" spans="1:178" ht="12.75">
      <c r="A306" s="74"/>
      <c r="B306" s="288" t="str">
        <f t="shared" si="92"/>
        <v/>
      </c>
      <c r="C306" s="9"/>
      <c r="D306" s="288" t="str">
        <f t="shared" si="92"/>
        <v/>
      </c>
      <c r="E306" s="274"/>
      <c r="F306" s="883" t="str">
        <f t="shared" si="92"/>
        <v/>
      </c>
      <c r="G306" s="883"/>
      <c r="H306" s="883"/>
      <c r="I306" s="883"/>
      <c r="J306" s="883"/>
      <c r="K306" s="883"/>
      <c r="L306" s="883"/>
      <c r="M306" s="883"/>
      <c r="N306" s="883"/>
      <c r="O306" s="883"/>
      <c r="P306" s="883"/>
      <c r="Q306" s="883"/>
      <c r="R306" s="883"/>
      <c r="S306" s="883"/>
      <c r="T306" s="883"/>
      <c r="U306" s="883"/>
      <c r="V306" s="289"/>
      <c r="W306" s="889" t="str">
        <f t="shared" si="93"/>
        <v/>
      </c>
      <c r="X306" s="889"/>
      <c r="Y306" s="889"/>
      <c r="Z306" s="889"/>
      <c r="AA306" s="889"/>
      <c r="AB306" s="889"/>
      <c r="AC306" s="289"/>
      <c r="AD306" s="885" t="str">
        <f t="shared" si="84"/>
        <v/>
      </c>
      <c r="AE306" s="885"/>
      <c r="AF306" s="885"/>
      <c r="AG306" s="885"/>
      <c r="AH306" s="9"/>
      <c r="AI306" s="288" t="str">
        <f t="shared" si="88"/>
        <v/>
      </c>
      <c r="AJ306" s="13" t="str">
        <f t="shared" si="88"/>
        <v/>
      </c>
      <c r="AK306" s="288" t="str">
        <f t="shared" si="88"/>
        <v/>
      </c>
      <c r="AL306" s="13" t="str">
        <f t="shared" si="88"/>
        <v/>
      </c>
      <c r="AM306" s="708" t="str">
        <f t="shared" ref="AM306:AN306" si="123">IF(AM36="","",AM36)</f>
        <v/>
      </c>
      <c r="AN306" s="705" t="str">
        <f t="shared" si="123"/>
        <v/>
      </c>
      <c r="AO306" s="289"/>
      <c r="AP306" s="273" t="str">
        <f t="shared" si="95"/>
        <v/>
      </c>
      <c r="AQ306" s="13" t="str">
        <f t="shared" si="95"/>
        <v/>
      </c>
      <c r="AR306" s="273" t="str">
        <f t="shared" si="95"/>
        <v/>
      </c>
      <c r="AS306" s="13" t="str">
        <f t="shared" si="95"/>
        <v/>
      </c>
      <c r="AT306" s="273" t="str">
        <f t="shared" ref="AT306:AU306" si="124">IF(AT36="","",AT36)</f>
        <v/>
      </c>
      <c r="AU306" s="705" t="str">
        <f t="shared" si="124"/>
        <v/>
      </c>
      <c r="AV306" s="13"/>
      <c r="AW306" s="746" t="str">
        <f t="shared" si="86"/>
        <v/>
      </c>
      <c r="AX306" s="746"/>
      <c r="AY306" s="75" t="str">
        <f t="shared" si="97"/>
        <v/>
      </c>
      <c r="AZ306" s="13" t="str">
        <f t="shared" si="97"/>
        <v/>
      </c>
      <c r="BA306" s="75" t="str">
        <f t="shared" si="97"/>
        <v/>
      </c>
      <c r="BB306" s="13" t="str">
        <f t="shared" si="97"/>
        <v/>
      </c>
      <c r="BC306" s="75" t="str">
        <f t="shared" ref="BC306:BD306" si="125">IF(BC36="","",BC36)</f>
        <v/>
      </c>
      <c r="BD306" s="705" t="str">
        <f t="shared" si="125"/>
        <v/>
      </c>
      <c r="BE306" s="746" t="str">
        <f t="shared" si="97"/>
        <v/>
      </c>
      <c r="BF306" s="746"/>
      <c r="BG306" s="13" t="s">
        <v>142</v>
      </c>
      <c r="BH306" s="884" t="str">
        <f t="shared" si="87"/>
        <v/>
      </c>
      <c r="BI306" s="884"/>
      <c r="BJ306" s="590"/>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row>
    <row r="307" spans="1:178" ht="13.5" thickBot="1">
      <c r="A307" s="76"/>
      <c r="B307" s="651"/>
      <c r="C307" s="276"/>
      <c r="D307" s="651"/>
      <c r="E307" s="651"/>
      <c r="F307" s="652"/>
      <c r="G307" s="652"/>
      <c r="H307" s="652"/>
      <c r="I307" s="652"/>
      <c r="J307" s="652"/>
      <c r="K307" s="652"/>
      <c r="L307" s="652"/>
      <c r="M307" s="652"/>
      <c r="N307" s="652"/>
      <c r="O307" s="652"/>
      <c r="P307" s="652"/>
      <c r="Q307" s="653"/>
      <c r="R307" s="651"/>
      <c r="S307" s="651"/>
      <c r="T307" s="651"/>
      <c r="U307" s="651"/>
      <c r="V307" s="654"/>
      <c r="W307" s="651"/>
      <c r="X307" s="651"/>
      <c r="Y307" s="651"/>
      <c r="Z307" s="651"/>
      <c r="AA307" s="651"/>
      <c r="AB307" s="651"/>
      <c r="AC307" s="654"/>
      <c r="AD307" s="655"/>
      <c r="AE307" s="655"/>
      <c r="AF307" s="655"/>
      <c r="AG307" s="655"/>
      <c r="AH307" s="276"/>
      <c r="AI307" s="651"/>
      <c r="AJ307" s="656"/>
      <c r="AK307" s="651"/>
      <c r="AL307" s="656"/>
      <c r="AM307" s="656"/>
      <c r="AN307" s="656"/>
      <c r="AO307" s="654"/>
      <c r="AP307" s="657"/>
      <c r="AQ307" s="656"/>
      <c r="AR307" s="657"/>
      <c r="AS307" s="656"/>
      <c r="AT307" s="656"/>
      <c r="AU307" s="656"/>
      <c r="AV307" s="656"/>
      <c r="AW307" s="658"/>
      <c r="AX307" s="658"/>
      <c r="AY307" s="657"/>
      <c r="AZ307" s="656"/>
      <c r="BA307" s="657"/>
      <c r="BB307" s="656"/>
      <c r="BC307" s="656"/>
      <c r="BD307" s="656"/>
      <c r="BE307" s="658"/>
      <c r="BF307" s="658"/>
      <c r="BG307" s="656"/>
      <c r="BH307" s="659"/>
      <c r="BI307" s="659"/>
      <c r="BJ307" s="660"/>
      <c r="BO307" s="102"/>
      <c r="BP307" s="102"/>
      <c r="BQ307" s="102"/>
      <c r="BR307" s="102"/>
      <c r="BS307" s="102"/>
      <c r="BT307" s="102"/>
      <c r="BU307" s="102"/>
      <c r="BV307" s="102"/>
      <c r="BW307" s="102"/>
      <c r="BX307" s="102"/>
      <c r="BY307" s="94"/>
      <c r="BZ307" s="94"/>
      <c r="CA307" s="94"/>
      <c r="CB307" s="94"/>
      <c r="CC307" s="94"/>
      <c r="CD307" s="94"/>
      <c r="CE307" s="94"/>
      <c r="CF307" s="94"/>
      <c r="CG307" s="94"/>
      <c r="CH307" s="94"/>
      <c r="CI307" s="94"/>
      <c r="CJ307" s="94"/>
      <c r="CK307" s="94"/>
      <c r="CL307" s="94"/>
      <c r="CM307" s="94"/>
      <c r="CN307" s="94"/>
      <c r="CO307" s="94"/>
      <c r="CP307" s="94"/>
      <c r="CQ307" s="94"/>
      <c r="CR307" s="94"/>
      <c r="CS307" s="94"/>
      <c r="CT307" s="94"/>
      <c r="CU307" s="94"/>
      <c r="CV307" s="94"/>
      <c r="CW307" s="94"/>
      <c r="CX307" s="94"/>
      <c r="CY307" s="94"/>
      <c r="CZ307" s="94"/>
    </row>
    <row r="308" spans="1:178" ht="12.75">
      <c r="B308" s="274"/>
      <c r="C308" s="9"/>
      <c r="D308" s="274"/>
      <c r="E308" s="274"/>
      <c r="F308" s="415"/>
      <c r="G308" s="415"/>
      <c r="H308" s="415"/>
      <c r="I308" s="415"/>
      <c r="J308" s="415"/>
      <c r="K308" s="415"/>
      <c r="L308" s="415"/>
      <c r="M308" s="415"/>
      <c r="N308" s="415"/>
      <c r="O308" s="415"/>
      <c r="P308" s="415"/>
      <c r="Q308" s="284"/>
      <c r="R308" s="274"/>
      <c r="S308" s="274"/>
      <c r="T308" s="274"/>
      <c r="U308" s="274"/>
      <c r="V308" s="289"/>
      <c r="W308" s="274"/>
      <c r="X308" s="274"/>
      <c r="Y308" s="274"/>
      <c r="Z308" s="274"/>
      <c r="AA308" s="274"/>
      <c r="AB308" s="274"/>
      <c r="AC308" s="289"/>
      <c r="AD308" s="416"/>
      <c r="AE308" s="416"/>
      <c r="AF308" s="416"/>
      <c r="AG308" s="416"/>
      <c r="AH308" s="9"/>
      <c r="AI308" s="274"/>
      <c r="AJ308" s="13"/>
      <c r="AK308" s="274"/>
      <c r="AL308" s="13"/>
      <c r="AM308" s="705"/>
      <c r="AN308" s="705"/>
      <c r="AO308" s="289"/>
      <c r="AP308" s="417"/>
      <c r="AQ308" s="13"/>
      <c r="AR308" s="417"/>
      <c r="AS308" s="13"/>
      <c r="AT308" s="705"/>
      <c r="AU308" s="705"/>
      <c r="AV308" s="13"/>
      <c r="AW308" s="10"/>
      <c r="AX308" s="10"/>
      <c r="AY308" s="417"/>
      <c r="AZ308" s="13"/>
      <c r="BA308" s="417"/>
      <c r="BB308" s="13"/>
      <c r="BC308" s="705"/>
      <c r="BD308" s="705"/>
      <c r="BE308" s="10"/>
      <c r="BF308" s="10"/>
      <c r="BG308" s="13" t="s">
        <v>142</v>
      </c>
      <c r="BH308" s="884" t="str">
        <f t="shared" si="87"/>
        <v/>
      </c>
      <c r="BI308" s="884"/>
      <c r="BJ308" s="592"/>
      <c r="BO308" s="102"/>
      <c r="BP308" s="102"/>
      <c r="BQ308" s="102"/>
      <c r="BR308" s="102"/>
      <c r="BS308" s="102"/>
      <c r="BT308" s="102"/>
      <c r="BU308" s="102"/>
      <c r="BV308" s="102"/>
      <c r="BW308" s="102"/>
      <c r="BX308" s="102"/>
      <c r="BY308" s="94"/>
      <c r="BZ308" s="94"/>
      <c r="CA308" s="94"/>
      <c r="CB308" s="94"/>
      <c r="CC308" s="94"/>
      <c r="CD308" s="94"/>
      <c r="CE308" s="94"/>
      <c r="CF308" s="94"/>
      <c r="CG308" s="94"/>
      <c r="CH308" s="94"/>
      <c r="CI308" s="94"/>
      <c r="CJ308" s="94"/>
      <c r="CK308" s="94"/>
      <c r="CL308" s="94"/>
      <c r="CM308" s="94"/>
      <c r="CN308" s="94"/>
      <c r="CO308" s="94"/>
      <c r="CP308" s="94"/>
      <c r="CQ308" s="94"/>
      <c r="CR308" s="94"/>
      <c r="CS308" s="94"/>
      <c r="CT308" s="94"/>
      <c r="CU308" s="94"/>
      <c r="CV308" s="94"/>
      <c r="CW308" s="94"/>
      <c r="CX308" s="94"/>
      <c r="CY308" s="94"/>
      <c r="CZ308" s="94"/>
    </row>
    <row r="309" spans="1:178" ht="16.5" thickBot="1">
      <c r="A309" s="80" t="str">
        <f>A39</f>
        <v>MF3a - Package Terminal Air Conditioner</v>
      </c>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c r="AW309" s="80"/>
      <c r="AX309" s="80"/>
      <c r="AY309" s="80"/>
      <c r="AZ309" s="80"/>
      <c r="BA309" s="80"/>
      <c r="BB309" s="80"/>
      <c r="BC309" s="80"/>
      <c r="BD309" s="80"/>
      <c r="BE309" s="80"/>
      <c r="BF309" s="80"/>
      <c r="BG309" s="280"/>
      <c r="BH309" s="20"/>
      <c r="BO309" s="94"/>
      <c r="BP309" s="94"/>
      <c r="BQ309" s="94"/>
      <c r="BR309" s="94"/>
      <c r="BS309" s="94"/>
      <c r="BT309" s="94"/>
      <c r="BU309" s="94"/>
      <c r="BV309" s="94"/>
      <c r="BW309" s="94"/>
      <c r="BX309" s="94"/>
      <c r="BY309" s="94"/>
      <c r="BZ309" s="94"/>
      <c r="CA309" s="94"/>
      <c r="CB309" s="94"/>
      <c r="CC309" s="94"/>
      <c r="CD309" s="94"/>
      <c r="CE309" s="94"/>
      <c r="CF309" s="94"/>
      <c r="CG309" s="94"/>
      <c r="CH309" s="94"/>
      <c r="CI309" s="94"/>
      <c r="CJ309" s="94"/>
      <c r="CK309" s="94"/>
      <c r="CL309" s="94"/>
      <c r="CM309" s="94"/>
      <c r="CN309" s="94"/>
      <c r="CO309" s="94"/>
      <c r="CP309" s="94"/>
      <c r="CQ309" s="94"/>
      <c r="CR309" s="94"/>
      <c r="CS309" s="94"/>
      <c r="CT309" s="94"/>
      <c r="CU309" s="94"/>
      <c r="CV309" s="94"/>
      <c r="CW309" s="94"/>
      <c r="CX309" s="94"/>
      <c r="CY309" s="94"/>
      <c r="CZ309" s="94"/>
    </row>
    <row r="310" spans="1:178" s="22" customFormat="1" ht="12.75" customHeight="1">
      <c r="A310" s="588"/>
      <c r="B310" s="573"/>
      <c r="C310" s="573"/>
      <c r="D310" s="573"/>
      <c r="E310" s="573"/>
      <c r="F310" s="573"/>
      <c r="G310" s="573"/>
      <c r="H310" s="573"/>
      <c r="I310" s="573"/>
      <c r="J310" s="573"/>
      <c r="K310" s="573"/>
      <c r="L310" s="573"/>
      <c r="M310" s="573"/>
      <c r="N310" s="573"/>
      <c r="O310" s="573"/>
      <c r="P310" s="573"/>
      <c r="Q310" s="573"/>
      <c r="R310" s="573"/>
      <c r="S310" s="573"/>
      <c r="T310" s="573"/>
      <c r="U310" s="573"/>
      <c r="V310" s="573"/>
      <c r="W310" s="573"/>
      <c r="X310" s="573"/>
      <c r="Y310" s="573"/>
      <c r="Z310" s="573"/>
      <c r="AA310" s="573"/>
      <c r="AB310" s="573"/>
      <c r="AC310" s="573"/>
      <c r="AD310" s="573"/>
      <c r="AE310" s="573"/>
      <c r="AF310" s="573"/>
      <c r="AG310" s="573"/>
      <c r="AH310" s="573"/>
      <c r="AI310" s="573"/>
      <c r="AJ310" s="573"/>
      <c r="AK310" s="573"/>
      <c r="AL310" s="573"/>
      <c r="AM310" s="707"/>
      <c r="AN310" s="707"/>
      <c r="AO310" s="573"/>
      <c r="AP310" s="887" t="s">
        <v>2655</v>
      </c>
      <c r="AQ310" s="887"/>
      <c r="AR310" s="887"/>
      <c r="AS310" s="887"/>
      <c r="AT310" s="887"/>
      <c r="AU310" s="887"/>
      <c r="AV310" s="887"/>
      <c r="AW310" s="887"/>
      <c r="AX310" s="887"/>
      <c r="AY310" s="887"/>
      <c r="AZ310" s="887"/>
      <c r="BA310" s="887"/>
      <c r="BB310" s="887"/>
      <c r="BC310" s="887"/>
      <c r="BD310" s="887"/>
      <c r="BE310" s="887"/>
      <c r="BF310" s="887"/>
      <c r="BG310" s="589"/>
      <c r="BH310" s="888" t="str">
        <f>IF(BG40="","",BG40)</f>
        <v>Incentive
(tons x $50 or $75)</v>
      </c>
      <c r="BI310" s="888"/>
      <c r="BJ310" s="267"/>
      <c r="BK310" s="1"/>
      <c r="BL310" s="1"/>
      <c r="BM310" s="1"/>
      <c r="BN310" s="1"/>
      <c r="BO310" s="94"/>
      <c r="BP310" s="94"/>
      <c r="BQ310" s="94"/>
      <c r="BR310" s="94"/>
      <c r="BS310" s="94"/>
      <c r="BT310" s="94"/>
      <c r="BU310" s="94"/>
      <c r="BV310" s="94"/>
      <c r="BW310" s="94"/>
      <c r="BX310" s="94"/>
      <c r="BY310" s="102"/>
      <c r="BZ310" s="102"/>
      <c r="CA310" s="102"/>
      <c r="CB310" s="102"/>
      <c r="CC310" s="102"/>
      <c r="CD310" s="102"/>
      <c r="CE310" s="102"/>
      <c r="CF310" s="102"/>
      <c r="CG310" s="102"/>
      <c r="CH310" s="102"/>
      <c r="CI310" s="102"/>
      <c r="CJ310" s="102"/>
      <c r="CK310" s="102"/>
      <c r="CL310" s="102"/>
      <c r="CM310" s="102"/>
      <c r="CN310" s="102"/>
      <c r="CO310" s="102"/>
      <c r="CP310" s="102"/>
      <c r="CQ310" s="102"/>
      <c r="CR310" s="102"/>
      <c r="CS310" s="102"/>
      <c r="CT310" s="102"/>
      <c r="CU310" s="102"/>
      <c r="CV310" s="102"/>
      <c r="CW310" s="102"/>
      <c r="CX310" s="102"/>
      <c r="CY310" s="102"/>
      <c r="CZ310" s="102"/>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row>
    <row r="311" spans="1:178" s="22" customFormat="1" ht="12.75" customHeight="1">
      <c r="A311" s="69"/>
      <c r="B311" s="284"/>
      <c r="C311" s="70"/>
      <c r="D311" s="284"/>
      <c r="E311" s="284"/>
      <c r="F311" s="285"/>
      <c r="G311" s="285"/>
      <c r="H311" s="285"/>
      <c r="I311" s="285"/>
      <c r="J311" s="285"/>
      <c r="K311" s="285"/>
      <c r="L311" s="285"/>
      <c r="M311" s="285"/>
      <c r="N311" s="285"/>
      <c r="O311" s="285"/>
      <c r="P311" s="285"/>
      <c r="Q311" s="284"/>
      <c r="R311" s="632"/>
      <c r="S311" s="632"/>
      <c r="T311" s="632"/>
      <c r="U311" s="632"/>
      <c r="V311" s="289"/>
      <c r="W311" s="632"/>
      <c r="X311" s="632"/>
      <c r="Y311" s="632"/>
      <c r="Z311" s="632"/>
      <c r="AA311" s="632"/>
      <c r="AB311" s="632"/>
      <c r="AC311" s="289"/>
      <c r="AD311" s="289"/>
      <c r="AE311" s="289"/>
      <c r="AF311" s="289"/>
      <c r="AG311" s="289"/>
      <c r="AH311" s="71"/>
      <c r="AI311" s="71" t="str">
        <f t="shared" ref="AI311:AJ322" si="126">IF(AI41="","",AI41)</f>
        <v>EER</v>
      </c>
      <c r="AJ311" s="289"/>
      <c r="AK311" s="72"/>
      <c r="AL311" s="289"/>
      <c r="AM311" s="289"/>
      <c r="AN311" s="289"/>
      <c r="AO311" s="289"/>
      <c r="AP311" s="880" t="str">
        <f>IF(AP41="","",AP41)</f>
        <v>10% Better Than Code</v>
      </c>
      <c r="AQ311" s="880" t="str">
        <f t="shared" ref="AQ311:AX311" si="127">IF(AQ41="","",AQ41)</f>
        <v/>
      </c>
      <c r="AR311" s="880" t="str">
        <f t="shared" si="127"/>
        <v/>
      </c>
      <c r="AS311" s="880" t="str">
        <f t="shared" si="127"/>
        <v/>
      </c>
      <c r="AT311" s="880"/>
      <c r="AU311" s="880"/>
      <c r="AV311" s="880" t="str">
        <f t="shared" si="127"/>
        <v/>
      </c>
      <c r="AW311" s="880" t="str">
        <f t="shared" si="127"/>
        <v/>
      </c>
      <c r="AX311" s="880" t="str">
        <f t="shared" si="127"/>
        <v/>
      </c>
      <c r="AY311" s="880" t="str">
        <f>IF(AY41="","",AY41)</f>
        <v>20% Better Than Code</v>
      </c>
      <c r="AZ311" s="880" t="str">
        <f t="shared" ref="AZ311:BG311" si="128">IF(AZ41="","",AZ41)</f>
        <v/>
      </c>
      <c r="BA311" s="880" t="str">
        <f t="shared" si="128"/>
        <v/>
      </c>
      <c r="BB311" s="880" t="str">
        <f t="shared" si="128"/>
        <v/>
      </c>
      <c r="BC311" s="880"/>
      <c r="BD311" s="880"/>
      <c r="BE311" s="880" t="str">
        <f t="shared" si="128"/>
        <v/>
      </c>
      <c r="BF311" s="880" t="str">
        <f t="shared" si="128"/>
        <v/>
      </c>
      <c r="BG311" s="880" t="str">
        <f t="shared" si="128"/>
        <v/>
      </c>
      <c r="BH311" s="736"/>
      <c r="BI311" s="736"/>
      <c r="BJ311" s="73"/>
      <c r="BK311" s="1"/>
      <c r="BL311" s="1"/>
      <c r="BM311" s="1"/>
      <c r="BN311" s="1"/>
      <c r="BO311" s="94"/>
      <c r="BP311" s="94"/>
      <c r="BQ311" s="94"/>
      <c r="BR311" s="94"/>
      <c r="BS311" s="94"/>
      <c r="BT311" s="94"/>
      <c r="BU311" s="94"/>
      <c r="BV311" s="94"/>
      <c r="BW311" s="94"/>
      <c r="BX311" s="94"/>
      <c r="BY311" s="102"/>
      <c r="BZ311" s="102"/>
      <c r="CA311" s="102"/>
      <c r="CB311" s="102"/>
      <c r="CC311" s="102"/>
      <c r="CD311" s="102"/>
      <c r="CE311" s="102"/>
      <c r="CF311" s="102"/>
      <c r="CG311" s="102"/>
      <c r="CH311" s="102"/>
      <c r="CI311" s="102"/>
      <c r="CJ311" s="102"/>
      <c r="CK311" s="102"/>
      <c r="CL311" s="102"/>
      <c r="CM311" s="102"/>
      <c r="CN311" s="102"/>
      <c r="CO311" s="102"/>
      <c r="CP311" s="102"/>
      <c r="CQ311" s="102"/>
      <c r="CR311" s="102"/>
      <c r="CS311" s="102"/>
      <c r="CT311" s="102"/>
      <c r="CU311" s="102"/>
      <c r="CV311" s="102"/>
      <c r="CW311" s="102"/>
      <c r="CX311" s="102"/>
      <c r="CY311" s="102"/>
      <c r="CZ311" s="102"/>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row>
    <row r="312" spans="1:178" s="22" customFormat="1" ht="27.6" customHeight="1">
      <c r="A312" s="69"/>
      <c r="B312" s="246" t="str">
        <f t="shared" ref="B312:D322" si="129">IF(B42="","",B42)</f>
        <v>Qty</v>
      </c>
      <c r="C312" s="412"/>
      <c r="D312" s="246" t="str">
        <f t="shared" si="129"/>
        <v>Tons</v>
      </c>
      <c r="E312" s="246"/>
      <c r="F312" s="246" t="str">
        <f t="shared" ref="F312:F322" si="130">IF(F42="","",F42)</f>
        <v>Description of Location</v>
      </c>
      <c r="G312" s="246"/>
      <c r="H312" s="246"/>
      <c r="I312" s="246"/>
      <c r="J312" s="246"/>
      <c r="K312" s="285"/>
      <c r="L312" s="285"/>
      <c r="M312" s="285"/>
      <c r="N312" s="285"/>
      <c r="O312" s="285"/>
      <c r="P312" s="285"/>
      <c r="Q312" s="284"/>
      <c r="R312" s="632"/>
      <c r="S312" s="632"/>
      <c r="T312" s="632"/>
      <c r="U312" s="632"/>
      <c r="V312" s="289"/>
      <c r="W312" s="632"/>
      <c r="X312" s="632"/>
      <c r="Y312" s="632"/>
      <c r="Z312" s="632"/>
      <c r="AA312" s="632"/>
      <c r="AB312" s="632"/>
      <c r="AC312" s="289"/>
      <c r="AD312" s="246" t="str">
        <f>IF(AD42="","",AD42)</f>
        <v>Model / Designation</v>
      </c>
      <c r="AE312" s="281"/>
      <c r="AF312" s="246"/>
      <c r="AG312" s="246"/>
      <c r="AH312" s="413"/>
      <c r="AI312" s="246" t="str">
        <f t="shared" si="126"/>
        <v>Actual Eff.</v>
      </c>
      <c r="AJ312" s="281"/>
      <c r="AK312" s="246"/>
      <c r="AL312" s="281"/>
      <c r="AM312" s="703"/>
      <c r="AN312" s="703"/>
      <c r="AO312" s="281"/>
      <c r="AP312" s="879" t="str">
        <f>IF(AP42="","",AP42)</f>
        <v>PTAC ($50/ton)</v>
      </c>
      <c r="AQ312" s="863"/>
      <c r="AR312" s="863"/>
      <c r="AS312" s="863"/>
      <c r="AT312" s="863"/>
      <c r="AU312" s="863"/>
      <c r="AV312" s="863"/>
      <c r="AW312" s="863"/>
      <c r="AX312" s="246"/>
      <c r="AY312" s="879" t="str">
        <f>IF(AY42="","",AY42)</f>
        <v>PTAC ($75/ ton)</v>
      </c>
      <c r="AZ312" s="863"/>
      <c r="BA312" s="863"/>
      <c r="BB312" s="863"/>
      <c r="BC312" s="863"/>
      <c r="BD312" s="863"/>
      <c r="BE312" s="863"/>
      <c r="BF312" s="863"/>
      <c r="BG312" s="246"/>
      <c r="BH312" s="736"/>
      <c r="BI312" s="736"/>
      <c r="BJ312" s="73"/>
      <c r="BK312" s="1"/>
      <c r="BL312" s="1"/>
      <c r="BM312" s="1"/>
      <c r="BN312" s="1"/>
      <c r="BO312" s="94"/>
      <c r="BP312" s="94"/>
      <c r="BQ312" s="94"/>
      <c r="BR312" s="94"/>
      <c r="BS312" s="94"/>
      <c r="BT312" s="94"/>
      <c r="BU312" s="94"/>
      <c r="BV312" s="94"/>
      <c r="BW312" s="94"/>
      <c r="BX312" s="94"/>
      <c r="BY312" s="102"/>
      <c r="BZ312" s="102"/>
      <c r="CA312" s="102"/>
      <c r="CB312" s="102"/>
      <c r="CC312" s="102"/>
      <c r="CD312" s="102"/>
      <c r="CE312" s="102"/>
      <c r="CF312" s="102"/>
      <c r="CG312" s="102"/>
      <c r="CH312" s="102"/>
      <c r="CI312" s="102"/>
      <c r="CJ312" s="102"/>
      <c r="CK312" s="102"/>
      <c r="CL312" s="102"/>
      <c r="CM312" s="102"/>
      <c r="CN312" s="102"/>
      <c r="CO312" s="102"/>
      <c r="CP312" s="102"/>
      <c r="CQ312" s="102"/>
      <c r="CR312" s="102"/>
      <c r="CS312" s="102"/>
      <c r="CT312" s="102"/>
      <c r="CU312" s="102"/>
      <c r="CV312" s="102"/>
      <c r="CW312" s="102"/>
      <c r="CX312" s="102"/>
      <c r="CY312" s="102"/>
      <c r="CZ312" s="102"/>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row>
    <row r="313" spans="1:178" ht="12.75" customHeight="1">
      <c r="A313" s="74"/>
      <c r="B313" s="287" t="str">
        <f t="shared" si="129"/>
        <v/>
      </c>
      <c r="C313" s="9"/>
      <c r="D313" s="287" t="str">
        <f t="shared" si="129"/>
        <v/>
      </c>
      <c r="E313" s="274"/>
      <c r="F313" s="883" t="str">
        <f t="shared" si="130"/>
        <v/>
      </c>
      <c r="G313" s="883"/>
      <c r="H313" s="883"/>
      <c r="I313" s="883"/>
      <c r="J313" s="883"/>
      <c r="K313" s="883"/>
      <c r="L313" s="883"/>
      <c r="M313" s="883"/>
      <c r="N313" s="883"/>
      <c r="O313" s="883"/>
      <c r="P313" s="883"/>
      <c r="Q313" s="883"/>
      <c r="R313" s="883"/>
      <c r="S313" s="883"/>
      <c r="T313" s="883"/>
      <c r="U313" s="883"/>
      <c r="V313" s="883"/>
      <c r="W313" s="883"/>
      <c r="X313" s="883"/>
      <c r="Y313" s="883"/>
      <c r="Z313" s="883"/>
      <c r="AA313" s="883"/>
      <c r="AB313" s="274"/>
      <c r="AC313" s="289"/>
      <c r="AD313" s="886" t="str">
        <f t="shared" ref="AD313:AD322" si="131">IF(AD43="","",AD43)</f>
        <v/>
      </c>
      <c r="AE313" s="886"/>
      <c r="AF313" s="886"/>
      <c r="AG313" s="886"/>
      <c r="AH313" s="9"/>
      <c r="AI313" s="287" t="str">
        <f t="shared" si="126"/>
        <v/>
      </c>
      <c r="AJ313" s="13" t="str">
        <f t="shared" si="126"/>
        <v/>
      </c>
      <c r="AK313" s="246"/>
      <c r="AL313" s="281"/>
      <c r="AM313" s="703"/>
      <c r="AN313" s="703"/>
      <c r="AO313" s="289"/>
      <c r="AP313" s="75" t="str">
        <f t="shared" ref="AP313:AS322" si="132">IF(AP43="","",AP43)</f>
        <v/>
      </c>
      <c r="AQ313" s="13" t="str">
        <f t="shared" si="132"/>
        <v/>
      </c>
      <c r="AR313" s="417" t="str">
        <f t="shared" si="132"/>
        <v/>
      </c>
      <c r="AS313" s="13" t="str">
        <f t="shared" si="132"/>
        <v/>
      </c>
      <c r="AT313" s="705"/>
      <c r="AU313" s="705"/>
      <c r="AV313" s="13"/>
      <c r="AW313" s="746" t="str">
        <f t="shared" ref="AW313:AW322" si="133">IF(AW43="","",AW43)</f>
        <v/>
      </c>
      <c r="AX313" s="746"/>
      <c r="AY313" s="75" t="str">
        <f t="shared" ref="AY313:BE322" si="134">IF(AY43="","",AY43)</f>
        <v/>
      </c>
      <c r="AZ313" s="13" t="str">
        <f t="shared" si="134"/>
        <v/>
      </c>
      <c r="BA313" s="417" t="str">
        <f t="shared" si="134"/>
        <v/>
      </c>
      <c r="BB313" s="13" t="str">
        <f t="shared" si="134"/>
        <v/>
      </c>
      <c r="BC313" s="705"/>
      <c r="BD313" s="705"/>
      <c r="BE313" s="746" t="str">
        <f t="shared" si="134"/>
        <v/>
      </c>
      <c r="BF313" s="746"/>
      <c r="BG313" s="13" t="s">
        <v>142</v>
      </c>
      <c r="BH313" s="884" t="str">
        <f t="shared" ref="BH313:BH324" si="135">IF(BH43="","",BH43)</f>
        <v/>
      </c>
      <c r="BI313" s="884"/>
      <c r="BJ313" s="590"/>
      <c r="BM313" s="296">
        <f>COUNTIF(AW312:AW322,"Qualified")+COUNTIF(BE312:BE322,"Qualified")</f>
        <v>0</v>
      </c>
      <c r="BO313" s="94"/>
      <c r="BP313" s="94"/>
      <c r="BQ313" s="94"/>
      <c r="BR313" s="94"/>
      <c r="BS313" s="94"/>
      <c r="BT313" s="94"/>
      <c r="BU313" s="94"/>
      <c r="BV313" s="94"/>
      <c r="BW313" s="94"/>
      <c r="BX313" s="94"/>
      <c r="BY313" s="94"/>
      <c r="BZ313" s="94"/>
      <c r="CA313" s="94"/>
      <c r="CB313" s="94"/>
      <c r="CC313" s="94"/>
      <c r="CD313" s="94"/>
      <c r="CE313" s="94"/>
      <c r="CF313" s="94"/>
      <c r="CG313" s="94"/>
      <c r="CH313" s="94"/>
      <c r="CI313" s="94"/>
      <c r="CJ313" s="94"/>
      <c r="CK313" s="94"/>
      <c r="CL313" s="94"/>
      <c r="CM313" s="94"/>
      <c r="CN313" s="94"/>
      <c r="CO313" s="94"/>
      <c r="CP313" s="94"/>
      <c r="CQ313" s="94"/>
      <c r="CR313" s="94"/>
      <c r="CS313" s="94"/>
      <c r="CT313" s="94"/>
      <c r="CU313" s="94"/>
      <c r="CV313" s="94"/>
      <c r="CW313" s="94"/>
      <c r="CX313" s="94"/>
      <c r="CY313" s="94"/>
      <c r="CZ313" s="94"/>
    </row>
    <row r="314" spans="1:178" ht="12.75" customHeight="1">
      <c r="A314" s="74"/>
      <c r="B314" s="288" t="str">
        <f t="shared" si="129"/>
        <v/>
      </c>
      <c r="C314" s="9"/>
      <c r="D314" s="288" t="str">
        <f t="shared" si="129"/>
        <v/>
      </c>
      <c r="E314" s="274"/>
      <c r="F314" s="883" t="str">
        <f t="shared" si="130"/>
        <v/>
      </c>
      <c r="G314" s="883"/>
      <c r="H314" s="883"/>
      <c r="I314" s="883"/>
      <c r="J314" s="883"/>
      <c r="K314" s="883"/>
      <c r="L314" s="883"/>
      <c r="M314" s="883"/>
      <c r="N314" s="883"/>
      <c r="O314" s="883"/>
      <c r="P314" s="883"/>
      <c r="Q314" s="883"/>
      <c r="R314" s="883"/>
      <c r="S314" s="883"/>
      <c r="T314" s="883"/>
      <c r="U314" s="883"/>
      <c r="V314" s="883"/>
      <c r="W314" s="883"/>
      <c r="X314" s="883"/>
      <c r="Y314" s="883"/>
      <c r="Z314" s="883"/>
      <c r="AA314" s="883"/>
      <c r="AB314" s="274"/>
      <c r="AC314" s="289"/>
      <c r="AD314" s="885" t="str">
        <f t="shared" si="131"/>
        <v/>
      </c>
      <c r="AE314" s="885"/>
      <c r="AF314" s="885"/>
      <c r="AG314" s="885"/>
      <c r="AH314" s="9"/>
      <c r="AI314" s="288" t="str">
        <f t="shared" si="126"/>
        <v/>
      </c>
      <c r="AJ314" s="13" t="str">
        <f t="shared" si="126"/>
        <v/>
      </c>
      <c r="AK314" s="246"/>
      <c r="AL314" s="281"/>
      <c r="AM314" s="703"/>
      <c r="AN314" s="703"/>
      <c r="AO314" s="289"/>
      <c r="AP314" s="273" t="str">
        <f t="shared" si="132"/>
        <v/>
      </c>
      <c r="AQ314" s="13" t="str">
        <f t="shared" si="132"/>
        <v/>
      </c>
      <c r="AR314" s="417" t="str">
        <f t="shared" si="132"/>
        <v/>
      </c>
      <c r="AS314" s="13" t="str">
        <f t="shared" si="132"/>
        <v/>
      </c>
      <c r="AT314" s="705"/>
      <c r="AU314" s="705"/>
      <c r="AV314" s="13"/>
      <c r="AW314" s="746" t="str">
        <f t="shared" si="133"/>
        <v/>
      </c>
      <c r="AX314" s="746"/>
      <c r="AY314" s="75" t="str">
        <f t="shared" si="134"/>
        <v/>
      </c>
      <c r="AZ314" s="13" t="str">
        <f t="shared" si="134"/>
        <v/>
      </c>
      <c r="BA314" s="417" t="str">
        <f t="shared" si="134"/>
        <v/>
      </c>
      <c r="BB314" s="13" t="str">
        <f t="shared" si="134"/>
        <v/>
      </c>
      <c r="BC314" s="705"/>
      <c r="BD314" s="705"/>
      <c r="BE314" s="746" t="str">
        <f t="shared" si="134"/>
        <v/>
      </c>
      <c r="BF314" s="746"/>
      <c r="BG314" s="13" t="s">
        <v>142</v>
      </c>
      <c r="BH314" s="884" t="str">
        <f t="shared" si="135"/>
        <v/>
      </c>
      <c r="BI314" s="884"/>
      <c r="BJ314" s="590"/>
      <c r="BO314" s="94"/>
      <c r="BP314" s="94"/>
      <c r="BQ314" s="94"/>
      <c r="BR314" s="94"/>
      <c r="BS314" s="94"/>
      <c r="BT314" s="94"/>
      <c r="BU314" s="94"/>
      <c r="BV314" s="94"/>
      <c r="BW314" s="94"/>
      <c r="BX314" s="94"/>
      <c r="BY314" s="94"/>
      <c r="BZ314" s="94"/>
      <c r="CA314" s="94"/>
      <c r="CB314" s="94"/>
      <c r="CC314" s="94"/>
      <c r="CD314" s="94"/>
      <c r="CE314" s="94"/>
      <c r="CF314" s="94"/>
      <c r="CG314" s="94"/>
      <c r="CH314" s="94"/>
      <c r="CI314" s="94"/>
      <c r="CJ314" s="94"/>
      <c r="CK314" s="94"/>
      <c r="CL314" s="94"/>
      <c r="CM314" s="94"/>
      <c r="CN314" s="94"/>
      <c r="CO314" s="94"/>
      <c r="CP314" s="94"/>
      <c r="CQ314" s="94"/>
      <c r="CR314" s="94"/>
      <c r="CS314" s="94"/>
      <c r="CT314" s="94"/>
      <c r="CU314" s="94"/>
      <c r="CV314" s="94"/>
      <c r="CW314" s="94"/>
      <c r="CX314" s="94"/>
      <c r="CY314" s="94"/>
      <c r="CZ314" s="94"/>
    </row>
    <row r="315" spans="1:178" ht="12.75">
      <c r="A315" s="74"/>
      <c r="B315" s="288" t="str">
        <f t="shared" si="129"/>
        <v/>
      </c>
      <c r="C315" s="9"/>
      <c r="D315" s="288" t="str">
        <f t="shared" si="129"/>
        <v/>
      </c>
      <c r="E315" s="274"/>
      <c r="F315" s="883" t="str">
        <f t="shared" si="130"/>
        <v/>
      </c>
      <c r="G315" s="883"/>
      <c r="H315" s="883"/>
      <c r="I315" s="883"/>
      <c r="J315" s="883"/>
      <c r="K315" s="883"/>
      <c r="L315" s="883"/>
      <c r="M315" s="883"/>
      <c r="N315" s="883"/>
      <c r="O315" s="883"/>
      <c r="P315" s="883"/>
      <c r="Q315" s="883"/>
      <c r="R315" s="883"/>
      <c r="S315" s="883"/>
      <c r="T315" s="883"/>
      <c r="U315" s="883"/>
      <c r="V315" s="883"/>
      <c r="W315" s="883"/>
      <c r="X315" s="883"/>
      <c r="Y315" s="883"/>
      <c r="Z315" s="883"/>
      <c r="AA315" s="883"/>
      <c r="AB315" s="274"/>
      <c r="AC315" s="289"/>
      <c r="AD315" s="885" t="str">
        <f t="shared" si="131"/>
        <v/>
      </c>
      <c r="AE315" s="885"/>
      <c r="AF315" s="885"/>
      <c r="AG315" s="885"/>
      <c r="AH315" s="9"/>
      <c r="AI315" s="288" t="str">
        <f t="shared" si="126"/>
        <v/>
      </c>
      <c r="AJ315" s="13" t="str">
        <f t="shared" si="126"/>
        <v/>
      </c>
      <c r="AK315" s="246"/>
      <c r="AL315" s="281"/>
      <c r="AM315" s="703"/>
      <c r="AN315" s="703"/>
      <c r="AO315" s="289"/>
      <c r="AP315" s="273" t="str">
        <f t="shared" si="132"/>
        <v/>
      </c>
      <c r="AQ315" s="13" t="str">
        <f t="shared" si="132"/>
        <v/>
      </c>
      <c r="AR315" s="417" t="str">
        <f t="shared" si="132"/>
        <v/>
      </c>
      <c r="AS315" s="13" t="str">
        <f t="shared" si="132"/>
        <v/>
      </c>
      <c r="AT315" s="705"/>
      <c r="AU315" s="705"/>
      <c r="AV315" s="13"/>
      <c r="AW315" s="746" t="str">
        <f t="shared" si="133"/>
        <v/>
      </c>
      <c r="AX315" s="746"/>
      <c r="AY315" s="75" t="str">
        <f t="shared" si="134"/>
        <v/>
      </c>
      <c r="AZ315" s="13" t="str">
        <f t="shared" si="134"/>
        <v/>
      </c>
      <c r="BA315" s="417" t="str">
        <f t="shared" si="134"/>
        <v/>
      </c>
      <c r="BB315" s="13" t="str">
        <f t="shared" si="134"/>
        <v/>
      </c>
      <c r="BC315" s="705"/>
      <c r="BD315" s="705"/>
      <c r="BE315" s="746" t="str">
        <f t="shared" si="134"/>
        <v/>
      </c>
      <c r="BF315" s="746"/>
      <c r="BG315" s="13" t="s">
        <v>142</v>
      </c>
      <c r="BH315" s="884" t="str">
        <f t="shared" si="135"/>
        <v/>
      </c>
      <c r="BI315" s="884"/>
      <c r="BJ315" s="590"/>
      <c r="BO315" s="94"/>
      <c r="BP315" s="94"/>
      <c r="BQ315" s="94"/>
      <c r="BR315" s="94"/>
      <c r="BS315" s="94"/>
      <c r="BT315" s="94"/>
      <c r="BU315" s="94"/>
      <c r="BV315" s="94"/>
      <c r="BW315" s="94"/>
      <c r="BX315" s="94"/>
      <c r="BY315" s="94"/>
      <c r="BZ315" s="94"/>
      <c r="CA315" s="94"/>
      <c r="CB315" s="94"/>
      <c r="CC315" s="94"/>
      <c r="CD315" s="94"/>
      <c r="CE315" s="94"/>
      <c r="CF315" s="94"/>
      <c r="CG315" s="94"/>
      <c r="CH315" s="94"/>
      <c r="CI315" s="94"/>
      <c r="CJ315" s="94"/>
      <c r="CK315" s="94"/>
      <c r="CL315" s="94"/>
      <c r="CM315" s="94"/>
      <c r="CN315" s="94"/>
      <c r="CO315" s="94"/>
      <c r="CP315" s="94"/>
      <c r="CQ315" s="94"/>
      <c r="CR315" s="94"/>
      <c r="CS315" s="94"/>
      <c r="CT315" s="94"/>
      <c r="CU315" s="94"/>
      <c r="CV315" s="94"/>
      <c r="CW315" s="94"/>
      <c r="CX315" s="94"/>
      <c r="CY315" s="94"/>
      <c r="CZ315" s="94"/>
    </row>
    <row r="316" spans="1:178" ht="12.75">
      <c r="A316" s="74"/>
      <c r="B316" s="288" t="str">
        <f t="shared" si="129"/>
        <v/>
      </c>
      <c r="C316" s="9"/>
      <c r="D316" s="288" t="str">
        <f t="shared" si="129"/>
        <v/>
      </c>
      <c r="E316" s="274"/>
      <c r="F316" s="883" t="str">
        <f t="shared" si="130"/>
        <v/>
      </c>
      <c r="G316" s="883"/>
      <c r="H316" s="883"/>
      <c r="I316" s="883"/>
      <c r="J316" s="883"/>
      <c r="K316" s="883"/>
      <c r="L316" s="883"/>
      <c r="M316" s="883"/>
      <c r="N316" s="883"/>
      <c r="O316" s="883"/>
      <c r="P316" s="883"/>
      <c r="Q316" s="883"/>
      <c r="R316" s="883"/>
      <c r="S316" s="883"/>
      <c r="T316" s="883"/>
      <c r="U316" s="883"/>
      <c r="V316" s="883"/>
      <c r="W316" s="883"/>
      <c r="X316" s="883"/>
      <c r="Y316" s="883"/>
      <c r="Z316" s="883"/>
      <c r="AA316" s="883"/>
      <c r="AB316" s="274"/>
      <c r="AC316" s="289"/>
      <c r="AD316" s="885" t="str">
        <f t="shared" si="131"/>
        <v/>
      </c>
      <c r="AE316" s="885"/>
      <c r="AF316" s="885"/>
      <c r="AG316" s="885"/>
      <c r="AH316" s="9"/>
      <c r="AI316" s="288" t="str">
        <f t="shared" si="126"/>
        <v/>
      </c>
      <c r="AJ316" s="13" t="str">
        <f t="shared" si="126"/>
        <v/>
      </c>
      <c r="AK316" s="246"/>
      <c r="AL316" s="281"/>
      <c r="AM316" s="703"/>
      <c r="AN316" s="703"/>
      <c r="AO316" s="289"/>
      <c r="AP316" s="273" t="str">
        <f t="shared" si="132"/>
        <v/>
      </c>
      <c r="AQ316" s="13" t="str">
        <f t="shared" si="132"/>
        <v/>
      </c>
      <c r="AR316" s="417" t="str">
        <f t="shared" si="132"/>
        <v/>
      </c>
      <c r="AS316" s="13" t="str">
        <f t="shared" si="132"/>
        <v/>
      </c>
      <c r="AT316" s="705"/>
      <c r="AU316" s="705"/>
      <c r="AV316" s="13"/>
      <c r="AW316" s="746" t="str">
        <f t="shared" si="133"/>
        <v/>
      </c>
      <c r="AX316" s="746"/>
      <c r="AY316" s="75" t="str">
        <f t="shared" si="134"/>
        <v/>
      </c>
      <c r="AZ316" s="13" t="str">
        <f t="shared" si="134"/>
        <v/>
      </c>
      <c r="BA316" s="417" t="str">
        <f t="shared" si="134"/>
        <v/>
      </c>
      <c r="BB316" s="13" t="str">
        <f t="shared" si="134"/>
        <v/>
      </c>
      <c r="BC316" s="705"/>
      <c r="BD316" s="705"/>
      <c r="BE316" s="746" t="str">
        <f t="shared" si="134"/>
        <v/>
      </c>
      <c r="BF316" s="746"/>
      <c r="BG316" s="13" t="s">
        <v>142</v>
      </c>
      <c r="BH316" s="884" t="str">
        <f t="shared" si="135"/>
        <v/>
      </c>
      <c r="BI316" s="884"/>
      <c r="BJ316" s="590"/>
      <c r="BO316" s="94"/>
      <c r="BP316" s="94"/>
      <c r="BQ316" s="94"/>
      <c r="BR316" s="94"/>
      <c r="BS316" s="94"/>
      <c r="BT316" s="94"/>
      <c r="BU316" s="94"/>
      <c r="BV316" s="94"/>
      <c r="BW316" s="94"/>
      <c r="BX316" s="94"/>
      <c r="BY316" s="94"/>
      <c r="BZ316" s="94"/>
      <c r="CA316" s="94"/>
      <c r="CB316" s="94"/>
      <c r="CC316" s="94"/>
      <c r="CD316" s="94"/>
      <c r="CE316" s="94"/>
      <c r="CF316" s="94"/>
      <c r="CG316" s="94"/>
      <c r="CH316" s="94"/>
      <c r="CI316" s="94"/>
      <c r="CJ316" s="94"/>
      <c r="CK316" s="94"/>
      <c r="CL316" s="94"/>
      <c r="CM316" s="94"/>
      <c r="CN316" s="94"/>
      <c r="CO316" s="94"/>
      <c r="CP316" s="94"/>
      <c r="CQ316" s="94"/>
      <c r="CR316" s="94"/>
      <c r="CS316" s="94"/>
      <c r="CT316" s="94"/>
      <c r="CU316" s="94"/>
      <c r="CV316" s="94"/>
      <c r="CW316" s="94"/>
      <c r="CX316" s="94"/>
      <c r="CY316" s="94"/>
      <c r="CZ316" s="94"/>
    </row>
    <row r="317" spans="1:178" ht="12.75">
      <c r="A317" s="74"/>
      <c r="B317" s="288" t="str">
        <f t="shared" si="129"/>
        <v/>
      </c>
      <c r="C317" s="9"/>
      <c r="D317" s="288" t="str">
        <f t="shared" si="129"/>
        <v/>
      </c>
      <c r="E317" s="274"/>
      <c r="F317" s="883" t="str">
        <f t="shared" si="130"/>
        <v/>
      </c>
      <c r="G317" s="883"/>
      <c r="H317" s="883"/>
      <c r="I317" s="883"/>
      <c r="J317" s="883"/>
      <c r="K317" s="883"/>
      <c r="L317" s="883"/>
      <c r="M317" s="883"/>
      <c r="N317" s="883"/>
      <c r="O317" s="883"/>
      <c r="P317" s="883"/>
      <c r="Q317" s="883"/>
      <c r="R317" s="883"/>
      <c r="S317" s="883"/>
      <c r="T317" s="883"/>
      <c r="U317" s="883"/>
      <c r="V317" s="883"/>
      <c r="W317" s="883"/>
      <c r="X317" s="883"/>
      <c r="Y317" s="883"/>
      <c r="Z317" s="883"/>
      <c r="AA317" s="883"/>
      <c r="AB317" s="274"/>
      <c r="AC317" s="289"/>
      <c r="AD317" s="885" t="str">
        <f t="shared" si="131"/>
        <v/>
      </c>
      <c r="AE317" s="885"/>
      <c r="AF317" s="885"/>
      <c r="AG317" s="885"/>
      <c r="AH317" s="9"/>
      <c r="AI317" s="288" t="str">
        <f t="shared" si="126"/>
        <v/>
      </c>
      <c r="AJ317" s="13" t="str">
        <f t="shared" si="126"/>
        <v/>
      </c>
      <c r="AK317" s="246"/>
      <c r="AL317" s="281"/>
      <c r="AM317" s="703"/>
      <c r="AN317" s="703"/>
      <c r="AO317" s="289"/>
      <c r="AP317" s="273" t="str">
        <f t="shared" si="132"/>
        <v/>
      </c>
      <c r="AQ317" s="13" t="str">
        <f t="shared" si="132"/>
        <v/>
      </c>
      <c r="AR317" s="417" t="str">
        <f t="shared" si="132"/>
        <v/>
      </c>
      <c r="AS317" s="13" t="str">
        <f t="shared" si="132"/>
        <v/>
      </c>
      <c r="AT317" s="705"/>
      <c r="AU317" s="705"/>
      <c r="AV317" s="13"/>
      <c r="AW317" s="746" t="str">
        <f t="shared" si="133"/>
        <v/>
      </c>
      <c r="AX317" s="746"/>
      <c r="AY317" s="75" t="str">
        <f t="shared" si="134"/>
        <v/>
      </c>
      <c r="AZ317" s="13" t="str">
        <f t="shared" si="134"/>
        <v/>
      </c>
      <c r="BA317" s="417" t="str">
        <f t="shared" si="134"/>
        <v/>
      </c>
      <c r="BB317" s="13" t="str">
        <f t="shared" si="134"/>
        <v/>
      </c>
      <c r="BC317" s="705"/>
      <c r="BD317" s="705"/>
      <c r="BE317" s="746" t="str">
        <f t="shared" si="134"/>
        <v/>
      </c>
      <c r="BF317" s="746"/>
      <c r="BG317" s="13" t="s">
        <v>142</v>
      </c>
      <c r="BH317" s="884" t="str">
        <f t="shared" si="135"/>
        <v/>
      </c>
      <c r="BI317" s="884"/>
      <c r="BJ317" s="590"/>
      <c r="BO317" s="94"/>
      <c r="BP317" s="94"/>
      <c r="BQ317" s="94"/>
      <c r="BR317" s="94"/>
      <c r="BS317" s="94"/>
      <c r="BT317" s="94"/>
      <c r="BU317" s="94"/>
      <c r="BV317" s="94"/>
      <c r="BW317" s="94"/>
      <c r="BX317" s="94"/>
      <c r="BY317" s="94"/>
      <c r="BZ317" s="94"/>
      <c r="CA317" s="94"/>
      <c r="CB317" s="94"/>
      <c r="CC317" s="94"/>
      <c r="CD317" s="94"/>
      <c r="CE317" s="94"/>
      <c r="CF317" s="94"/>
      <c r="CG317" s="94"/>
      <c r="CH317" s="94"/>
      <c r="CI317" s="94"/>
      <c r="CJ317" s="94"/>
      <c r="CK317" s="94"/>
      <c r="CL317" s="94"/>
      <c r="CM317" s="94"/>
      <c r="CN317" s="94"/>
      <c r="CO317" s="94"/>
      <c r="CP317" s="94"/>
      <c r="CQ317" s="94"/>
      <c r="CR317" s="94"/>
      <c r="CS317" s="94"/>
      <c r="CT317" s="94"/>
      <c r="CU317" s="94"/>
      <c r="CV317" s="94"/>
      <c r="CW317" s="94"/>
      <c r="CX317" s="94"/>
      <c r="CY317" s="94"/>
      <c r="CZ317" s="94"/>
    </row>
    <row r="318" spans="1:178" ht="12.75">
      <c r="A318" s="74"/>
      <c r="B318" s="288" t="str">
        <f t="shared" si="129"/>
        <v/>
      </c>
      <c r="C318" s="9"/>
      <c r="D318" s="288" t="str">
        <f t="shared" si="129"/>
        <v/>
      </c>
      <c r="E318" s="274"/>
      <c r="F318" s="883" t="str">
        <f t="shared" si="130"/>
        <v/>
      </c>
      <c r="G318" s="883"/>
      <c r="H318" s="883"/>
      <c r="I318" s="883"/>
      <c r="J318" s="883"/>
      <c r="K318" s="883"/>
      <c r="L318" s="883"/>
      <c r="M318" s="883"/>
      <c r="N318" s="883"/>
      <c r="O318" s="883"/>
      <c r="P318" s="883"/>
      <c r="Q318" s="883"/>
      <c r="R318" s="883"/>
      <c r="S318" s="883"/>
      <c r="T318" s="883"/>
      <c r="U318" s="883"/>
      <c r="V318" s="883"/>
      <c r="W318" s="883"/>
      <c r="X318" s="883"/>
      <c r="Y318" s="883"/>
      <c r="Z318" s="883"/>
      <c r="AA318" s="883"/>
      <c r="AB318" s="274"/>
      <c r="AC318" s="289"/>
      <c r="AD318" s="885" t="str">
        <f t="shared" si="131"/>
        <v/>
      </c>
      <c r="AE318" s="885"/>
      <c r="AF318" s="885"/>
      <c r="AG318" s="885"/>
      <c r="AH318" s="9"/>
      <c r="AI318" s="288" t="str">
        <f t="shared" si="126"/>
        <v/>
      </c>
      <c r="AJ318" s="13" t="str">
        <f t="shared" si="126"/>
        <v/>
      </c>
      <c r="AK318" s="246"/>
      <c r="AL318" s="281"/>
      <c r="AM318" s="703"/>
      <c r="AN318" s="703"/>
      <c r="AO318" s="289"/>
      <c r="AP318" s="273" t="str">
        <f t="shared" si="132"/>
        <v/>
      </c>
      <c r="AQ318" s="13" t="str">
        <f t="shared" si="132"/>
        <v/>
      </c>
      <c r="AR318" s="417" t="str">
        <f t="shared" si="132"/>
        <v/>
      </c>
      <c r="AS318" s="13" t="str">
        <f t="shared" si="132"/>
        <v/>
      </c>
      <c r="AT318" s="705"/>
      <c r="AU318" s="705"/>
      <c r="AV318" s="13"/>
      <c r="AW318" s="746" t="str">
        <f t="shared" si="133"/>
        <v/>
      </c>
      <c r="AX318" s="746"/>
      <c r="AY318" s="75" t="str">
        <f t="shared" si="134"/>
        <v/>
      </c>
      <c r="AZ318" s="13" t="str">
        <f t="shared" si="134"/>
        <v/>
      </c>
      <c r="BA318" s="417" t="str">
        <f t="shared" si="134"/>
        <v/>
      </c>
      <c r="BB318" s="13" t="str">
        <f t="shared" si="134"/>
        <v/>
      </c>
      <c r="BC318" s="705"/>
      <c r="BD318" s="705"/>
      <c r="BE318" s="746" t="str">
        <f t="shared" si="134"/>
        <v/>
      </c>
      <c r="BF318" s="746"/>
      <c r="BG318" s="13" t="s">
        <v>142</v>
      </c>
      <c r="BH318" s="884" t="str">
        <f t="shared" si="135"/>
        <v/>
      </c>
      <c r="BI318" s="884"/>
      <c r="BJ318" s="590"/>
      <c r="BO318" s="94"/>
      <c r="BP318" s="94"/>
      <c r="BQ318" s="94"/>
      <c r="BR318" s="94"/>
      <c r="BS318" s="94"/>
      <c r="BT318" s="94"/>
      <c r="BU318" s="94"/>
      <c r="BV318" s="94"/>
      <c r="BW318" s="94"/>
      <c r="BX318" s="94"/>
      <c r="BY318" s="94"/>
      <c r="BZ318" s="94"/>
      <c r="CA318" s="94"/>
      <c r="CB318" s="94"/>
      <c r="CC318" s="94"/>
      <c r="CD318" s="94"/>
      <c r="CE318" s="94"/>
      <c r="CF318" s="94"/>
      <c r="CG318" s="94"/>
      <c r="CH318" s="94"/>
      <c r="CI318" s="94"/>
      <c r="CJ318" s="94"/>
      <c r="CK318" s="94"/>
      <c r="CL318" s="94"/>
      <c r="CM318" s="94"/>
      <c r="CN318" s="94"/>
      <c r="CO318" s="94"/>
      <c r="CP318" s="94"/>
      <c r="CQ318" s="94"/>
      <c r="CR318" s="94"/>
      <c r="CS318" s="94"/>
      <c r="CT318" s="94"/>
      <c r="CU318" s="94"/>
      <c r="CV318" s="94"/>
      <c r="CW318" s="94"/>
      <c r="CX318" s="94"/>
      <c r="CY318" s="94"/>
      <c r="CZ318" s="94"/>
    </row>
    <row r="319" spans="1:178" ht="12.75">
      <c r="A319" s="74"/>
      <c r="B319" s="288" t="str">
        <f t="shared" si="129"/>
        <v/>
      </c>
      <c r="C319" s="9"/>
      <c r="D319" s="288" t="str">
        <f t="shared" si="129"/>
        <v/>
      </c>
      <c r="E319" s="274"/>
      <c r="F319" s="883" t="str">
        <f t="shared" si="130"/>
        <v/>
      </c>
      <c r="G319" s="883"/>
      <c r="H319" s="883"/>
      <c r="I319" s="883"/>
      <c r="J319" s="883"/>
      <c r="K319" s="883"/>
      <c r="L319" s="883"/>
      <c r="M319" s="883"/>
      <c r="N319" s="883"/>
      <c r="O319" s="883"/>
      <c r="P319" s="883"/>
      <c r="Q319" s="883"/>
      <c r="R319" s="883"/>
      <c r="S319" s="883"/>
      <c r="T319" s="883"/>
      <c r="U319" s="883"/>
      <c r="V319" s="883"/>
      <c r="W319" s="883"/>
      <c r="X319" s="883"/>
      <c r="Y319" s="883"/>
      <c r="Z319" s="883"/>
      <c r="AA319" s="883"/>
      <c r="AB319" s="274"/>
      <c r="AC319" s="289"/>
      <c r="AD319" s="885" t="str">
        <f t="shared" si="131"/>
        <v/>
      </c>
      <c r="AE319" s="885"/>
      <c r="AF319" s="885"/>
      <c r="AG319" s="885"/>
      <c r="AH319" s="9"/>
      <c r="AI319" s="288" t="str">
        <f t="shared" si="126"/>
        <v/>
      </c>
      <c r="AJ319" s="13" t="str">
        <f t="shared" si="126"/>
        <v/>
      </c>
      <c r="AK319" s="246"/>
      <c r="AL319" s="281"/>
      <c r="AM319" s="703"/>
      <c r="AN319" s="703"/>
      <c r="AO319" s="289"/>
      <c r="AP319" s="273" t="str">
        <f t="shared" si="132"/>
        <v/>
      </c>
      <c r="AQ319" s="13" t="str">
        <f t="shared" si="132"/>
        <v/>
      </c>
      <c r="AR319" s="417" t="str">
        <f t="shared" si="132"/>
        <v/>
      </c>
      <c r="AS319" s="13" t="str">
        <f t="shared" si="132"/>
        <v/>
      </c>
      <c r="AT319" s="705"/>
      <c r="AU319" s="705"/>
      <c r="AV319" s="13"/>
      <c r="AW319" s="746" t="str">
        <f t="shared" si="133"/>
        <v/>
      </c>
      <c r="AX319" s="746"/>
      <c r="AY319" s="75" t="str">
        <f t="shared" si="134"/>
        <v/>
      </c>
      <c r="AZ319" s="13" t="str">
        <f t="shared" si="134"/>
        <v/>
      </c>
      <c r="BA319" s="417" t="str">
        <f t="shared" si="134"/>
        <v/>
      </c>
      <c r="BB319" s="13" t="str">
        <f t="shared" si="134"/>
        <v/>
      </c>
      <c r="BC319" s="705"/>
      <c r="BD319" s="705"/>
      <c r="BE319" s="746" t="str">
        <f t="shared" si="134"/>
        <v/>
      </c>
      <c r="BF319" s="746"/>
      <c r="BG319" s="13" t="s">
        <v>142</v>
      </c>
      <c r="BH319" s="884" t="str">
        <f t="shared" si="135"/>
        <v/>
      </c>
      <c r="BI319" s="884"/>
      <c r="BJ319" s="590"/>
      <c r="BO319" s="94"/>
      <c r="BP319" s="94"/>
      <c r="BQ319" s="94"/>
      <c r="BR319" s="94"/>
      <c r="BS319" s="94"/>
      <c r="BT319" s="94"/>
      <c r="BU319" s="94"/>
      <c r="BV319" s="94"/>
      <c r="BW319" s="94"/>
      <c r="BX319" s="94"/>
      <c r="BY319" s="94"/>
      <c r="BZ319" s="94"/>
      <c r="CA319" s="94"/>
      <c r="CB319" s="94"/>
      <c r="CC319" s="94"/>
      <c r="CD319" s="94"/>
      <c r="CE319" s="94"/>
      <c r="CF319" s="94"/>
      <c r="CG319" s="94"/>
      <c r="CH319" s="94"/>
      <c r="CI319" s="94"/>
      <c r="CJ319" s="94"/>
      <c r="CK319" s="94"/>
      <c r="CL319" s="94"/>
      <c r="CM319" s="94"/>
      <c r="CN319" s="94"/>
      <c r="CO319" s="94"/>
      <c r="CP319" s="94"/>
      <c r="CQ319" s="94"/>
      <c r="CR319" s="94"/>
      <c r="CS319" s="94"/>
      <c r="CT319" s="94"/>
      <c r="CU319" s="94"/>
      <c r="CV319" s="94"/>
      <c r="CW319" s="94"/>
      <c r="CX319" s="94"/>
      <c r="CY319" s="94"/>
      <c r="CZ319" s="94"/>
    </row>
    <row r="320" spans="1:178" ht="12.75">
      <c r="A320" s="74"/>
      <c r="B320" s="288" t="str">
        <f t="shared" si="129"/>
        <v/>
      </c>
      <c r="C320" s="9"/>
      <c r="D320" s="288" t="str">
        <f t="shared" si="129"/>
        <v/>
      </c>
      <c r="E320" s="274"/>
      <c r="F320" s="883" t="str">
        <f t="shared" si="130"/>
        <v/>
      </c>
      <c r="G320" s="883"/>
      <c r="H320" s="883"/>
      <c r="I320" s="883"/>
      <c r="J320" s="883"/>
      <c r="K320" s="883"/>
      <c r="L320" s="883"/>
      <c r="M320" s="883"/>
      <c r="N320" s="883"/>
      <c r="O320" s="883"/>
      <c r="P320" s="883"/>
      <c r="Q320" s="883"/>
      <c r="R320" s="883"/>
      <c r="S320" s="883"/>
      <c r="T320" s="883"/>
      <c r="U320" s="883"/>
      <c r="V320" s="883"/>
      <c r="W320" s="883"/>
      <c r="X320" s="883"/>
      <c r="Y320" s="883"/>
      <c r="Z320" s="883"/>
      <c r="AA320" s="883"/>
      <c r="AB320" s="274"/>
      <c r="AC320" s="289"/>
      <c r="AD320" s="885" t="str">
        <f t="shared" si="131"/>
        <v/>
      </c>
      <c r="AE320" s="885"/>
      <c r="AF320" s="885"/>
      <c r="AG320" s="885"/>
      <c r="AH320" s="9"/>
      <c r="AI320" s="288" t="str">
        <f t="shared" si="126"/>
        <v/>
      </c>
      <c r="AJ320" s="13" t="str">
        <f t="shared" si="126"/>
        <v/>
      </c>
      <c r="AK320" s="246"/>
      <c r="AL320" s="281"/>
      <c r="AM320" s="703"/>
      <c r="AN320" s="703"/>
      <c r="AO320" s="289"/>
      <c r="AP320" s="273" t="str">
        <f t="shared" si="132"/>
        <v/>
      </c>
      <c r="AQ320" s="13" t="str">
        <f t="shared" si="132"/>
        <v/>
      </c>
      <c r="AR320" s="417" t="str">
        <f t="shared" si="132"/>
        <v/>
      </c>
      <c r="AS320" s="13" t="str">
        <f t="shared" si="132"/>
        <v/>
      </c>
      <c r="AT320" s="705"/>
      <c r="AU320" s="705"/>
      <c r="AV320" s="13"/>
      <c r="AW320" s="746" t="str">
        <f t="shared" si="133"/>
        <v/>
      </c>
      <c r="AX320" s="746"/>
      <c r="AY320" s="75" t="str">
        <f t="shared" si="134"/>
        <v/>
      </c>
      <c r="AZ320" s="13" t="str">
        <f t="shared" si="134"/>
        <v/>
      </c>
      <c r="BA320" s="417" t="str">
        <f t="shared" si="134"/>
        <v/>
      </c>
      <c r="BB320" s="13" t="str">
        <f t="shared" si="134"/>
        <v/>
      </c>
      <c r="BC320" s="705"/>
      <c r="BD320" s="705"/>
      <c r="BE320" s="746" t="str">
        <f t="shared" si="134"/>
        <v/>
      </c>
      <c r="BF320" s="746"/>
      <c r="BG320" s="13" t="s">
        <v>142</v>
      </c>
      <c r="BH320" s="884" t="str">
        <f t="shared" si="135"/>
        <v/>
      </c>
      <c r="BI320" s="884"/>
      <c r="BJ320" s="590"/>
      <c r="BO320" s="94"/>
      <c r="BP320" s="94"/>
      <c r="BQ320" s="94"/>
      <c r="BR320" s="94"/>
      <c r="BS320" s="94"/>
      <c r="BT320" s="94"/>
      <c r="BU320" s="94"/>
      <c r="BV320" s="94"/>
      <c r="BW320" s="94"/>
      <c r="BX320" s="94"/>
      <c r="BY320" s="94"/>
      <c r="BZ320" s="94"/>
      <c r="CA320" s="94"/>
      <c r="CB320" s="94"/>
      <c r="CC320" s="94"/>
      <c r="CD320" s="94"/>
      <c r="CE320" s="94"/>
      <c r="CF320" s="94"/>
      <c r="CG320" s="94"/>
      <c r="CH320" s="94"/>
      <c r="CI320" s="94"/>
      <c r="CJ320" s="94"/>
      <c r="CK320" s="94"/>
      <c r="CL320" s="94"/>
      <c r="CM320" s="94"/>
      <c r="CN320" s="94"/>
      <c r="CO320" s="94"/>
      <c r="CP320" s="94"/>
      <c r="CQ320" s="94"/>
      <c r="CR320" s="94"/>
      <c r="CS320" s="94"/>
      <c r="CT320" s="94"/>
      <c r="CU320" s="94"/>
      <c r="CV320" s="94"/>
      <c r="CW320" s="94"/>
      <c r="CX320" s="94"/>
      <c r="CY320" s="94"/>
      <c r="CZ320" s="94"/>
    </row>
    <row r="321" spans="1:178" ht="12.75">
      <c r="A321" s="74"/>
      <c r="B321" s="288" t="str">
        <f t="shared" si="129"/>
        <v/>
      </c>
      <c r="C321" s="9"/>
      <c r="D321" s="288" t="str">
        <f t="shared" si="129"/>
        <v/>
      </c>
      <c r="E321" s="274"/>
      <c r="F321" s="883" t="str">
        <f t="shared" si="130"/>
        <v/>
      </c>
      <c r="G321" s="883"/>
      <c r="H321" s="883"/>
      <c r="I321" s="883"/>
      <c r="J321" s="883"/>
      <c r="K321" s="883"/>
      <c r="L321" s="883"/>
      <c r="M321" s="883"/>
      <c r="N321" s="883"/>
      <c r="O321" s="883"/>
      <c r="P321" s="883"/>
      <c r="Q321" s="883"/>
      <c r="R321" s="883"/>
      <c r="S321" s="883"/>
      <c r="T321" s="883"/>
      <c r="U321" s="883"/>
      <c r="V321" s="883"/>
      <c r="W321" s="883"/>
      <c r="X321" s="883"/>
      <c r="Y321" s="883"/>
      <c r="Z321" s="883"/>
      <c r="AA321" s="883"/>
      <c r="AB321" s="274"/>
      <c r="AC321" s="289"/>
      <c r="AD321" s="885" t="str">
        <f t="shared" si="131"/>
        <v/>
      </c>
      <c r="AE321" s="885"/>
      <c r="AF321" s="885"/>
      <c r="AG321" s="885"/>
      <c r="AH321" s="9"/>
      <c r="AI321" s="288" t="str">
        <f t="shared" si="126"/>
        <v/>
      </c>
      <c r="AJ321" s="13" t="str">
        <f t="shared" si="126"/>
        <v/>
      </c>
      <c r="AK321" s="246"/>
      <c r="AL321" s="281"/>
      <c r="AM321" s="703"/>
      <c r="AN321" s="703"/>
      <c r="AO321" s="289"/>
      <c r="AP321" s="273" t="str">
        <f t="shared" si="132"/>
        <v/>
      </c>
      <c r="AQ321" s="13" t="str">
        <f t="shared" si="132"/>
        <v/>
      </c>
      <c r="AR321" s="417" t="str">
        <f t="shared" si="132"/>
        <v/>
      </c>
      <c r="AS321" s="13" t="str">
        <f t="shared" si="132"/>
        <v/>
      </c>
      <c r="AT321" s="705"/>
      <c r="AU321" s="705"/>
      <c r="AV321" s="13"/>
      <c r="AW321" s="746" t="str">
        <f t="shared" si="133"/>
        <v/>
      </c>
      <c r="AX321" s="746"/>
      <c r="AY321" s="75" t="str">
        <f t="shared" si="134"/>
        <v/>
      </c>
      <c r="AZ321" s="13" t="str">
        <f t="shared" si="134"/>
        <v/>
      </c>
      <c r="BA321" s="417" t="str">
        <f t="shared" si="134"/>
        <v/>
      </c>
      <c r="BB321" s="13" t="str">
        <f t="shared" si="134"/>
        <v/>
      </c>
      <c r="BC321" s="705"/>
      <c r="BD321" s="705"/>
      <c r="BE321" s="746" t="str">
        <f t="shared" si="134"/>
        <v/>
      </c>
      <c r="BF321" s="746"/>
      <c r="BG321" s="13" t="s">
        <v>142</v>
      </c>
      <c r="BH321" s="884" t="str">
        <f t="shared" si="135"/>
        <v/>
      </c>
      <c r="BI321" s="884"/>
      <c r="BJ321" s="590"/>
      <c r="BO321" s="94"/>
      <c r="BP321" s="94"/>
      <c r="BQ321" s="94"/>
      <c r="BR321" s="94"/>
      <c r="BS321" s="94"/>
      <c r="BT321" s="94"/>
      <c r="BU321" s="94"/>
      <c r="BV321" s="94"/>
      <c r="BW321" s="94"/>
      <c r="BX321" s="94"/>
      <c r="BY321" s="94"/>
      <c r="BZ321" s="94"/>
      <c r="CA321" s="94"/>
      <c r="CB321" s="94"/>
      <c r="CC321" s="94"/>
      <c r="CD321" s="94"/>
      <c r="CE321" s="94"/>
      <c r="CF321" s="94"/>
      <c r="CG321" s="94"/>
      <c r="CH321" s="94"/>
      <c r="CI321" s="94"/>
      <c r="CJ321" s="94"/>
      <c r="CK321" s="94"/>
      <c r="CL321" s="94"/>
      <c r="CM321" s="94"/>
      <c r="CN321" s="94"/>
      <c r="CO321" s="94"/>
      <c r="CP321" s="94"/>
      <c r="CQ321" s="94"/>
      <c r="CR321" s="94"/>
      <c r="CS321" s="94"/>
      <c r="CT321" s="94"/>
      <c r="CU321" s="94"/>
      <c r="CV321" s="94"/>
      <c r="CW321" s="94"/>
      <c r="CX321" s="94"/>
      <c r="CY321" s="94"/>
      <c r="CZ321" s="94"/>
    </row>
    <row r="322" spans="1:178" ht="12.75">
      <c r="A322" s="74"/>
      <c r="B322" s="288" t="str">
        <f t="shared" si="129"/>
        <v/>
      </c>
      <c r="C322" s="9"/>
      <c r="D322" s="288" t="str">
        <f t="shared" si="129"/>
        <v/>
      </c>
      <c r="E322" s="274"/>
      <c r="F322" s="883" t="str">
        <f t="shared" si="130"/>
        <v/>
      </c>
      <c r="G322" s="883"/>
      <c r="H322" s="883"/>
      <c r="I322" s="883"/>
      <c r="J322" s="883"/>
      <c r="K322" s="883"/>
      <c r="L322" s="883"/>
      <c r="M322" s="883"/>
      <c r="N322" s="883"/>
      <c r="O322" s="883"/>
      <c r="P322" s="883"/>
      <c r="Q322" s="883"/>
      <c r="R322" s="883"/>
      <c r="S322" s="883"/>
      <c r="T322" s="883"/>
      <c r="U322" s="883"/>
      <c r="V322" s="883"/>
      <c r="W322" s="883"/>
      <c r="X322" s="883"/>
      <c r="Y322" s="883"/>
      <c r="Z322" s="883"/>
      <c r="AA322" s="883"/>
      <c r="AB322" s="274"/>
      <c r="AC322" s="289"/>
      <c r="AD322" s="885" t="str">
        <f t="shared" si="131"/>
        <v/>
      </c>
      <c r="AE322" s="885"/>
      <c r="AF322" s="885"/>
      <c r="AG322" s="885"/>
      <c r="AH322" s="9"/>
      <c r="AI322" s="288" t="str">
        <f t="shared" si="126"/>
        <v/>
      </c>
      <c r="AJ322" s="13" t="str">
        <f t="shared" si="126"/>
        <v/>
      </c>
      <c r="AK322" s="246"/>
      <c r="AL322" s="281"/>
      <c r="AM322" s="703"/>
      <c r="AN322" s="703"/>
      <c r="AO322" s="289"/>
      <c r="AP322" s="273" t="str">
        <f t="shared" si="132"/>
        <v/>
      </c>
      <c r="AQ322" s="13" t="str">
        <f t="shared" si="132"/>
        <v/>
      </c>
      <c r="AR322" s="417" t="str">
        <f t="shared" si="132"/>
        <v/>
      </c>
      <c r="AS322" s="13" t="str">
        <f t="shared" si="132"/>
        <v/>
      </c>
      <c r="AT322" s="705"/>
      <c r="AU322" s="705"/>
      <c r="AV322" s="13"/>
      <c r="AW322" s="746" t="str">
        <f t="shared" si="133"/>
        <v/>
      </c>
      <c r="AX322" s="746"/>
      <c r="AY322" s="75" t="str">
        <f t="shared" si="134"/>
        <v/>
      </c>
      <c r="AZ322" s="13" t="str">
        <f t="shared" si="134"/>
        <v/>
      </c>
      <c r="BA322" s="417" t="str">
        <f t="shared" si="134"/>
        <v/>
      </c>
      <c r="BB322" s="13" t="str">
        <f t="shared" si="134"/>
        <v/>
      </c>
      <c r="BC322" s="705"/>
      <c r="BD322" s="705"/>
      <c r="BE322" s="746" t="str">
        <f t="shared" si="134"/>
        <v/>
      </c>
      <c r="BF322" s="746"/>
      <c r="BG322" s="13" t="s">
        <v>142</v>
      </c>
      <c r="BH322" s="884" t="str">
        <f t="shared" si="135"/>
        <v/>
      </c>
      <c r="BI322" s="884"/>
      <c r="BJ322" s="590"/>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row>
    <row r="323" spans="1:178" ht="13.5" thickBot="1">
      <c r="A323" s="76"/>
      <c r="B323" s="651"/>
      <c r="C323" s="276"/>
      <c r="D323" s="651"/>
      <c r="E323" s="651"/>
      <c r="F323" s="652"/>
      <c r="G323" s="652"/>
      <c r="H323" s="652"/>
      <c r="I323" s="652"/>
      <c r="J323" s="652"/>
      <c r="K323" s="652"/>
      <c r="L323" s="652"/>
      <c r="M323" s="652"/>
      <c r="N323" s="652"/>
      <c r="O323" s="652"/>
      <c r="P323" s="652"/>
      <c r="Q323" s="653"/>
      <c r="R323" s="651"/>
      <c r="S323" s="651"/>
      <c r="T323" s="651"/>
      <c r="U323" s="651"/>
      <c r="V323" s="654"/>
      <c r="W323" s="651"/>
      <c r="X323" s="651"/>
      <c r="Y323" s="651"/>
      <c r="Z323" s="651"/>
      <c r="AA323" s="651"/>
      <c r="AB323" s="651"/>
      <c r="AC323" s="654"/>
      <c r="AD323" s="655"/>
      <c r="AE323" s="655"/>
      <c r="AF323" s="655"/>
      <c r="AG323" s="655"/>
      <c r="AH323" s="276"/>
      <c r="AI323" s="651"/>
      <c r="AJ323" s="656"/>
      <c r="AK323" s="661"/>
      <c r="AL323" s="662"/>
      <c r="AM323" s="662"/>
      <c r="AN323" s="662"/>
      <c r="AO323" s="654"/>
      <c r="AP323" s="657"/>
      <c r="AQ323" s="656"/>
      <c r="AR323" s="657"/>
      <c r="AS323" s="656"/>
      <c r="AT323" s="656"/>
      <c r="AU323" s="656"/>
      <c r="AV323" s="656"/>
      <c r="AW323" s="658"/>
      <c r="AX323" s="658"/>
      <c r="AY323" s="657"/>
      <c r="AZ323" s="656"/>
      <c r="BA323" s="657"/>
      <c r="BB323" s="656"/>
      <c r="BC323" s="656"/>
      <c r="BD323" s="656"/>
      <c r="BE323" s="658"/>
      <c r="BF323" s="658"/>
      <c r="BG323" s="656"/>
      <c r="BH323" s="659"/>
      <c r="BI323" s="659"/>
      <c r="BJ323" s="660"/>
      <c r="BO323" s="102"/>
      <c r="BP323" s="102"/>
      <c r="BQ323" s="102"/>
      <c r="BR323" s="102"/>
      <c r="BS323" s="102"/>
      <c r="BT323" s="102"/>
      <c r="BU323" s="102"/>
      <c r="BV323" s="102"/>
      <c r="BW323" s="102"/>
      <c r="BX323" s="102"/>
      <c r="BY323" s="94"/>
      <c r="BZ323" s="94"/>
      <c r="CA323" s="94"/>
      <c r="CB323" s="94"/>
      <c r="CC323" s="94"/>
      <c r="CD323" s="94"/>
      <c r="CE323" s="94"/>
      <c r="CF323" s="94"/>
      <c r="CG323" s="94"/>
      <c r="CH323" s="94"/>
      <c r="CI323" s="94"/>
      <c r="CJ323" s="94"/>
      <c r="CK323" s="94"/>
      <c r="CL323" s="94"/>
      <c r="CM323" s="94"/>
      <c r="CN323" s="94"/>
      <c r="CO323" s="94"/>
      <c r="CP323" s="94"/>
      <c r="CQ323" s="94"/>
      <c r="CR323" s="94"/>
      <c r="CS323" s="94"/>
      <c r="CT323" s="94"/>
      <c r="CU323" s="94"/>
      <c r="CV323" s="94"/>
      <c r="CW323" s="94"/>
      <c r="CX323" s="94"/>
      <c r="CY323" s="94"/>
      <c r="CZ323" s="94"/>
    </row>
    <row r="324" spans="1:178" ht="12.75">
      <c r="B324" s="274"/>
      <c r="C324" s="9"/>
      <c r="D324" s="274"/>
      <c r="E324" s="274"/>
      <c r="F324" s="415"/>
      <c r="G324" s="415"/>
      <c r="H324" s="415"/>
      <c r="I324" s="415"/>
      <c r="J324" s="415"/>
      <c r="K324" s="415"/>
      <c r="L324" s="415"/>
      <c r="M324" s="415"/>
      <c r="N324" s="415"/>
      <c r="O324" s="415"/>
      <c r="P324" s="415"/>
      <c r="Q324" s="284"/>
      <c r="R324" s="274"/>
      <c r="S324" s="274"/>
      <c r="T324" s="274"/>
      <c r="U324" s="274"/>
      <c r="V324" s="289"/>
      <c r="W324" s="274"/>
      <c r="X324" s="274"/>
      <c r="Y324" s="274"/>
      <c r="Z324" s="274"/>
      <c r="AA324" s="274"/>
      <c r="AB324" s="274"/>
      <c r="AC324" s="289"/>
      <c r="AD324" s="416"/>
      <c r="AE324" s="416"/>
      <c r="AF324" s="416"/>
      <c r="AG324" s="416"/>
      <c r="AH324" s="9"/>
      <c r="AI324" s="274"/>
      <c r="AJ324" s="13"/>
      <c r="AK324" s="274"/>
      <c r="AL324" s="13"/>
      <c r="AM324" s="705"/>
      <c r="AN324" s="705"/>
      <c r="AO324" s="289"/>
      <c r="AP324" s="417"/>
      <c r="AQ324" s="13"/>
      <c r="AR324" s="417"/>
      <c r="AS324" s="13"/>
      <c r="AT324" s="705"/>
      <c r="AU324" s="705"/>
      <c r="AV324" s="13"/>
      <c r="AW324" s="10"/>
      <c r="AX324" s="10"/>
      <c r="AY324" s="417"/>
      <c r="AZ324" s="13"/>
      <c r="BA324" s="417"/>
      <c r="BB324" s="13"/>
      <c r="BC324" s="705"/>
      <c r="BD324" s="705"/>
      <c r="BE324" s="10"/>
      <c r="BF324" s="10"/>
      <c r="BG324" s="13" t="s">
        <v>142</v>
      </c>
      <c r="BH324" s="884" t="str">
        <f t="shared" si="135"/>
        <v/>
      </c>
      <c r="BI324" s="884"/>
      <c r="BJ324" s="592"/>
      <c r="BO324" s="102"/>
      <c r="BP324" s="102"/>
      <c r="BQ324" s="102"/>
      <c r="BR324" s="102"/>
      <c r="BS324" s="102"/>
      <c r="BT324" s="102"/>
      <c r="BU324" s="102"/>
      <c r="BV324" s="102"/>
      <c r="BW324" s="102"/>
      <c r="BX324" s="102"/>
      <c r="BY324" s="94"/>
      <c r="BZ324" s="94"/>
      <c r="CA324" s="94"/>
      <c r="CB324" s="94"/>
      <c r="CC324" s="94"/>
      <c r="CD324" s="94"/>
      <c r="CE324" s="94"/>
      <c r="CF324" s="94"/>
      <c r="CG324" s="94"/>
      <c r="CH324" s="94"/>
      <c r="CI324" s="94"/>
      <c r="CJ324" s="94"/>
      <c r="CK324" s="94"/>
      <c r="CL324" s="94"/>
      <c r="CM324" s="94"/>
      <c r="CN324" s="94"/>
      <c r="CO324" s="94"/>
      <c r="CP324" s="94"/>
      <c r="CQ324" s="94"/>
      <c r="CR324" s="94"/>
      <c r="CS324" s="94"/>
      <c r="CT324" s="94"/>
      <c r="CU324" s="94"/>
      <c r="CV324" s="94"/>
      <c r="CW324" s="94"/>
      <c r="CX324" s="94"/>
      <c r="CY324" s="94"/>
      <c r="CZ324" s="94"/>
    </row>
    <row r="325" spans="1:178" ht="16.5" thickBot="1">
      <c r="A325" s="80" t="str">
        <f>A55</f>
        <v>MF3b - Package Terminal Heat Pump</v>
      </c>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280"/>
      <c r="BH325" s="20"/>
      <c r="BO325" s="94"/>
      <c r="BP325" s="94"/>
      <c r="BQ325" s="94"/>
      <c r="BR325" s="94"/>
      <c r="BS325" s="94"/>
      <c r="BT325" s="94"/>
      <c r="BU325" s="94"/>
      <c r="BV325" s="94"/>
      <c r="BW325" s="94"/>
      <c r="BX325" s="94"/>
      <c r="BY325" s="94"/>
      <c r="BZ325" s="94"/>
      <c r="CA325" s="94"/>
      <c r="CB325" s="94"/>
      <c r="CC325" s="94"/>
      <c r="CD325" s="94"/>
      <c r="CE325" s="94"/>
      <c r="CF325" s="94"/>
      <c r="CG325" s="94"/>
      <c r="CH325" s="94"/>
      <c r="CI325" s="94"/>
      <c r="CJ325" s="94"/>
      <c r="CK325" s="94"/>
      <c r="CL325" s="94"/>
      <c r="CM325" s="94"/>
      <c r="CN325" s="94"/>
      <c r="CO325" s="94"/>
      <c r="CP325" s="94"/>
      <c r="CQ325" s="94"/>
      <c r="CR325" s="94"/>
      <c r="CS325" s="94"/>
      <c r="CT325" s="94"/>
      <c r="CU325" s="94"/>
      <c r="CV325" s="94"/>
      <c r="CW325" s="94"/>
      <c r="CX325" s="94"/>
      <c r="CY325" s="94"/>
      <c r="CZ325" s="94"/>
    </row>
    <row r="326" spans="1:178" s="22" customFormat="1" ht="12.75" customHeight="1">
      <c r="A326" s="588"/>
      <c r="B326" s="573"/>
      <c r="C326" s="573"/>
      <c r="D326" s="573"/>
      <c r="E326" s="573"/>
      <c r="F326" s="573"/>
      <c r="G326" s="573"/>
      <c r="H326" s="573"/>
      <c r="I326" s="573"/>
      <c r="J326" s="573"/>
      <c r="K326" s="573"/>
      <c r="L326" s="573"/>
      <c r="M326" s="573"/>
      <c r="N326" s="573"/>
      <c r="O326" s="573"/>
      <c r="P326" s="573"/>
      <c r="Q326" s="573"/>
      <c r="R326" s="573"/>
      <c r="S326" s="573"/>
      <c r="T326" s="573"/>
      <c r="U326" s="573"/>
      <c r="V326" s="573"/>
      <c r="W326" s="573"/>
      <c r="X326" s="573"/>
      <c r="Y326" s="573"/>
      <c r="Z326" s="573"/>
      <c r="AA326" s="573"/>
      <c r="AB326" s="573"/>
      <c r="AC326" s="573"/>
      <c r="AD326" s="573"/>
      <c r="AE326" s="573"/>
      <c r="AF326" s="573"/>
      <c r="AG326" s="573"/>
      <c r="AH326" s="573"/>
      <c r="AI326" s="573"/>
      <c r="AJ326" s="573"/>
      <c r="AK326" s="573"/>
      <c r="AL326" s="573"/>
      <c r="AM326" s="707"/>
      <c r="AN326" s="707"/>
      <c r="AO326" s="573"/>
      <c r="AP326" s="887" t="s">
        <v>2655</v>
      </c>
      <c r="AQ326" s="887"/>
      <c r="AR326" s="887"/>
      <c r="AS326" s="887"/>
      <c r="AT326" s="887"/>
      <c r="AU326" s="887"/>
      <c r="AV326" s="887"/>
      <c r="AW326" s="887"/>
      <c r="AX326" s="887"/>
      <c r="AY326" s="887"/>
      <c r="AZ326" s="887"/>
      <c r="BA326" s="887"/>
      <c r="BB326" s="887"/>
      <c r="BC326" s="887"/>
      <c r="BD326" s="887"/>
      <c r="BE326" s="887"/>
      <c r="BF326" s="887"/>
      <c r="BG326" s="589"/>
      <c r="BH326" s="888" t="str">
        <f>IF(BG56="","",BG56)</f>
        <v>Incentive
(tons x $75 or $100)</v>
      </c>
      <c r="BI326" s="888"/>
      <c r="BJ326" s="267"/>
      <c r="BK326" s="1"/>
      <c r="BL326" s="1"/>
      <c r="BM326" s="1"/>
      <c r="BN326" s="1"/>
      <c r="BO326" s="94"/>
      <c r="BP326" s="94"/>
      <c r="BQ326" s="94"/>
      <c r="BR326" s="94"/>
      <c r="BS326" s="94"/>
      <c r="BT326" s="94"/>
      <c r="BU326" s="94"/>
      <c r="BV326" s="94"/>
      <c r="BW326" s="94"/>
      <c r="BX326" s="94"/>
      <c r="BY326" s="102"/>
      <c r="BZ326" s="102"/>
      <c r="CA326" s="102"/>
      <c r="CB326" s="102"/>
      <c r="CC326" s="102"/>
      <c r="CD326" s="102"/>
      <c r="CE326" s="102"/>
      <c r="CF326" s="102"/>
      <c r="CG326" s="102"/>
      <c r="CH326" s="102"/>
      <c r="CI326" s="102"/>
      <c r="CJ326" s="102"/>
      <c r="CK326" s="102"/>
      <c r="CL326" s="102"/>
      <c r="CM326" s="102"/>
      <c r="CN326" s="102"/>
      <c r="CO326" s="102"/>
      <c r="CP326" s="102"/>
      <c r="CQ326" s="102"/>
      <c r="CR326" s="102"/>
      <c r="CS326" s="102"/>
      <c r="CT326" s="102"/>
      <c r="CU326" s="102"/>
      <c r="CV326" s="102"/>
      <c r="CW326" s="102"/>
      <c r="CX326" s="102"/>
      <c r="CY326" s="102"/>
      <c r="CZ326" s="102"/>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row>
    <row r="327" spans="1:178" s="22" customFormat="1" ht="12.75" customHeight="1">
      <c r="A327" s="69"/>
      <c r="B327" s="284"/>
      <c r="C327" s="70"/>
      <c r="D327" s="284"/>
      <c r="E327" s="284"/>
      <c r="F327" s="285"/>
      <c r="G327" s="285"/>
      <c r="H327" s="285"/>
      <c r="I327" s="285"/>
      <c r="J327" s="285"/>
      <c r="K327" s="285"/>
      <c r="L327" s="285"/>
      <c r="M327" s="285"/>
      <c r="N327" s="285"/>
      <c r="O327" s="285"/>
      <c r="P327" s="285"/>
      <c r="Q327" s="284"/>
      <c r="R327" s="632"/>
      <c r="S327" s="632"/>
      <c r="T327" s="632"/>
      <c r="U327" s="632"/>
      <c r="V327" s="289"/>
      <c r="W327" s="632"/>
      <c r="X327" s="632"/>
      <c r="Y327" s="632"/>
      <c r="Z327" s="632"/>
      <c r="AA327" s="632"/>
      <c r="AB327" s="632"/>
      <c r="AC327" s="289"/>
      <c r="AD327" s="289"/>
      <c r="AE327" s="289"/>
      <c r="AF327" s="289"/>
      <c r="AG327" s="289"/>
      <c r="AH327" s="71"/>
      <c r="AI327" s="71" t="str">
        <f t="shared" ref="AI327:AL338" si="136">IF(AI57="","",AI57)</f>
        <v>EER</v>
      </c>
      <c r="AJ327" s="289"/>
      <c r="AK327" s="71" t="str">
        <f t="shared" ref="AK327" si="137">IF(AK57="","",AK57)</f>
        <v>COP</v>
      </c>
      <c r="AL327" s="289"/>
      <c r="AM327" s="289"/>
      <c r="AN327" s="289"/>
      <c r="AO327" s="289"/>
      <c r="AP327" s="880" t="str">
        <f>IF(AP57="","",AP57)</f>
        <v>10% Better Than Code</v>
      </c>
      <c r="AQ327" s="880" t="str">
        <f t="shared" ref="AQ327:AX327" si="138">IF(AQ57="","",AQ57)</f>
        <v/>
      </c>
      <c r="AR327" s="880" t="str">
        <f t="shared" si="138"/>
        <v/>
      </c>
      <c r="AS327" s="880" t="str">
        <f t="shared" si="138"/>
        <v/>
      </c>
      <c r="AT327" s="880"/>
      <c r="AU327" s="880"/>
      <c r="AV327" s="880" t="str">
        <f t="shared" si="138"/>
        <v/>
      </c>
      <c r="AW327" s="880" t="str">
        <f t="shared" si="138"/>
        <v/>
      </c>
      <c r="AX327" s="880" t="str">
        <f t="shared" si="138"/>
        <v/>
      </c>
      <c r="AY327" s="880" t="str">
        <f>IF(AY57="","",AY57)</f>
        <v>20% Better Than Code</v>
      </c>
      <c r="AZ327" s="880" t="str">
        <f t="shared" ref="AZ327:BG327" si="139">IF(AZ57="","",AZ57)</f>
        <v/>
      </c>
      <c r="BA327" s="880" t="str">
        <f t="shared" si="139"/>
        <v/>
      </c>
      <c r="BB327" s="880" t="str">
        <f t="shared" si="139"/>
        <v/>
      </c>
      <c r="BC327" s="880"/>
      <c r="BD327" s="880"/>
      <c r="BE327" s="880" t="str">
        <f t="shared" si="139"/>
        <v/>
      </c>
      <c r="BF327" s="880" t="str">
        <f t="shared" si="139"/>
        <v/>
      </c>
      <c r="BG327" s="880" t="str">
        <f t="shared" si="139"/>
        <v/>
      </c>
      <c r="BH327" s="736"/>
      <c r="BI327" s="736"/>
      <c r="BJ327" s="73"/>
      <c r="BK327" s="1"/>
      <c r="BL327" s="1"/>
      <c r="BM327" s="1"/>
      <c r="BN327" s="1"/>
      <c r="BO327" s="94"/>
      <c r="BP327" s="94"/>
      <c r="BQ327" s="94"/>
      <c r="BR327" s="94"/>
      <c r="BS327" s="94"/>
      <c r="BT327" s="94"/>
      <c r="BU327" s="94"/>
      <c r="BV327" s="94"/>
      <c r="BW327" s="94"/>
      <c r="BX327" s="94"/>
      <c r="BY327" s="102"/>
      <c r="BZ327" s="102"/>
      <c r="CA327" s="102"/>
      <c r="CB327" s="102"/>
      <c r="CC327" s="102"/>
      <c r="CD327" s="102"/>
      <c r="CE327" s="102"/>
      <c r="CF327" s="102"/>
      <c r="CG327" s="102"/>
      <c r="CH327" s="102"/>
      <c r="CI327" s="102"/>
      <c r="CJ327" s="102"/>
      <c r="CK327" s="102"/>
      <c r="CL327" s="102"/>
      <c r="CM327" s="102"/>
      <c r="CN327" s="102"/>
      <c r="CO327" s="102"/>
      <c r="CP327" s="102"/>
      <c r="CQ327" s="102"/>
      <c r="CR327" s="102"/>
      <c r="CS327" s="102"/>
      <c r="CT327" s="102"/>
      <c r="CU327" s="102"/>
      <c r="CV327" s="102"/>
      <c r="CW327" s="102"/>
      <c r="CX327" s="102"/>
      <c r="CY327" s="102"/>
      <c r="CZ327" s="102"/>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row>
    <row r="328" spans="1:178" s="22" customFormat="1" ht="27.6" customHeight="1">
      <c r="A328" s="69"/>
      <c r="B328" s="246" t="str">
        <f t="shared" ref="B328:D338" si="140">IF(B58="","",B58)</f>
        <v>Qty</v>
      </c>
      <c r="C328" s="412"/>
      <c r="D328" s="246" t="str">
        <f t="shared" si="140"/>
        <v>Tons</v>
      </c>
      <c r="E328" s="246"/>
      <c r="F328" s="246" t="str">
        <f t="shared" ref="F328:F338" si="141">IF(F58="","",F58)</f>
        <v>Description of Location</v>
      </c>
      <c r="G328" s="246"/>
      <c r="H328" s="246"/>
      <c r="I328" s="246"/>
      <c r="J328" s="246"/>
      <c r="K328" s="285"/>
      <c r="L328" s="285"/>
      <c r="M328" s="285"/>
      <c r="N328" s="285"/>
      <c r="O328" s="285"/>
      <c r="P328" s="285"/>
      <c r="Q328" s="284"/>
      <c r="R328" s="632"/>
      <c r="S328" s="632"/>
      <c r="T328" s="632"/>
      <c r="U328" s="632"/>
      <c r="V328" s="289"/>
      <c r="W328" s="632"/>
      <c r="X328" s="632"/>
      <c r="Y328" s="632"/>
      <c r="Z328" s="632"/>
      <c r="AA328" s="632"/>
      <c r="AB328" s="632"/>
      <c r="AC328" s="289"/>
      <c r="AD328" s="246" t="str">
        <f>IF(AD58="","",AD58)</f>
        <v>Model / Designation</v>
      </c>
      <c r="AE328" s="281"/>
      <c r="AF328" s="246"/>
      <c r="AG328" s="246"/>
      <c r="AH328" s="413"/>
      <c r="AI328" s="246" t="str">
        <f t="shared" si="136"/>
        <v>Actual Eff.</v>
      </c>
      <c r="AJ328" s="281"/>
      <c r="AK328" s="246" t="str">
        <f t="shared" ref="AK328" si="142">IF(AK58="","",AK58)</f>
        <v>Actual Eff.</v>
      </c>
      <c r="AL328" s="281"/>
      <c r="AM328" s="703"/>
      <c r="AN328" s="703"/>
      <c r="AO328" s="281"/>
      <c r="AP328" s="879" t="str">
        <f>IF(AP58="","",AP58)</f>
        <v>PTHP ($75/ton)</v>
      </c>
      <c r="AQ328" s="863"/>
      <c r="AR328" s="863"/>
      <c r="AS328" s="863"/>
      <c r="AT328" s="863"/>
      <c r="AU328" s="863"/>
      <c r="AV328" s="863"/>
      <c r="AW328" s="863"/>
      <c r="AX328" s="246"/>
      <c r="AY328" s="879" t="str">
        <f>IF(AY58="","",AY58)</f>
        <v>PTHP ($100/ ton)</v>
      </c>
      <c r="AZ328" s="863"/>
      <c r="BA328" s="863"/>
      <c r="BB328" s="863"/>
      <c r="BC328" s="863"/>
      <c r="BD328" s="863"/>
      <c r="BE328" s="863"/>
      <c r="BF328" s="863"/>
      <c r="BG328"/>
      <c r="BH328" s="736"/>
      <c r="BI328" s="736"/>
      <c r="BJ328" s="73"/>
      <c r="BK328" s="1"/>
      <c r="BL328" s="1"/>
      <c r="BM328" s="1"/>
      <c r="BN328" s="1"/>
      <c r="BO328" s="94"/>
      <c r="BP328" s="94"/>
      <c r="BQ328" s="94"/>
      <c r="BR328" s="94"/>
      <c r="BS328" s="94"/>
      <c r="BT328" s="94"/>
      <c r="BU328" s="94"/>
      <c r="BV328" s="94"/>
      <c r="BW328" s="94"/>
      <c r="BX328" s="94"/>
      <c r="BY328" s="102"/>
      <c r="BZ328" s="102"/>
      <c r="CA328" s="102"/>
      <c r="CB328" s="102"/>
      <c r="CC328" s="102"/>
      <c r="CD328" s="102"/>
      <c r="CE328" s="102"/>
      <c r="CF328" s="102"/>
      <c r="CG328" s="102"/>
      <c r="CH328" s="102"/>
      <c r="CI328" s="102"/>
      <c r="CJ328" s="102"/>
      <c r="CK328" s="102"/>
      <c r="CL328" s="102"/>
      <c r="CM328" s="102"/>
      <c r="CN328" s="102"/>
      <c r="CO328" s="102"/>
      <c r="CP328" s="102"/>
      <c r="CQ328" s="102"/>
      <c r="CR328" s="102"/>
      <c r="CS328" s="102"/>
      <c r="CT328" s="102"/>
      <c r="CU328" s="102"/>
      <c r="CV328" s="102"/>
      <c r="CW328" s="102"/>
      <c r="CX328" s="102"/>
      <c r="CY328" s="102"/>
      <c r="CZ328" s="102"/>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row>
    <row r="329" spans="1:178" ht="12.75" customHeight="1">
      <c r="A329" s="74"/>
      <c r="B329" s="287" t="str">
        <f t="shared" si="140"/>
        <v/>
      </c>
      <c r="C329" s="9"/>
      <c r="D329" s="287" t="str">
        <f t="shared" si="140"/>
        <v/>
      </c>
      <c r="E329" s="274"/>
      <c r="F329" s="883" t="str">
        <f t="shared" si="141"/>
        <v/>
      </c>
      <c r="G329" s="883"/>
      <c r="H329" s="883"/>
      <c r="I329" s="883"/>
      <c r="J329" s="883"/>
      <c r="K329" s="883"/>
      <c r="L329" s="883"/>
      <c r="M329" s="883"/>
      <c r="N329" s="883"/>
      <c r="O329" s="883"/>
      <c r="P329" s="883"/>
      <c r="Q329" s="883"/>
      <c r="R329" s="883"/>
      <c r="S329" s="883"/>
      <c r="T329" s="883"/>
      <c r="U329" s="883"/>
      <c r="V329" s="883"/>
      <c r="W329" s="883"/>
      <c r="X329" s="883"/>
      <c r="Y329" s="883"/>
      <c r="Z329" s="883"/>
      <c r="AA329" s="883"/>
      <c r="AB329" s="274"/>
      <c r="AC329" s="289"/>
      <c r="AD329" s="886" t="str">
        <f t="shared" ref="AD329:AD338" si="143">IF(AD59="","",AD59)</f>
        <v/>
      </c>
      <c r="AE329" s="886"/>
      <c r="AF329" s="886"/>
      <c r="AG329" s="886"/>
      <c r="AH329" s="9"/>
      <c r="AI329" s="287" t="str">
        <f t="shared" si="136"/>
        <v/>
      </c>
      <c r="AJ329" s="13" t="str">
        <f t="shared" si="136"/>
        <v/>
      </c>
      <c r="AK329" s="711" t="str">
        <f t="shared" ref="AK329" si="144">IF(AK59="","",AK59)</f>
        <v/>
      </c>
      <c r="AL329" s="13" t="str">
        <f t="shared" si="136"/>
        <v/>
      </c>
      <c r="AM329" s="705"/>
      <c r="AN329" s="705"/>
      <c r="AO329" s="289"/>
      <c r="AP329" s="75" t="str">
        <f t="shared" ref="AP329:AQ338" si="145">IF(AP59="","",AP59)</f>
        <v/>
      </c>
      <c r="AQ329" s="13" t="str">
        <f t="shared" si="145"/>
        <v/>
      </c>
      <c r="AR329" s="75" t="str">
        <f t="shared" ref="AR329:AS329" si="146">IF(AR59="","",AR59)</f>
        <v/>
      </c>
      <c r="AS329" s="705" t="str">
        <f t="shared" si="146"/>
        <v/>
      </c>
      <c r="AT329" s="705"/>
      <c r="AU329" s="705"/>
      <c r="AV329" s="13"/>
      <c r="AW329" s="746" t="str">
        <f t="shared" ref="AW329:AW338" si="147">IF(AW59="","",AW59)</f>
        <v/>
      </c>
      <c r="AX329" s="746"/>
      <c r="AY329" s="75" t="str">
        <f t="shared" ref="AY329:BE338" si="148">IF(AY59="","",AY59)</f>
        <v/>
      </c>
      <c r="AZ329" s="13" t="str">
        <f t="shared" si="148"/>
        <v/>
      </c>
      <c r="BA329" s="75" t="str">
        <f t="shared" ref="BA329:BB329" si="149">IF(BA59="","",BA59)</f>
        <v/>
      </c>
      <c r="BB329" s="705" t="str">
        <f t="shared" si="149"/>
        <v/>
      </c>
      <c r="BC329" s="705"/>
      <c r="BD329" s="705"/>
      <c r="BE329" s="746" t="str">
        <f t="shared" si="148"/>
        <v/>
      </c>
      <c r="BF329" s="746"/>
      <c r="BG329" s="13" t="s">
        <v>142</v>
      </c>
      <c r="BH329" s="884" t="str">
        <f t="shared" ref="BH329:BH340" si="150">IF(BH59="","",BH59)</f>
        <v/>
      </c>
      <c r="BI329" s="884"/>
      <c r="BJ329" s="590"/>
      <c r="BM329" s="296">
        <f>COUNTIF(AW328:AW338,"Qualified")+COUNTIF(BE328:BE338,"Qualified")</f>
        <v>0</v>
      </c>
      <c r="BO329" s="94"/>
      <c r="BP329" s="94"/>
      <c r="BQ329" s="94"/>
      <c r="BR329" s="94"/>
      <c r="BS329" s="94"/>
      <c r="BT329" s="94"/>
      <c r="BU329" s="94"/>
      <c r="BV329" s="94"/>
      <c r="BW329" s="94"/>
      <c r="BX329" s="94"/>
      <c r="BY329" s="94"/>
      <c r="BZ329" s="94"/>
      <c r="CA329" s="94"/>
      <c r="CB329" s="94"/>
      <c r="CC329" s="94"/>
      <c r="CD329" s="94"/>
      <c r="CE329" s="94"/>
      <c r="CF329" s="94"/>
      <c r="CG329" s="94"/>
      <c r="CH329" s="94"/>
      <c r="CI329" s="94"/>
      <c r="CJ329" s="94"/>
      <c r="CK329" s="94"/>
      <c r="CL329" s="94"/>
      <c r="CM329" s="94"/>
      <c r="CN329" s="94"/>
      <c r="CO329" s="94"/>
      <c r="CP329" s="94"/>
      <c r="CQ329" s="94"/>
      <c r="CR329" s="94"/>
      <c r="CS329" s="94"/>
      <c r="CT329" s="94"/>
      <c r="CU329" s="94"/>
      <c r="CV329" s="94"/>
      <c r="CW329" s="94"/>
      <c r="CX329" s="94"/>
      <c r="CY329" s="94"/>
      <c r="CZ329" s="94"/>
    </row>
    <row r="330" spans="1:178" ht="12.75" customHeight="1">
      <c r="A330" s="74"/>
      <c r="B330" s="288" t="str">
        <f t="shared" si="140"/>
        <v/>
      </c>
      <c r="C330" s="9"/>
      <c r="D330" s="288" t="str">
        <f t="shared" si="140"/>
        <v/>
      </c>
      <c r="E330" s="274"/>
      <c r="F330" s="883" t="str">
        <f t="shared" si="141"/>
        <v/>
      </c>
      <c r="G330" s="883"/>
      <c r="H330" s="883"/>
      <c r="I330" s="883"/>
      <c r="J330" s="883"/>
      <c r="K330" s="883"/>
      <c r="L330" s="883"/>
      <c r="M330" s="883"/>
      <c r="N330" s="883"/>
      <c r="O330" s="883"/>
      <c r="P330" s="883"/>
      <c r="Q330" s="883"/>
      <c r="R330" s="883"/>
      <c r="S330" s="883"/>
      <c r="T330" s="883"/>
      <c r="U330" s="883"/>
      <c r="V330" s="883"/>
      <c r="W330" s="883"/>
      <c r="X330" s="883"/>
      <c r="Y330" s="883"/>
      <c r="Z330" s="883"/>
      <c r="AA330" s="883"/>
      <c r="AB330" s="274"/>
      <c r="AC330" s="289"/>
      <c r="AD330" s="885" t="str">
        <f t="shared" si="143"/>
        <v/>
      </c>
      <c r="AE330" s="885"/>
      <c r="AF330" s="885"/>
      <c r="AG330" s="885"/>
      <c r="AH330" s="9"/>
      <c r="AI330" s="288" t="str">
        <f t="shared" si="136"/>
        <v/>
      </c>
      <c r="AJ330" s="13" t="str">
        <f t="shared" si="136"/>
        <v/>
      </c>
      <c r="AK330" s="708" t="str">
        <f t="shared" ref="AK330" si="151">IF(AK60="","",AK60)</f>
        <v/>
      </c>
      <c r="AL330" s="13" t="str">
        <f t="shared" si="136"/>
        <v/>
      </c>
      <c r="AM330" s="705"/>
      <c r="AN330" s="705"/>
      <c r="AO330" s="289"/>
      <c r="AP330" s="273" t="str">
        <f t="shared" si="145"/>
        <v/>
      </c>
      <c r="AQ330" s="13" t="str">
        <f t="shared" si="145"/>
        <v/>
      </c>
      <c r="AR330" s="273" t="str">
        <f t="shared" ref="AR330:AS330" si="152">IF(AR60="","",AR60)</f>
        <v/>
      </c>
      <c r="AS330" s="705" t="str">
        <f t="shared" si="152"/>
        <v/>
      </c>
      <c r="AT330" s="705"/>
      <c r="AU330" s="705"/>
      <c r="AV330" s="13"/>
      <c r="AW330" s="746" t="str">
        <f t="shared" si="147"/>
        <v/>
      </c>
      <c r="AX330" s="746"/>
      <c r="AY330" s="75" t="str">
        <f t="shared" si="148"/>
        <v/>
      </c>
      <c r="AZ330" s="13" t="str">
        <f t="shared" si="148"/>
        <v/>
      </c>
      <c r="BA330" s="75" t="str">
        <f t="shared" ref="BA330:BB330" si="153">IF(BA60="","",BA60)</f>
        <v/>
      </c>
      <c r="BB330" s="705" t="str">
        <f t="shared" si="153"/>
        <v/>
      </c>
      <c r="BC330" s="705"/>
      <c r="BD330" s="705"/>
      <c r="BE330" s="746" t="str">
        <f t="shared" si="148"/>
        <v/>
      </c>
      <c r="BF330" s="746"/>
      <c r="BG330" s="13" t="s">
        <v>142</v>
      </c>
      <c r="BH330" s="884" t="str">
        <f t="shared" si="150"/>
        <v/>
      </c>
      <c r="BI330" s="884"/>
      <c r="BJ330" s="590"/>
      <c r="BO330" s="94"/>
      <c r="BP330" s="94"/>
      <c r="BQ330" s="94"/>
      <c r="BR330" s="94"/>
      <c r="BS330" s="94"/>
      <c r="BT330" s="94"/>
      <c r="BU330" s="94"/>
      <c r="BV330" s="94"/>
      <c r="BW330" s="94"/>
      <c r="BX330" s="94"/>
      <c r="BY330" s="94"/>
      <c r="BZ330" s="94"/>
      <c r="CA330" s="94"/>
      <c r="CB330" s="94"/>
      <c r="CC330" s="94"/>
      <c r="CD330" s="94"/>
      <c r="CE330" s="94"/>
      <c r="CF330" s="94"/>
      <c r="CG330" s="94"/>
      <c r="CH330" s="94"/>
      <c r="CI330" s="94"/>
      <c r="CJ330" s="94"/>
      <c r="CK330" s="94"/>
      <c r="CL330" s="94"/>
      <c r="CM330" s="94"/>
      <c r="CN330" s="94"/>
      <c r="CO330" s="94"/>
      <c r="CP330" s="94"/>
      <c r="CQ330" s="94"/>
      <c r="CR330" s="94"/>
      <c r="CS330" s="94"/>
      <c r="CT330" s="94"/>
      <c r="CU330" s="94"/>
      <c r="CV330" s="94"/>
      <c r="CW330" s="94"/>
      <c r="CX330" s="94"/>
      <c r="CY330" s="94"/>
      <c r="CZ330" s="94"/>
    </row>
    <row r="331" spans="1:178" ht="12.75">
      <c r="A331" s="74"/>
      <c r="B331" s="288" t="str">
        <f t="shared" si="140"/>
        <v/>
      </c>
      <c r="C331" s="9"/>
      <c r="D331" s="288" t="str">
        <f t="shared" si="140"/>
        <v/>
      </c>
      <c r="E331" s="274"/>
      <c r="F331" s="883" t="str">
        <f t="shared" si="141"/>
        <v/>
      </c>
      <c r="G331" s="883"/>
      <c r="H331" s="883"/>
      <c r="I331" s="883"/>
      <c r="J331" s="883"/>
      <c r="K331" s="883"/>
      <c r="L331" s="883"/>
      <c r="M331" s="883"/>
      <c r="N331" s="883"/>
      <c r="O331" s="883"/>
      <c r="P331" s="883"/>
      <c r="Q331" s="883"/>
      <c r="R331" s="883"/>
      <c r="S331" s="883"/>
      <c r="T331" s="883"/>
      <c r="U331" s="883"/>
      <c r="V331" s="883"/>
      <c r="W331" s="883"/>
      <c r="X331" s="883"/>
      <c r="Y331" s="883"/>
      <c r="Z331" s="883"/>
      <c r="AA331" s="883"/>
      <c r="AB331" s="274"/>
      <c r="AC331" s="289"/>
      <c r="AD331" s="885" t="str">
        <f t="shared" si="143"/>
        <v/>
      </c>
      <c r="AE331" s="885"/>
      <c r="AF331" s="885"/>
      <c r="AG331" s="885"/>
      <c r="AH331" s="9"/>
      <c r="AI331" s="288" t="str">
        <f t="shared" si="136"/>
        <v/>
      </c>
      <c r="AJ331" s="13" t="str">
        <f t="shared" si="136"/>
        <v/>
      </c>
      <c r="AK331" s="708" t="str">
        <f t="shared" ref="AK331" si="154">IF(AK61="","",AK61)</f>
        <v/>
      </c>
      <c r="AL331" s="13" t="str">
        <f t="shared" si="136"/>
        <v/>
      </c>
      <c r="AM331" s="705"/>
      <c r="AN331" s="705"/>
      <c r="AO331" s="289"/>
      <c r="AP331" s="273" t="str">
        <f t="shared" si="145"/>
        <v/>
      </c>
      <c r="AQ331" s="13" t="str">
        <f t="shared" si="145"/>
        <v/>
      </c>
      <c r="AR331" s="273" t="str">
        <f t="shared" ref="AR331:AS331" si="155">IF(AR61="","",AR61)</f>
        <v/>
      </c>
      <c r="AS331" s="705" t="str">
        <f t="shared" si="155"/>
        <v/>
      </c>
      <c r="AT331" s="705"/>
      <c r="AU331" s="705"/>
      <c r="AV331" s="13"/>
      <c r="AW331" s="746" t="str">
        <f t="shared" si="147"/>
        <v/>
      </c>
      <c r="AX331" s="746"/>
      <c r="AY331" s="75" t="str">
        <f t="shared" si="148"/>
        <v/>
      </c>
      <c r="AZ331" s="13" t="str">
        <f t="shared" si="148"/>
        <v/>
      </c>
      <c r="BA331" s="75" t="str">
        <f t="shared" ref="BA331:BB331" si="156">IF(BA61="","",BA61)</f>
        <v/>
      </c>
      <c r="BB331" s="705" t="str">
        <f t="shared" si="156"/>
        <v/>
      </c>
      <c r="BC331" s="705"/>
      <c r="BD331" s="705"/>
      <c r="BE331" s="746" t="str">
        <f t="shared" si="148"/>
        <v/>
      </c>
      <c r="BF331" s="746"/>
      <c r="BG331" s="13" t="s">
        <v>142</v>
      </c>
      <c r="BH331" s="884" t="str">
        <f t="shared" si="150"/>
        <v/>
      </c>
      <c r="BI331" s="884"/>
      <c r="BJ331" s="590"/>
      <c r="BO331" s="94"/>
      <c r="BP331" s="94"/>
      <c r="BQ331" s="94"/>
      <c r="BR331" s="94"/>
      <c r="BS331" s="94"/>
      <c r="BT331" s="94"/>
      <c r="BU331" s="94"/>
      <c r="BV331" s="94"/>
      <c r="BW331" s="94"/>
      <c r="BX331" s="94"/>
      <c r="BY331" s="94"/>
      <c r="BZ331" s="94"/>
      <c r="CA331" s="94"/>
      <c r="CB331" s="94"/>
      <c r="CC331" s="94"/>
      <c r="CD331" s="94"/>
      <c r="CE331" s="94"/>
      <c r="CF331" s="94"/>
      <c r="CG331" s="94"/>
      <c r="CH331" s="94"/>
      <c r="CI331" s="94"/>
      <c r="CJ331" s="94"/>
      <c r="CK331" s="94"/>
      <c r="CL331" s="94"/>
      <c r="CM331" s="94"/>
      <c r="CN331" s="94"/>
      <c r="CO331" s="94"/>
      <c r="CP331" s="94"/>
      <c r="CQ331" s="94"/>
      <c r="CR331" s="94"/>
      <c r="CS331" s="94"/>
      <c r="CT331" s="94"/>
      <c r="CU331" s="94"/>
      <c r="CV331" s="94"/>
      <c r="CW331" s="94"/>
      <c r="CX331" s="94"/>
      <c r="CY331" s="94"/>
      <c r="CZ331" s="94"/>
    </row>
    <row r="332" spans="1:178" ht="12.75">
      <c r="A332" s="74"/>
      <c r="B332" s="288" t="str">
        <f t="shared" si="140"/>
        <v/>
      </c>
      <c r="C332" s="9"/>
      <c r="D332" s="288" t="str">
        <f t="shared" si="140"/>
        <v/>
      </c>
      <c r="E332" s="274"/>
      <c r="F332" s="883" t="str">
        <f t="shared" si="141"/>
        <v/>
      </c>
      <c r="G332" s="883"/>
      <c r="H332" s="883"/>
      <c r="I332" s="883"/>
      <c r="J332" s="883"/>
      <c r="K332" s="883"/>
      <c r="L332" s="883"/>
      <c r="M332" s="883"/>
      <c r="N332" s="883"/>
      <c r="O332" s="883"/>
      <c r="P332" s="883"/>
      <c r="Q332" s="883"/>
      <c r="R332" s="883"/>
      <c r="S332" s="883"/>
      <c r="T332" s="883"/>
      <c r="U332" s="883"/>
      <c r="V332" s="883"/>
      <c r="W332" s="883"/>
      <c r="X332" s="883"/>
      <c r="Y332" s="883"/>
      <c r="Z332" s="883"/>
      <c r="AA332" s="883"/>
      <c r="AB332" s="274"/>
      <c r="AC332" s="289"/>
      <c r="AD332" s="885" t="str">
        <f t="shared" si="143"/>
        <v/>
      </c>
      <c r="AE332" s="885"/>
      <c r="AF332" s="885"/>
      <c r="AG332" s="885"/>
      <c r="AH332" s="9"/>
      <c r="AI332" s="288" t="str">
        <f t="shared" si="136"/>
        <v/>
      </c>
      <c r="AJ332" s="13" t="str">
        <f t="shared" si="136"/>
        <v/>
      </c>
      <c r="AK332" s="708" t="str">
        <f t="shared" ref="AK332" si="157">IF(AK62="","",AK62)</f>
        <v/>
      </c>
      <c r="AL332" s="13" t="str">
        <f t="shared" si="136"/>
        <v/>
      </c>
      <c r="AM332" s="705"/>
      <c r="AN332" s="705"/>
      <c r="AO332" s="289"/>
      <c r="AP332" s="273" t="str">
        <f t="shared" si="145"/>
        <v/>
      </c>
      <c r="AQ332" s="13" t="str">
        <f t="shared" si="145"/>
        <v/>
      </c>
      <c r="AR332" s="273" t="str">
        <f t="shared" ref="AR332:AS332" si="158">IF(AR62="","",AR62)</f>
        <v/>
      </c>
      <c r="AS332" s="705" t="str">
        <f t="shared" si="158"/>
        <v/>
      </c>
      <c r="AT332" s="705"/>
      <c r="AU332" s="705"/>
      <c r="AV332" s="13"/>
      <c r="AW332" s="746" t="str">
        <f t="shared" si="147"/>
        <v/>
      </c>
      <c r="AX332" s="746"/>
      <c r="AY332" s="75" t="str">
        <f t="shared" si="148"/>
        <v/>
      </c>
      <c r="AZ332" s="13" t="str">
        <f t="shared" si="148"/>
        <v/>
      </c>
      <c r="BA332" s="75" t="str">
        <f t="shared" ref="BA332:BB332" si="159">IF(BA62="","",BA62)</f>
        <v/>
      </c>
      <c r="BB332" s="705" t="str">
        <f t="shared" si="159"/>
        <v/>
      </c>
      <c r="BC332" s="705"/>
      <c r="BD332" s="705"/>
      <c r="BE332" s="746" t="str">
        <f t="shared" si="148"/>
        <v/>
      </c>
      <c r="BF332" s="746"/>
      <c r="BG332" s="13" t="s">
        <v>142</v>
      </c>
      <c r="BH332" s="884" t="str">
        <f t="shared" si="150"/>
        <v/>
      </c>
      <c r="BI332" s="884"/>
      <c r="BJ332" s="590"/>
      <c r="BO332" s="94"/>
      <c r="BP332" s="94"/>
      <c r="BQ332" s="94"/>
      <c r="BR332" s="94"/>
      <c r="BS332" s="94"/>
      <c r="BT332" s="94"/>
      <c r="BU332" s="94"/>
      <c r="BV332" s="94"/>
      <c r="BW332" s="94"/>
      <c r="BX332" s="94"/>
      <c r="BY332" s="94"/>
      <c r="BZ332" s="94"/>
      <c r="CA332" s="94"/>
      <c r="CB332" s="94"/>
      <c r="CC332" s="94"/>
      <c r="CD332" s="94"/>
      <c r="CE332" s="94"/>
      <c r="CF332" s="94"/>
      <c r="CG332" s="94"/>
      <c r="CH332" s="94"/>
      <c r="CI332" s="94"/>
      <c r="CJ332" s="94"/>
      <c r="CK332" s="94"/>
      <c r="CL332" s="94"/>
      <c r="CM332" s="94"/>
      <c r="CN332" s="94"/>
      <c r="CO332" s="94"/>
      <c r="CP332" s="94"/>
      <c r="CQ332" s="94"/>
      <c r="CR332" s="94"/>
      <c r="CS332" s="94"/>
      <c r="CT332" s="94"/>
      <c r="CU332" s="94"/>
      <c r="CV332" s="94"/>
      <c r="CW332" s="94"/>
      <c r="CX332" s="94"/>
      <c r="CY332" s="94"/>
      <c r="CZ332" s="94"/>
    </row>
    <row r="333" spans="1:178" ht="12.75">
      <c r="A333" s="74"/>
      <c r="B333" s="288" t="str">
        <f t="shared" si="140"/>
        <v/>
      </c>
      <c r="C333" s="9"/>
      <c r="D333" s="288" t="str">
        <f t="shared" si="140"/>
        <v/>
      </c>
      <c r="E333" s="274"/>
      <c r="F333" s="883" t="str">
        <f t="shared" si="141"/>
        <v/>
      </c>
      <c r="G333" s="883"/>
      <c r="H333" s="883"/>
      <c r="I333" s="883"/>
      <c r="J333" s="883"/>
      <c r="K333" s="883"/>
      <c r="L333" s="883"/>
      <c r="M333" s="883"/>
      <c r="N333" s="883"/>
      <c r="O333" s="883"/>
      <c r="P333" s="883"/>
      <c r="Q333" s="883"/>
      <c r="R333" s="883"/>
      <c r="S333" s="883"/>
      <c r="T333" s="883"/>
      <c r="U333" s="883"/>
      <c r="V333" s="883"/>
      <c r="W333" s="883"/>
      <c r="X333" s="883"/>
      <c r="Y333" s="883"/>
      <c r="Z333" s="883"/>
      <c r="AA333" s="883"/>
      <c r="AB333" s="274"/>
      <c r="AC333" s="289"/>
      <c r="AD333" s="885" t="str">
        <f t="shared" si="143"/>
        <v/>
      </c>
      <c r="AE333" s="885"/>
      <c r="AF333" s="885"/>
      <c r="AG333" s="885"/>
      <c r="AH333" s="9"/>
      <c r="AI333" s="288" t="str">
        <f t="shared" si="136"/>
        <v/>
      </c>
      <c r="AJ333" s="13" t="str">
        <f t="shared" si="136"/>
        <v/>
      </c>
      <c r="AK333" s="708" t="str">
        <f t="shared" ref="AK333" si="160">IF(AK63="","",AK63)</f>
        <v/>
      </c>
      <c r="AL333" s="13" t="str">
        <f t="shared" si="136"/>
        <v/>
      </c>
      <c r="AM333" s="705"/>
      <c r="AN333" s="705"/>
      <c r="AO333" s="289"/>
      <c r="AP333" s="273" t="str">
        <f t="shared" si="145"/>
        <v/>
      </c>
      <c r="AQ333" s="13" t="str">
        <f t="shared" si="145"/>
        <v/>
      </c>
      <c r="AR333" s="273" t="str">
        <f t="shared" ref="AR333:AS333" si="161">IF(AR63="","",AR63)</f>
        <v/>
      </c>
      <c r="AS333" s="705" t="str">
        <f t="shared" si="161"/>
        <v/>
      </c>
      <c r="AT333" s="705"/>
      <c r="AU333" s="705"/>
      <c r="AV333" s="13"/>
      <c r="AW333" s="746" t="str">
        <f t="shared" si="147"/>
        <v/>
      </c>
      <c r="AX333" s="746"/>
      <c r="AY333" s="75" t="str">
        <f t="shared" si="148"/>
        <v/>
      </c>
      <c r="AZ333" s="13" t="str">
        <f t="shared" si="148"/>
        <v/>
      </c>
      <c r="BA333" s="75" t="str">
        <f t="shared" ref="BA333:BB333" si="162">IF(BA63="","",BA63)</f>
        <v/>
      </c>
      <c r="BB333" s="705" t="str">
        <f t="shared" si="162"/>
        <v/>
      </c>
      <c r="BC333" s="705"/>
      <c r="BD333" s="705"/>
      <c r="BE333" s="746" t="str">
        <f t="shared" si="148"/>
        <v/>
      </c>
      <c r="BF333" s="746"/>
      <c r="BG333" s="13" t="s">
        <v>142</v>
      </c>
      <c r="BH333" s="884" t="str">
        <f t="shared" si="150"/>
        <v/>
      </c>
      <c r="BI333" s="884"/>
      <c r="BJ333" s="590"/>
      <c r="BO333" s="94"/>
      <c r="BP333" s="94"/>
      <c r="BQ333" s="94"/>
      <c r="BR333" s="94"/>
      <c r="BS333" s="94"/>
      <c r="BT333" s="94"/>
      <c r="BU333" s="94"/>
      <c r="BV333" s="94"/>
      <c r="BW333" s="94"/>
      <c r="BX333" s="94"/>
      <c r="BY333" s="94"/>
      <c r="BZ333" s="94"/>
      <c r="CA333" s="94"/>
      <c r="CB333" s="94"/>
      <c r="CC333" s="94"/>
      <c r="CD333" s="94"/>
      <c r="CE333" s="94"/>
      <c r="CF333" s="94"/>
      <c r="CG333" s="94"/>
      <c r="CH333" s="94"/>
      <c r="CI333" s="94"/>
      <c r="CJ333" s="94"/>
      <c r="CK333" s="94"/>
      <c r="CL333" s="94"/>
      <c r="CM333" s="94"/>
      <c r="CN333" s="94"/>
      <c r="CO333" s="94"/>
      <c r="CP333" s="94"/>
      <c r="CQ333" s="94"/>
      <c r="CR333" s="94"/>
      <c r="CS333" s="94"/>
      <c r="CT333" s="94"/>
      <c r="CU333" s="94"/>
      <c r="CV333" s="94"/>
      <c r="CW333" s="94"/>
      <c r="CX333" s="94"/>
      <c r="CY333" s="94"/>
      <c r="CZ333" s="94"/>
    </row>
    <row r="334" spans="1:178" ht="12.75">
      <c r="A334" s="74"/>
      <c r="B334" s="288" t="str">
        <f t="shared" si="140"/>
        <v/>
      </c>
      <c r="C334" s="9"/>
      <c r="D334" s="288" t="str">
        <f t="shared" si="140"/>
        <v/>
      </c>
      <c r="E334" s="274"/>
      <c r="F334" s="883" t="str">
        <f t="shared" si="141"/>
        <v/>
      </c>
      <c r="G334" s="883"/>
      <c r="H334" s="883"/>
      <c r="I334" s="883"/>
      <c r="J334" s="883"/>
      <c r="K334" s="883"/>
      <c r="L334" s="883"/>
      <c r="M334" s="883"/>
      <c r="N334" s="883"/>
      <c r="O334" s="883"/>
      <c r="P334" s="883"/>
      <c r="Q334" s="883"/>
      <c r="R334" s="883"/>
      <c r="S334" s="883"/>
      <c r="T334" s="883"/>
      <c r="U334" s="883"/>
      <c r="V334" s="883"/>
      <c r="W334" s="883"/>
      <c r="X334" s="883"/>
      <c r="Y334" s="883"/>
      <c r="Z334" s="883"/>
      <c r="AA334" s="883"/>
      <c r="AB334" s="274"/>
      <c r="AC334" s="289"/>
      <c r="AD334" s="885" t="str">
        <f t="shared" si="143"/>
        <v/>
      </c>
      <c r="AE334" s="885"/>
      <c r="AF334" s="885"/>
      <c r="AG334" s="885"/>
      <c r="AH334" s="9"/>
      <c r="AI334" s="288" t="str">
        <f t="shared" si="136"/>
        <v/>
      </c>
      <c r="AJ334" s="13" t="str">
        <f t="shared" si="136"/>
        <v/>
      </c>
      <c r="AK334" s="708" t="str">
        <f t="shared" ref="AK334" si="163">IF(AK64="","",AK64)</f>
        <v/>
      </c>
      <c r="AL334" s="13" t="str">
        <f t="shared" si="136"/>
        <v/>
      </c>
      <c r="AM334" s="705"/>
      <c r="AN334" s="705"/>
      <c r="AO334" s="289"/>
      <c r="AP334" s="273" t="str">
        <f t="shared" si="145"/>
        <v/>
      </c>
      <c r="AQ334" s="13" t="str">
        <f t="shared" si="145"/>
        <v/>
      </c>
      <c r="AR334" s="273" t="str">
        <f t="shared" ref="AR334:AS334" si="164">IF(AR64="","",AR64)</f>
        <v/>
      </c>
      <c r="AS334" s="705" t="str">
        <f t="shared" si="164"/>
        <v/>
      </c>
      <c r="AT334" s="705"/>
      <c r="AU334" s="705"/>
      <c r="AV334" s="13"/>
      <c r="AW334" s="746" t="str">
        <f t="shared" si="147"/>
        <v/>
      </c>
      <c r="AX334" s="746"/>
      <c r="AY334" s="75" t="str">
        <f t="shared" si="148"/>
        <v/>
      </c>
      <c r="AZ334" s="13" t="str">
        <f t="shared" si="148"/>
        <v/>
      </c>
      <c r="BA334" s="75" t="str">
        <f t="shared" ref="BA334:BB334" si="165">IF(BA64="","",BA64)</f>
        <v/>
      </c>
      <c r="BB334" s="705" t="str">
        <f t="shared" si="165"/>
        <v/>
      </c>
      <c r="BC334" s="705"/>
      <c r="BD334" s="705"/>
      <c r="BE334" s="746" t="str">
        <f t="shared" si="148"/>
        <v/>
      </c>
      <c r="BF334" s="746"/>
      <c r="BG334" s="13" t="s">
        <v>142</v>
      </c>
      <c r="BH334" s="884" t="str">
        <f t="shared" si="150"/>
        <v/>
      </c>
      <c r="BI334" s="884"/>
      <c r="BJ334" s="590"/>
      <c r="BO334" s="94"/>
      <c r="BP334" s="94"/>
      <c r="BQ334" s="94"/>
      <c r="BR334" s="94"/>
      <c r="BS334" s="94"/>
      <c r="BT334" s="94"/>
      <c r="BU334" s="94"/>
      <c r="BV334" s="94"/>
      <c r="BW334" s="94"/>
      <c r="BX334" s="94"/>
      <c r="BY334" s="94"/>
      <c r="BZ334" s="94"/>
      <c r="CA334" s="94"/>
      <c r="CB334" s="94"/>
      <c r="CC334" s="94"/>
      <c r="CD334" s="94"/>
      <c r="CE334" s="94"/>
      <c r="CF334" s="94"/>
      <c r="CG334" s="94"/>
      <c r="CH334" s="94"/>
      <c r="CI334" s="94"/>
      <c r="CJ334" s="94"/>
      <c r="CK334" s="94"/>
      <c r="CL334" s="94"/>
      <c r="CM334" s="94"/>
      <c r="CN334" s="94"/>
      <c r="CO334" s="94"/>
      <c r="CP334" s="94"/>
      <c r="CQ334" s="94"/>
      <c r="CR334" s="94"/>
      <c r="CS334" s="94"/>
      <c r="CT334" s="94"/>
      <c r="CU334" s="94"/>
      <c r="CV334" s="94"/>
      <c r="CW334" s="94"/>
      <c r="CX334" s="94"/>
      <c r="CY334" s="94"/>
      <c r="CZ334" s="94"/>
    </row>
    <row r="335" spans="1:178" ht="12.75">
      <c r="A335" s="74"/>
      <c r="B335" s="288" t="str">
        <f t="shared" si="140"/>
        <v/>
      </c>
      <c r="C335" s="9"/>
      <c r="D335" s="288" t="str">
        <f t="shared" si="140"/>
        <v/>
      </c>
      <c r="E335" s="274"/>
      <c r="F335" s="883" t="str">
        <f t="shared" si="141"/>
        <v/>
      </c>
      <c r="G335" s="883"/>
      <c r="H335" s="883"/>
      <c r="I335" s="883"/>
      <c r="J335" s="883"/>
      <c r="K335" s="883"/>
      <c r="L335" s="883"/>
      <c r="M335" s="883"/>
      <c r="N335" s="883"/>
      <c r="O335" s="883"/>
      <c r="P335" s="883"/>
      <c r="Q335" s="883"/>
      <c r="R335" s="883"/>
      <c r="S335" s="883"/>
      <c r="T335" s="883"/>
      <c r="U335" s="883"/>
      <c r="V335" s="883"/>
      <c r="W335" s="883"/>
      <c r="X335" s="883"/>
      <c r="Y335" s="883"/>
      <c r="Z335" s="883"/>
      <c r="AA335" s="883"/>
      <c r="AB335" s="274"/>
      <c r="AC335" s="289"/>
      <c r="AD335" s="885" t="str">
        <f t="shared" si="143"/>
        <v/>
      </c>
      <c r="AE335" s="885"/>
      <c r="AF335" s="885"/>
      <c r="AG335" s="885"/>
      <c r="AH335" s="9"/>
      <c r="AI335" s="288" t="str">
        <f t="shared" si="136"/>
        <v/>
      </c>
      <c r="AJ335" s="13" t="str">
        <f t="shared" si="136"/>
        <v/>
      </c>
      <c r="AK335" s="708" t="str">
        <f t="shared" ref="AK335" si="166">IF(AK65="","",AK65)</f>
        <v/>
      </c>
      <c r="AL335" s="13" t="str">
        <f t="shared" si="136"/>
        <v/>
      </c>
      <c r="AM335" s="705"/>
      <c r="AN335" s="705"/>
      <c r="AO335" s="289"/>
      <c r="AP335" s="273" t="str">
        <f t="shared" si="145"/>
        <v/>
      </c>
      <c r="AQ335" s="13" t="str">
        <f t="shared" si="145"/>
        <v/>
      </c>
      <c r="AR335" s="273" t="str">
        <f t="shared" ref="AR335:AS335" si="167">IF(AR65="","",AR65)</f>
        <v/>
      </c>
      <c r="AS335" s="705" t="str">
        <f t="shared" si="167"/>
        <v/>
      </c>
      <c r="AT335" s="705"/>
      <c r="AU335" s="705"/>
      <c r="AV335" s="13"/>
      <c r="AW335" s="746" t="str">
        <f t="shared" si="147"/>
        <v/>
      </c>
      <c r="AX335" s="746"/>
      <c r="AY335" s="75" t="str">
        <f t="shared" si="148"/>
        <v/>
      </c>
      <c r="AZ335" s="13" t="str">
        <f t="shared" si="148"/>
        <v/>
      </c>
      <c r="BA335" s="75" t="str">
        <f t="shared" ref="BA335:BB335" si="168">IF(BA65="","",BA65)</f>
        <v/>
      </c>
      <c r="BB335" s="705" t="str">
        <f t="shared" si="168"/>
        <v/>
      </c>
      <c r="BC335" s="705"/>
      <c r="BD335" s="705"/>
      <c r="BE335" s="746" t="str">
        <f t="shared" si="148"/>
        <v/>
      </c>
      <c r="BF335" s="746"/>
      <c r="BG335" s="13" t="s">
        <v>142</v>
      </c>
      <c r="BH335" s="884" t="str">
        <f t="shared" si="150"/>
        <v/>
      </c>
      <c r="BI335" s="884"/>
      <c r="BJ335" s="590"/>
      <c r="BO335" s="94"/>
      <c r="BP335" s="94"/>
      <c r="BQ335" s="94"/>
      <c r="BR335" s="94"/>
      <c r="BS335" s="94"/>
      <c r="BT335" s="94"/>
      <c r="BU335" s="94"/>
      <c r="BV335" s="94"/>
      <c r="BW335" s="94"/>
      <c r="BX335" s="94"/>
      <c r="BY335" s="94"/>
      <c r="BZ335" s="94"/>
      <c r="CA335" s="94"/>
      <c r="CB335" s="94"/>
      <c r="CC335" s="94"/>
      <c r="CD335" s="94"/>
      <c r="CE335" s="94"/>
      <c r="CF335" s="94"/>
      <c r="CG335" s="94"/>
      <c r="CH335" s="94"/>
      <c r="CI335" s="94"/>
      <c r="CJ335" s="94"/>
      <c r="CK335" s="94"/>
      <c r="CL335" s="94"/>
      <c r="CM335" s="94"/>
      <c r="CN335" s="94"/>
      <c r="CO335" s="94"/>
      <c r="CP335" s="94"/>
      <c r="CQ335" s="94"/>
      <c r="CR335" s="94"/>
      <c r="CS335" s="94"/>
      <c r="CT335" s="94"/>
      <c r="CU335" s="94"/>
      <c r="CV335" s="94"/>
      <c r="CW335" s="94"/>
      <c r="CX335" s="94"/>
      <c r="CY335" s="94"/>
      <c r="CZ335" s="94"/>
    </row>
    <row r="336" spans="1:178" ht="12.75">
      <c r="A336" s="74"/>
      <c r="B336" s="288" t="str">
        <f t="shared" si="140"/>
        <v/>
      </c>
      <c r="C336" s="9"/>
      <c r="D336" s="288" t="str">
        <f t="shared" si="140"/>
        <v/>
      </c>
      <c r="E336" s="274"/>
      <c r="F336" s="883" t="str">
        <f t="shared" si="141"/>
        <v/>
      </c>
      <c r="G336" s="883"/>
      <c r="H336" s="883"/>
      <c r="I336" s="883"/>
      <c r="J336" s="883"/>
      <c r="K336" s="883"/>
      <c r="L336" s="883"/>
      <c r="M336" s="883"/>
      <c r="N336" s="883"/>
      <c r="O336" s="883"/>
      <c r="P336" s="883"/>
      <c r="Q336" s="883"/>
      <c r="R336" s="883"/>
      <c r="S336" s="883"/>
      <c r="T336" s="883"/>
      <c r="U336" s="883"/>
      <c r="V336" s="883"/>
      <c r="W336" s="883"/>
      <c r="X336" s="883"/>
      <c r="Y336" s="883"/>
      <c r="Z336" s="883"/>
      <c r="AA336" s="883"/>
      <c r="AB336" s="274"/>
      <c r="AC336" s="289"/>
      <c r="AD336" s="885" t="str">
        <f t="shared" si="143"/>
        <v/>
      </c>
      <c r="AE336" s="885"/>
      <c r="AF336" s="885"/>
      <c r="AG336" s="885"/>
      <c r="AH336" s="9"/>
      <c r="AI336" s="288" t="str">
        <f t="shared" si="136"/>
        <v/>
      </c>
      <c r="AJ336" s="13" t="str">
        <f t="shared" si="136"/>
        <v/>
      </c>
      <c r="AK336" s="708" t="str">
        <f t="shared" ref="AK336" si="169">IF(AK66="","",AK66)</f>
        <v/>
      </c>
      <c r="AL336" s="13" t="str">
        <f t="shared" si="136"/>
        <v/>
      </c>
      <c r="AM336" s="705"/>
      <c r="AN336" s="705"/>
      <c r="AO336" s="289"/>
      <c r="AP336" s="273" t="str">
        <f t="shared" si="145"/>
        <v/>
      </c>
      <c r="AQ336" s="13" t="str">
        <f t="shared" si="145"/>
        <v/>
      </c>
      <c r="AR336" s="273" t="str">
        <f t="shared" ref="AR336:AS336" si="170">IF(AR66="","",AR66)</f>
        <v/>
      </c>
      <c r="AS336" s="705" t="str">
        <f t="shared" si="170"/>
        <v/>
      </c>
      <c r="AT336" s="705"/>
      <c r="AU336" s="705"/>
      <c r="AV336" s="13"/>
      <c r="AW336" s="746" t="str">
        <f t="shared" si="147"/>
        <v/>
      </c>
      <c r="AX336" s="746"/>
      <c r="AY336" s="75" t="str">
        <f t="shared" si="148"/>
        <v/>
      </c>
      <c r="AZ336" s="13" t="str">
        <f t="shared" si="148"/>
        <v/>
      </c>
      <c r="BA336" s="75" t="str">
        <f t="shared" ref="BA336:BB336" si="171">IF(BA66="","",BA66)</f>
        <v/>
      </c>
      <c r="BB336" s="705" t="str">
        <f t="shared" si="171"/>
        <v/>
      </c>
      <c r="BC336" s="705"/>
      <c r="BD336" s="705"/>
      <c r="BE336" s="746" t="str">
        <f t="shared" si="148"/>
        <v/>
      </c>
      <c r="BF336" s="746"/>
      <c r="BG336" s="13" t="s">
        <v>142</v>
      </c>
      <c r="BH336" s="884" t="str">
        <f t="shared" si="150"/>
        <v/>
      </c>
      <c r="BI336" s="884"/>
      <c r="BJ336" s="590"/>
      <c r="BO336" s="94"/>
      <c r="BP336" s="94"/>
      <c r="BQ336" s="94"/>
      <c r="BR336" s="94"/>
      <c r="BS336" s="94"/>
      <c r="BT336" s="94"/>
      <c r="BU336" s="94"/>
      <c r="BV336" s="94"/>
      <c r="BW336" s="94"/>
      <c r="BX336" s="94"/>
      <c r="BY336" s="94"/>
      <c r="BZ336" s="94"/>
      <c r="CA336" s="94"/>
      <c r="CB336" s="94"/>
      <c r="CC336" s="94"/>
      <c r="CD336" s="94"/>
      <c r="CE336" s="94"/>
      <c r="CF336" s="94"/>
      <c r="CG336" s="94"/>
      <c r="CH336" s="94"/>
      <c r="CI336" s="94"/>
      <c r="CJ336" s="94"/>
      <c r="CK336" s="94"/>
      <c r="CL336" s="94"/>
      <c r="CM336" s="94"/>
      <c r="CN336" s="94"/>
      <c r="CO336" s="94"/>
      <c r="CP336" s="94"/>
      <c r="CQ336" s="94"/>
      <c r="CR336" s="94"/>
      <c r="CS336" s="94"/>
      <c r="CT336" s="94"/>
      <c r="CU336" s="94"/>
      <c r="CV336" s="94"/>
      <c r="CW336" s="94"/>
      <c r="CX336" s="94"/>
      <c r="CY336" s="94"/>
      <c r="CZ336" s="94"/>
    </row>
    <row r="337" spans="1:178" ht="12.75">
      <c r="A337" s="74"/>
      <c r="B337" s="288" t="str">
        <f t="shared" si="140"/>
        <v/>
      </c>
      <c r="C337" s="9"/>
      <c r="D337" s="288" t="str">
        <f t="shared" si="140"/>
        <v/>
      </c>
      <c r="E337" s="274"/>
      <c r="F337" s="883" t="str">
        <f t="shared" si="141"/>
        <v/>
      </c>
      <c r="G337" s="883"/>
      <c r="H337" s="883"/>
      <c r="I337" s="883"/>
      <c r="J337" s="883"/>
      <c r="K337" s="883"/>
      <c r="L337" s="883"/>
      <c r="M337" s="883"/>
      <c r="N337" s="883"/>
      <c r="O337" s="883"/>
      <c r="P337" s="883"/>
      <c r="Q337" s="883"/>
      <c r="R337" s="883"/>
      <c r="S337" s="883"/>
      <c r="T337" s="883"/>
      <c r="U337" s="883"/>
      <c r="V337" s="883"/>
      <c r="W337" s="883"/>
      <c r="X337" s="883"/>
      <c r="Y337" s="883"/>
      <c r="Z337" s="883"/>
      <c r="AA337" s="883"/>
      <c r="AB337" s="274"/>
      <c r="AC337" s="289"/>
      <c r="AD337" s="885" t="str">
        <f t="shared" si="143"/>
        <v/>
      </c>
      <c r="AE337" s="885"/>
      <c r="AF337" s="885"/>
      <c r="AG337" s="885"/>
      <c r="AH337" s="9"/>
      <c r="AI337" s="288" t="str">
        <f t="shared" si="136"/>
        <v/>
      </c>
      <c r="AJ337" s="13" t="str">
        <f t="shared" si="136"/>
        <v/>
      </c>
      <c r="AK337" s="708" t="str">
        <f t="shared" ref="AK337" si="172">IF(AK67="","",AK67)</f>
        <v/>
      </c>
      <c r="AL337" s="13" t="str">
        <f t="shared" si="136"/>
        <v/>
      </c>
      <c r="AM337" s="705"/>
      <c r="AN337" s="705"/>
      <c r="AO337" s="289"/>
      <c r="AP337" s="273" t="str">
        <f t="shared" si="145"/>
        <v/>
      </c>
      <c r="AQ337" s="13" t="str">
        <f t="shared" si="145"/>
        <v/>
      </c>
      <c r="AR337" s="273" t="str">
        <f t="shared" ref="AR337:AS337" si="173">IF(AR67="","",AR67)</f>
        <v/>
      </c>
      <c r="AS337" s="705" t="str">
        <f t="shared" si="173"/>
        <v/>
      </c>
      <c r="AT337" s="705"/>
      <c r="AU337" s="705"/>
      <c r="AV337" s="13"/>
      <c r="AW337" s="746" t="str">
        <f t="shared" si="147"/>
        <v/>
      </c>
      <c r="AX337" s="746"/>
      <c r="AY337" s="75" t="str">
        <f t="shared" si="148"/>
        <v/>
      </c>
      <c r="AZ337" s="13" t="str">
        <f t="shared" si="148"/>
        <v/>
      </c>
      <c r="BA337" s="75" t="str">
        <f t="shared" ref="BA337:BB337" si="174">IF(BA67="","",BA67)</f>
        <v/>
      </c>
      <c r="BB337" s="705" t="str">
        <f t="shared" si="174"/>
        <v/>
      </c>
      <c r="BC337" s="705"/>
      <c r="BD337" s="705"/>
      <c r="BE337" s="746" t="str">
        <f t="shared" si="148"/>
        <v/>
      </c>
      <c r="BF337" s="746"/>
      <c r="BG337" s="13" t="s">
        <v>142</v>
      </c>
      <c r="BH337" s="884" t="str">
        <f t="shared" si="150"/>
        <v/>
      </c>
      <c r="BI337" s="884"/>
      <c r="BJ337" s="590"/>
      <c r="BO337" s="94"/>
      <c r="BP337" s="94"/>
      <c r="BQ337" s="94"/>
      <c r="BR337" s="94"/>
      <c r="BS337" s="94"/>
      <c r="BT337" s="94"/>
      <c r="BU337" s="94"/>
      <c r="BV337" s="94"/>
      <c r="BW337" s="94"/>
      <c r="BX337" s="94"/>
      <c r="BY337" s="94"/>
      <c r="BZ337" s="94"/>
      <c r="CA337" s="94"/>
      <c r="CB337" s="94"/>
      <c r="CC337" s="94"/>
      <c r="CD337" s="94"/>
      <c r="CE337" s="94"/>
      <c r="CF337" s="94"/>
      <c r="CG337" s="94"/>
      <c r="CH337" s="94"/>
      <c r="CI337" s="94"/>
      <c r="CJ337" s="94"/>
      <c r="CK337" s="94"/>
      <c r="CL337" s="94"/>
      <c r="CM337" s="94"/>
      <c r="CN337" s="94"/>
      <c r="CO337" s="94"/>
      <c r="CP337" s="94"/>
      <c r="CQ337" s="94"/>
      <c r="CR337" s="94"/>
      <c r="CS337" s="94"/>
      <c r="CT337" s="94"/>
      <c r="CU337" s="94"/>
      <c r="CV337" s="94"/>
      <c r="CW337" s="94"/>
      <c r="CX337" s="94"/>
      <c r="CY337" s="94"/>
      <c r="CZ337" s="94"/>
    </row>
    <row r="338" spans="1:178" ht="12.75">
      <c r="A338" s="74"/>
      <c r="B338" s="288" t="str">
        <f t="shared" si="140"/>
        <v/>
      </c>
      <c r="C338" s="9"/>
      <c r="D338" s="288" t="str">
        <f t="shared" si="140"/>
        <v/>
      </c>
      <c r="E338" s="274"/>
      <c r="F338" s="883" t="str">
        <f t="shared" si="141"/>
        <v/>
      </c>
      <c r="G338" s="883"/>
      <c r="H338" s="883"/>
      <c r="I338" s="883"/>
      <c r="J338" s="883"/>
      <c r="K338" s="883"/>
      <c r="L338" s="883"/>
      <c r="M338" s="883"/>
      <c r="N338" s="883"/>
      <c r="O338" s="883"/>
      <c r="P338" s="883"/>
      <c r="Q338" s="883"/>
      <c r="R338" s="883"/>
      <c r="S338" s="883"/>
      <c r="T338" s="883"/>
      <c r="U338" s="883"/>
      <c r="V338" s="883"/>
      <c r="W338" s="883"/>
      <c r="X338" s="883"/>
      <c r="Y338" s="883"/>
      <c r="Z338" s="883"/>
      <c r="AA338" s="883"/>
      <c r="AB338" s="274"/>
      <c r="AC338" s="289"/>
      <c r="AD338" s="885" t="str">
        <f t="shared" si="143"/>
        <v/>
      </c>
      <c r="AE338" s="885"/>
      <c r="AF338" s="885"/>
      <c r="AG338" s="885"/>
      <c r="AH338" s="9"/>
      <c r="AI338" s="288" t="str">
        <f t="shared" si="136"/>
        <v/>
      </c>
      <c r="AJ338" s="13" t="str">
        <f t="shared" si="136"/>
        <v/>
      </c>
      <c r="AK338" s="708" t="str">
        <f t="shared" ref="AK338" si="175">IF(AK68="","",AK68)</f>
        <v/>
      </c>
      <c r="AL338" s="13" t="str">
        <f t="shared" si="136"/>
        <v/>
      </c>
      <c r="AM338" s="705"/>
      <c r="AN338" s="705"/>
      <c r="AO338" s="289"/>
      <c r="AP338" s="273" t="str">
        <f t="shared" si="145"/>
        <v/>
      </c>
      <c r="AQ338" s="13" t="str">
        <f t="shared" si="145"/>
        <v/>
      </c>
      <c r="AR338" s="273" t="str">
        <f t="shared" ref="AR338:AS338" si="176">IF(AR68="","",AR68)</f>
        <v/>
      </c>
      <c r="AS338" s="705" t="str">
        <f t="shared" si="176"/>
        <v/>
      </c>
      <c r="AT338" s="705"/>
      <c r="AU338" s="705"/>
      <c r="AV338" s="13"/>
      <c r="AW338" s="746" t="str">
        <f t="shared" si="147"/>
        <v/>
      </c>
      <c r="AX338" s="746"/>
      <c r="AY338" s="75" t="str">
        <f t="shared" si="148"/>
        <v/>
      </c>
      <c r="AZ338" s="13" t="str">
        <f t="shared" si="148"/>
        <v/>
      </c>
      <c r="BA338" s="75" t="str">
        <f t="shared" ref="BA338:BB338" si="177">IF(BA68="","",BA68)</f>
        <v/>
      </c>
      <c r="BB338" s="705" t="str">
        <f t="shared" si="177"/>
        <v/>
      </c>
      <c r="BC338" s="705"/>
      <c r="BD338" s="705"/>
      <c r="BE338" s="746" t="str">
        <f t="shared" si="148"/>
        <v/>
      </c>
      <c r="BF338" s="746"/>
      <c r="BG338" s="13" t="s">
        <v>142</v>
      </c>
      <c r="BH338" s="884" t="str">
        <f t="shared" si="150"/>
        <v/>
      </c>
      <c r="BI338" s="884"/>
      <c r="BJ338" s="590"/>
      <c r="BO338" s="94"/>
      <c r="BP338" s="94"/>
      <c r="BQ338" s="94"/>
      <c r="BR338" s="94"/>
      <c r="BS338" s="94"/>
      <c r="BT338" s="94"/>
      <c r="BU338" s="94"/>
      <c r="BV338" s="94"/>
      <c r="BW338" s="94"/>
      <c r="BX338" s="94"/>
      <c r="BY338" s="94"/>
      <c r="BZ338" s="94"/>
      <c r="CA338" s="94"/>
      <c r="CB338" s="94"/>
      <c r="CC338" s="94"/>
      <c r="CD338" s="94"/>
      <c r="CE338" s="94"/>
      <c r="CF338" s="94"/>
      <c r="CG338" s="94"/>
      <c r="CH338" s="94"/>
      <c r="CI338" s="94"/>
      <c r="CJ338" s="94"/>
      <c r="CK338" s="94"/>
      <c r="CL338" s="94"/>
      <c r="CM338" s="94"/>
      <c r="CN338" s="94"/>
      <c r="CO338" s="94"/>
      <c r="CP338" s="94"/>
      <c r="CQ338" s="94"/>
      <c r="CR338" s="94"/>
      <c r="CS338" s="94"/>
      <c r="CT338" s="94"/>
      <c r="CU338" s="94"/>
      <c r="CV338" s="94"/>
      <c r="CW338" s="94"/>
      <c r="CX338" s="94"/>
      <c r="CY338" s="94"/>
      <c r="CZ338" s="94"/>
    </row>
    <row r="339" spans="1:178" ht="13.5" thickBot="1">
      <c r="A339" s="76"/>
      <c r="B339" s="651"/>
      <c r="C339" s="276"/>
      <c r="D339" s="651"/>
      <c r="E339" s="651"/>
      <c r="F339" s="652"/>
      <c r="G339" s="652"/>
      <c r="H339" s="652"/>
      <c r="I339" s="652"/>
      <c r="J339" s="652"/>
      <c r="K339" s="652"/>
      <c r="L339" s="652"/>
      <c r="M339" s="652"/>
      <c r="N339" s="652"/>
      <c r="O339" s="652"/>
      <c r="P339" s="652"/>
      <c r="Q339" s="653"/>
      <c r="R339" s="651"/>
      <c r="S339" s="651"/>
      <c r="T339" s="651"/>
      <c r="U339" s="651"/>
      <c r="V339" s="654"/>
      <c r="W339" s="651"/>
      <c r="X339" s="651"/>
      <c r="Y339" s="651"/>
      <c r="Z339" s="651"/>
      <c r="AA339" s="651"/>
      <c r="AB339" s="651"/>
      <c r="AC339" s="654"/>
      <c r="AD339" s="655"/>
      <c r="AE339" s="655"/>
      <c r="AF339" s="655"/>
      <c r="AG339" s="655"/>
      <c r="AH339" s="276"/>
      <c r="AI339" s="651"/>
      <c r="AJ339" s="656"/>
      <c r="AK339" s="663"/>
      <c r="AL339" s="656"/>
      <c r="AM339" s="656"/>
      <c r="AN339" s="656"/>
      <c r="AO339" s="654"/>
      <c r="AP339" s="657"/>
      <c r="AQ339" s="656"/>
      <c r="AR339" s="657"/>
      <c r="AS339" s="656"/>
      <c r="AT339" s="656"/>
      <c r="AU339" s="656"/>
      <c r="AV339" s="656"/>
      <c r="AW339" s="658"/>
      <c r="AX339" s="658"/>
      <c r="AY339" s="657"/>
      <c r="AZ339" s="656"/>
      <c r="BA339" s="657"/>
      <c r="BB339" s="656"/>
      <c r="BC339" s="656"/>
      <c r="BD339" s="656"/>
      <c r="BE339" s="658"/>
      <c r="BF339" s="658"/>
      <c r="BG339" s="656"/>
      <c r="BH339" s="659"/>
      <c r="BI339" s="659"/>
      <c r="BJ339" s="660"/>
      <c r="BO339" s="102"/>
      <c r="BP339" s="102"/>
      <c r="BQ339" s="102"/>
      <c r="BR339" s="102"/>
      <c r="BS339" s="102"/>
      <c r="BT339" s="102"/>
      <c r="BU339" s="102"/>
      <c r="BV339" s="102"/>
      <c r="BW339" s="102"/>
      <c r="BX339" s="102"/>
      <c r="BY339" s="94"/>
      <c r="BZ339" s="94"/>
      <c r="CA339" s="94"/>
      <c r="CB339" s="94"/>
      <c r="CC339" s="94"/>
      <c r="CD339" s="94"/>
      <c r="CE339" s="94"/>
      <c r="CF339" s="94"/>
      <c r="CG339" s="94"/>
      <c r="CH339" s="94"/>
      <c r="CI339" s="94"/>
      <c r="CJ339" s="94"/>
      <c r="CK339" s="94"/>
      <c r="CL339" s="94"/>
      <c r="CM339" s="94"/>
      <c r="CN339" s="94"/>
      <c r="CO339" s="94"/>
      <c r="CP339" s="94"/>
      <c r="CQ339" s="94"/>
      <c r="CR339" s="94"/>
      <c r="CS339" s="94"/>
      <c r="CT339" s="94"/>
      <c r="CU339" s="94"/>
      <c r="CV339" s="94"/>
      <c r="CW339" s="94"/>
      <c r="CX339" s="94"/>
      <c r="CY339" s="94"/>
      <c r="CZ339" s="94"/>
    </row>
    <row r="340" spans="1:178" ht="12.75">
      <c r="B340" s="274"/>
      <c r="C340" s="9"/>
      <c r="D340" s="274"/>
      <c r="E340" s="274"/>
      <c r="F340" s="415"/>
      <c r="G340" s="415"/>
      <c r="H340" s="415"/>
      <c r="I340" s="415"/>
      <c r="J340" s="415"/>
      <c r="K340" s="415"/>
      <c r="L340" s="415"/>
      <c r="M340" s="415"/>
      <c r="N340" s="415"/>
      <c r="O340" s="415"/>
      <c r="P340" s="415"/>
      <c r="Q340" s="284"/>
      <c r="R340" s="274"/>
      <c r="S340" s="274"/>
      <c r="T340" s="274"/>
      <c r="U340" s="274"/>
      <c r="V340" s="289"/>
      <c r="W340" s="274"/>
      <c r="X340" s="274"/>
      <c r="Y340" s="274"/>
      <c r="Z340" s="274"/>
      <c r="AA340" s="274"/>
      <c r="AB340" s="274"/>
      <c r="AC340" s="289"/>
      <c r="AD340" s="416"/>
      <c r="AE340" s="416"/>
      <c r="AF340" s="416"/>
      <c r="AG340" s="416"/>
      <c r="AH340" s="9"/>
      <c r="AI340" s="274"/>
      <c r="AJ340" s="13"/>
      <c r="AK340" s="274"/>
      <c r="AL340" s="13"/>
      <c r="AM340" s="705"/>
      <c r="AN340" s="705"/>
      <c r="AO340" s="289"/>
      <c r="AP340" s="417"/>
      <c r="AQ340" s="13"/>
      <c r="AR340" s="417"/>
      <c r="AS340" s="13"/>
      <c r="AT340" s="705"/>
      <c r="AU340" s="705"/>
      <c r="AV340" s="13"/>
      <c r="AW340" s="10"/>
      <c r="AX340" s="10"/>
      <c r="AY340" s="417"/>
      <c r="AZ340" s="13"/>
      <c r="BA340" s="417"/>
      <c r="BB340" s="13"/>
      <c r="BC340" s="705"/>
      <c r="BD340" s="705"/>
      <c r="BE340" s="10"/>
      <c r="BF340" s="10"/>
      <c r="BG340" s="13" t="s">
        <v>142</v>
      </c>
      <c r="BH340" s="884" t="str">
        <f t="shared" si="150"/>
        <v/>
      </c>
      <c r="BI340" s="884"/>
      <c r="BJ340" s="592"/>
      <c r="BO340" s="102"/>
      <c r="BP340" s="102"/>
      <c r="BQ340" s="102"/>
      <c r="BR340" s="102"/>
      <c r="BS340" s="102"/>
      <c r="BT340" s="102"/>
      <c r="BU340" s="102"/>
      <c r="BV340" s="102"/>
      <c r="BW340" s="102"/>
      <c r="BX340" s="102"/>
      <c r="BY340" s="94"/>
      <c r="BZ340" s="94"/>
      <c r="CA340" s="94"/>
      <c r="CB340" s="94"/>
      <c r="CC340" s="94"/>
      <c r="CD340" s="94"/>
      <c r="CE340" s="94"/>
      <c r="CF340" s="94"/>
      <c r="CG340" s="94"/>
      <c r="CH340" s="94"/>
      <c r="CI340" s="94"/>
      <c r="CJ340" s="94"/>
      <c r="CK340" s="94"/>
      <c r="CL340" s="94"/>
      <c r="CM340" s="94"/>
      <c r="CN340" s="94"/>
      <c r="CO340" s="94"/>
      <c r="CP340" s="94"/>
      <c r="CQ340" s="94"/>
      <c r="CR340" s="94"/>
      <c r="CS340" s="94"/>
      <c r="CT340" s="94"/>
      <c r="CU340" s="94"/>
      <c r="CV340" s="94"/>
      <c r="CW340" s="94"/>
      <c r="CX340" s="94"/>
      <c r="CY340" s="94"/>
      <c r="CZ340" s="94"/>
    </row>
    <row r="341" spans="1:178" ht="6.6" customHeight="1">
      <c r="B341" s="68"/>
      <c r="C341" s="68"/>
      <c r="D341" s="68"/>
      <c r="E341" s="68"/>
      <c r="F341" s="68"/>
      <c r="G341" s="68"/>
      <c r="H341" s="68"/>
      <c r="I341" s="68"/>
      <c r="J341" s="68"/>
      <c r="K341" s="68"/>
      <c r="L341" s="68"/>
      <c r="M341" s="68"/>
      <c r="N341" s="68"/>
      <c r="O341" s="68"/>
      <c r="P341" s="68"/>
      <c r="Q341" s="68"/>
      <c r="AI341" s="68"/>
      <c r="AJ341" s="68"/>
      <c r="AK341" s="68"/>
      <c r="AL341" s="68"/>
      <c r="AM341" s="68"/>
      <c r="AN341" s="68"/>
      <c r="AO341" s="68"/>
      <c r="AP341" s="68"/>
      <c r="AQ341" s="68"/>
      <c r="AR341" s="68"/>
      <c r="AS341" s="68"/>
      <c r="AT341" s="68"/>
      <c r="AU341" s="68"/>
      <c r="AV341" s="68"/>
      <c r="AW341" s="68"/>
      <c r="AX341" s="68"/>
      <c r="AY341" s="68"/>
      <c r="AZ341" s="68"/>
      <c r="BA341" s="68"/>
      <c r="BB341" s="68"/>
      <c r="BC341" s="68"/>
      <c r="BD341" s="68"/>
      <c r="BE341" s="68"/>
      <c r="BF341" s="68"/>
      <c r="BG341" s="68"/>
      <c r="BH341" s="68"/>
      <c r="BI341" s="68"/>
      <c r="BJ341" s="68"/>
      <c r="BN341" s="195"/>
      <c r="BO341" s="94"/>
      <c r="BP341" s="94"/>
      <c r="BQ341" s="94"/>
      <c r="BR341" s="94"/>
      <c r="BS341" s="94"/>
      <c r="BT341" s="94"/>
      <c r="BU341" s="94"/>
      <c r="BV341" s="94"/>
      <c r="BW341" s="94"/>
      <c r="BX341" s="94"/>
      <c r="BY341" s="94"/>
      <c r="BZ341" s="94"/>
      <c r="CA341" s="94"/>
      <c r="CB341" s="94"/>
      <c r="CC341" s="94"/>
      <c r="CD341" s="94"/>
      <c r="CE341" s="94"/>
      <c r="CF341" s="94"/>
      <c r="CG341" s="94"/>
      <c r="CH341" s="94"/>
      <c r="CI341" s="94"/>
      <c r="CJ341" s="94"/>
      <c r="CK341" s="94"/>
      <c r="CL341" s="94"/>
      <c r="CM341" s="94"/>
      <c r="CN341" s="94"/>
      <c r="CO341" s="94"/>
      <c r="CP341" s="94"/>
      <c r="CQ341" s="94"/>
      <c r="CR341" s="94"/>
      <c r="CS341" s="94"/>
      <c r="CT341" s="94"/>
      <c r="CU341" s="94"/>
      <c r="CV341" s="94"/>
      <c r="CW341" s="94"/>
      <c r="CX341" s="94"/>
      <c r="CY341" s="94"/>
      <c r="CZ341" s="94"/>
    </row>
    <row r="342" spans="1:178" ht="7.15" customHeight="1">
      <c r="A342" s="648"/>
      <c r="B342" s="649"/>
      <c r="C342" s="649"/>
      <c r="D342" s="649"/>
      <c r="E342" s="649"/>
      <c r="F342" s="649"/>
      <c r="G342" s="649"/>
      <c r="H342" s="649"/>
      <c r="I342" s="649"/>
      <c r="J342" s="649"/>
      <c r="K342" s="649"/>
      <c r="L342" s="649"/>
      <c r="M342" s="649"/>
      <c r="N342" s="649"/>
      <c r="O342" s="649"/>
      <c r="P342" s="649"/>
      <c r="Q342" s="649"/>
      <c r="R342" s="648"/>
      <c r="S342" s="648"/>
      <c r="T342" s="648"/>
      <c r="U342" s="648"/>
      <c r="V342" s="648"/>
      <c r="W342" s="648"/>
      <c r="X342" s="648"/>
      <c r="Y342" s="648"/>
      <c r="Z342" s="648"/>
      <c r="AA342" s="648"/>
      <c r="AB342" s="648"/>
      <c r="AC342" s="648"/>
      <c r="AD342" s="648"/>
      <c r="AE342" s="648"/>
      <c r="AF342" s="648"/>
      <c r="AG342" s="648"/>
      <c r="AH342" s="648"/>
      <c r="AI342" s="649"/>
      <c r="AJ342" s="649"/>
      <c r="AK342" s="649"/>
      <c r="AL342" s="649"/>
      <c r="AM342" s="649"/>
      <c r="AN342" s="649"/>
      <c r="AO342" s="649"/>
      <c r="AP342" s="649"/>
      <c r="AQ342" s="649"/>
      <c r="AR342" s="649"/>
      <c r="AS342" s="649"/>
      <c r="AT342" s="649"/>
      <c r="AU342" s="649"/>
      <c r="AV342" s="649"/>
      <c r="AW342" s="649"/>
      <c r="AX342" s="649"/>
      <c r="AY342" s="649"/>
      <c r="AZ342" s="649"/>
      <c r="BA342" s="649"/>
      <c r="BB342" s="649"/>
      <c r="BC342" s="649"/>
      <c r="BD342" s="649"/>
      <c r="BE342" s="649"/>
      <c r="BF342" s="649"/>
      <c r="BG342" s="649"/>
      <c r="BH342" s="649"/>
      <c r="BI342" s="649"/>
      <c r="BJ342" s="649"/>
      <c r="BK342" s="648"/>
      <c r="BL342" s="648"/>
      <c r="BM342" s="648"/>
      <c r="BN342" s="650"/>
      <c r="BO342" s="94"/>
      <c r="BP342" s="94"/>
      <c r="BQ342" s="94"/>
      <c r="BR342" s="94"/>
      <c r="BS342" s="94"/>
      <c r="BT342" s="94"/>
      <c r="BU342" s="94"/>
      <c r="BV342" s="94"/>
      <c r="BW342" s="94"/>
      <c r="BX342" s="94"/>
      <c r="BY342" s="94"/>
      <c r="BZ342" s="94"/>
      <c r="CA342" s="94"/>
      <c r="CB342" s="94"/>
      <c r="CC342" s="94"/>
      <c r="CD342" s="94"/>
      <c r="CE342" s="94"/>
      <c r="CF342" s="94"/>
      <c r="CG342" s="94"/>
      <c r="CH342" s="94"/>
      <c r="CI342" s="94"/>
      <c r="CJ342" s="94"/>
      <c r="CK342" s="94"/>
      <c r="CL342" s="94"/>
      <c r="CM342" s="94"/>
      <c r="CN342" s="94"/>
      <c r="CO342" s="94"/>
      <c r="CP342" s="94"/>
      <c r="CQ342" s="94"/>
      <c r="CR342" s="94"/>
      <c r="CS342" s="94"/>
      <c r="CT342" s="94"/>
      <c r="CU342" s="94"/>
      <c r="CV342" s="94"/>
      <c r="CW342" s="94"/>
      <c r="CX342" s="94"/>
      <c r="CY342" s="94"/>
      <c r="CZ342" s="94"/>
    </row>
    <row r="343" spans="1:178" ht="18">
      <c r="A343" s="625" t="str">
        <f>A73</f>
        <v>Common Area Energy Efficiency Incentives for Retrofits</v>
      </c>
      <c r="B343" s="67"/>
      <c r="C343" s="68"/>
      <c r="D343" s="68"/>
      <c r="E343" s="68"/>
      <c r="F343" s="68"/>
      <c r="G343" s="68"/>
      <c r="H343" s="68"/>
      <c r="I343" s="68"/>
      <c r="J343" s="68"/>
      <c r="K343" s="68"/>
      <c r="L343" s="68"/>
      <c r="M343" s="68"/>
      <c r="N343" s="68"/>
      <c r="O343" s="68"/>
      <c r="P343" s="68"/>
      <c r="Q343" s="68"/>
      <c r="AB343" s="623" t="str">
        <f t="shared" ref="AB343:AB344" si="178">IF(AB73="","",AB73)</f>
        <v>Original heating type in the common area prior to retrofit?</v>
      </c>
      <c r="AD343" s="930" t="str">
        <f>IF(AD73="","",AD73)</f>
        <v>(Please Select)</v>
      </c>
      <c r="AE343" s="889"/>
      <c r="AF343" s="889"/>
      <c r="AG343" s="931"/>
      <c r="AI343" s="409" t="str">
        <f t="shared" ref="AI343:AI344" si="179">IF(AI73="","",AI73)</f>
        <v>*Required (May differ from Final Application tab if existing fuel type is different from new fuel type.)</v>
      </c>
      <c r="AJ343" s="68"/>
      <c r="AK343" s="68"/>
      <c r="AL343" s="68"/>
      <c r="AM343" s="68"/>
      <c r="AN343" s="68"/>
      <c r="AO343" s="68"/>
      <c r="AP343" s="68"/>
      <c r="AQ343" s="68"/>
      <c r="AR343" s="68"/>
      <c r="AS343" s="68"/>
      <c r="AT343" s="68"/>
      <c r="AU343" s="68"/>
      <c r="AV343" s="68"/>
      <c r="AW343" s="68"/>
      <c r="AX343" s="68"/>
      <c r="AY343" s="68"/>
      <c r="AZ343" s="68"/>
      <c r="BA343" s="68"/>
      <c r="BB343" s="68"/>
      <c r="BC343" s="68"/>
      <c r="BD343" s="68"/>
      <c r="BE343" s="68"/>
      <c r="BF343" s="68"/>
      <c r="BG343" s="68"/>
      <c r="BH343" s="68"/>
      <c r="BI343" s="68"/>
      <c r="BJ343" s="68"/>
      <c r="BN343" s="195"/>
      <c r="BO343" s="94"/>
      <c r="BP343" s="94"/>
      <c r="BQ343" s="94"/>
      <c r="BR343" s="94"/>
      <c r="BS343" s="94"/>
      <c r="BT343" s="94"/>
      <c r="BU343" s="94"/>
      <c r="BV343" s="94"/>
      <c r="BW343" s="94"/>
      <c r="BX343" s="94"/>
      <c r="BY343" s="94"/>
      <c r="BZ343" s="94"/>
      <c r="CA343" s="94"/>
      <c r="CB343" s="94"/>
      <c r="CC343" s="94"/>
      <c r="CD343" s="94"/>
      <c r="CE343" s="94"/>
      <c r="CF343" s="94"/>
      <c r="CG343" s="94"/>
      <c r="CH343" s="94"/>
      <c r="CI343" s="94"/>
      <c r="CJ343" s="94"/>
      <c r="CK343" s="94"/>
      <c r="CL343" s="94"/>
      <c r="CM343" s="94"/>
      <c r="CN343" s="94"/>
      <c r="CO343" s="94"/>
      <c r="CP343" s="94"/>
      <c r="CQ343" s="94"/>
      <c r="CR343" s="94"/>
      <c r="CS343" s="94"/>
      <c r="CT343" s="94"/>
      <c r="CU343" s="94"/>
      <c r="CV343" s="94"/>
      <c r="CW343" s="94"/>
      <c r="CX343" s="94"/>
      <c r="CY343" s="94"/>
      <c r="CZ343" s="94"/>
    </row>
    <row r="344" spans="1:178" ht="16.5" thickBot="1">
      <c r="A344" s="80" t="str">
        <f>A74</f>
        <v>A1R- Premium Efficiency HVAC Units*</v>
      </c>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669" t="str">
        <f t="shared" si="178"/>
        <v>Select original heating system type in the common area prior to retrofit:</v>
      </c>
      <c r="AC344" s="80"/>
      <c r="AD344" s="932" t="str">
        <f>IF(AD74="","",AD74)</f>
        <v/>
      </c>
      <c r="AE344" s="932"/>
      <c r="AF344" s="932"/>
      <c r="AG344" s="932"/>
      <c r="AH344" s="80"/>
      <c r="AI344" s="668" t="str">
        <f t="shared" si="179"/>
        <v/>
      </c>
      <c r="AJ344" s="80"/>
      <c r="AK344" s="80"/>
      <c r="AL344" s="80"/>
      <c r="AM344" s="80"/>
      <c r="AN344" s="80"/>
      <c r="AO344" s="80"/>
      <c r="AP344" s="80"/>
      <c r="AQ344" s="80"/>
      <c r="AR344" s="80"/>
      <c r="AS344" s="80"/>
      <c r="AT344" s="80"/>
      <c r="AU344" s="80"/>
      <c r="AV344" s="80"/>
      <c r="AW344" s="80"/>
      <c r="AX344" s="80"/>
      <c r="AY344" s="80"/>
      <c r="AZ344" s="80"/>
      <c r="BA344" s="80"/>
      <c r="BB344" s="80"/>
      <c r="BC344" s="80"/>
      <c r="BD344" s="80"/>
      <c r="BE344" s="80"/>
      <c r="BF344" s="80"/>
      <c r="BG344" s="280"/>
      <c r="BH344" s="20"/>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row>
    <row r="345" spans="1:178" s="22" customFormat="1" ht="12.75" customHeight="1">
      <c r="A345" s="588"/>
      <c r="B345" s="573"/>
      <c r="C345" s="573"/>
      <c r="D345" s="573"/>
      <c r="E345" s="573"/>
      <c r="F345" s="573"/>
      <c r="G345" s="573"/>
      <c r="H345" s="573"/>
      <c r="I345" s="573"/>
      <c r="J345" s="573"/>
      <c r="K345" s="573"/>
      <c r="L345" s="573"/>
      <c r="M345" s="573"/>
      <c r="N345" s="573"/>
      <c r="O345" s="573"/>
      <c r="P345" s="573"/>
      <c r="Q345" s="573"/>
      <c r="R345" s="573"/>
      <c r="S345" s="573"/>
      <c r="T345" s="573"/>
      <c r="U345" s="573"/>
      <c r="V345" s="573"/>
      <c r="W345" s="573"/>
      <c r="X345" s="573"/>
      <c r="Y345" s="573"/>
      <c r="Z345" s="573"/>
      <c r="AA345" s="573"/>
      <c r="AB345" s="573"/>
      <c r="AC345" s="573"/>
      <c r="AD345" s="573"/>
      <c r="AE345" s="573"/>
      <c r="AF345" s="573"/>
      <c r="AG345" s="573"/>
      <c r="AH345" s="573"/>
      <c r="AI345" s="573"/>
      <c r="AJ345" s="573"/>
      <c r="AK345" s="573"/>
      <c r="AL345" s="573"/>
      <c r="AM345" s="707"/>
      <c r="AN345" s="707"/>
      <c r="AO345" s="573"/>
      <c r="AP345" s="887" t="s">
        <v>2655</v>
      </c>
      <c r="AQ345" s="887"/>
      <c r="AR345" s="887"/>
      <c r="AS345" s="887"/>
      <c r="AT345" s="887"/>
      <c r="AU345" s="887"/>
      <c r="AV345" s="887"/>
      <c r="AW345" s="887"/>
      <c r="AX345" s="887"/>
      <c r="AY345" s="887"/>
      <c r="AZ345" s="887"/>
      <c r="BA345" s="887"/>
      <c r="BB345" s="887"/>
      <c r="BC345" s="887"/>
      <c r="BD345" s="887"/>
      <c r="BE345" s="887"/>
      <c r="BF345" s="887"/>
      <c r="BG345" s="589"/>
      <c r="BH345" s="888" t="str">
        <f>IF(BG75="","",BG75)</f>
        <v>Incentive
(tons x $50, $75, $85, $110 or $130)</v>
      </c>
      <c r="BI345" s="888"/>
      <c r="BJ345" s="267"/>
      <c r="BK345" s="1"/>
      <c r="BL345" s="1"/>
      <c r="BM345" s="1"/>
      <c r="BN345" s="1"/>
      <c r="BO345" s="94"/>
      <c r="BP345" s="94"/>
      <c r="BQ345" s="94"/>
      <c r="BR345" s="94"/>
      <c r="BS345" s="94"/>
      <c r="BT345" s="94"/>
      <c r="BU345" s="94"/>
      <c r="BV345" s="94"/>
      <c r="BW345" s="94"/>
      <c r="BX345" s="94"/>
      <c r="BY345" s="102"/>
      <c r="BZ345" s="102"/>
      <c r="CA345" s="102"/>
      <c r="CB345" s="102"/>
      <c r="CC345" s="102"/>
      <c r="CD345" s="102"/>
      <c r="CE345" s="102"/>
      <c r="CF345" s="102"/>
      <c r="CG345" s="102"/>
      <c r="CH345" s="102"/>
      <c r="CI345" s="102"/>
      <c r="CJ345" s="102"/>
      <c r="CK345" s="102"/>
      <c r="CL345" s="102"/>
      <c r="CM345" s="102"/>
      <c r="CN345" s="102"/>
      <c r="CO345" s="102"/>
      <c r="CP345" s="102"/>
      <c r="CQ345" s="102"/>
      <c r="CR345" s="102"/>
      <c r="CS345" s="102"/>
      <c r="CT345" s="102"/>
      <c r="CU345" s="102"/>
      <c r="CV345" s="102"/>
      <c r="CW345" s="102"/>
      <c r="CX345" s="102"/>
      <c r="CY345" s="102"/>
      <c r="CZ345" s="102"/>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row>
    <row r="346" spans="1:178" s="22" customFormat="1" ht="12.75" customHeight="1">
      <c r="A346" s="69"/>
      <c r="B346" s="284"/>
      <c r="C346" s="70"/>
      <c r="D346" s="284"/>
      <c r="E346" s="284"/>
      <c r="F346" s="285"/>
      <c r="G346" s="285"/>
      <c r="H346" s="285"/>
      <c r="I346" s="285"/>
      <c r="J346" s="285"/>
      <c r="K346" s="285"/>
      <c r="L346" s="285"/>
      <c r="M346" s="285"/>
      <c r="N346" s="285"/>
      <c r="O346" s="285"/>
      <c r="P346" s="285"/>
      <c r="Q346" s="284"/>
      <c r="R346" s="781" t="s">
        <v>2714</v>
      </c>
      <c r="S346" s="781"/>
      <c r="T346" s="781"/>
      <c r="U346" s="781"/>
      <c r="V346" s="289"/>
      <c r="W346" s="781" t="s">
        <v>2680</v>
      </c>
      <c r="X346" s="781"/>
      <c r="Y346" s="781"/>
      <c r="Z346" s="781"/>
      <c r="AA346" s="781"/>
      <c r="AB346" s="781"/>
      <c r="AC346" s="289"/>
      <c r="AD346" s="289"/>
      <c r="AE346" s="289"/>
      <c r="AF346" s="289"/>
      <c r="AG346" s="289"/>
      <c r="AH346" s="71"/>
      <c r="AI346" s="71" t="s">
        <v>2715</v>
      </c>
      <c r="AJ346" s="289"/>
      <c r="AK346" s="72" t="s">
        <v>2750</v>
      </c>
      <c r="AL346" s="289"/>
      <c r="AM346" s="289"/>
      <c r="AN346" s="289"/>
      <c r="AO346" s="289"/>
      <c r="AP346" s="880" t="str">
        <f>IF(AP76="","",AP76)</f>
        <v>Tier 1</v>
      </c>
      <c r="AQ346" s="880" t="str">
        <f t="shared" ref="AQ346:AX346" si="180">IF(AQ76="","",AQ76)</f>
        <v/>
      </c>
      <c r="AR346" s="880" t="str">
        <f t="shared" si="180"/>
        <v/>
      </c>
      <c r="AS346" s="880" t="str">
        <f t="shared" si="180"/>
        <v/>
      </c>
      <c r="AT346" s="880"/>
      <c r="AU346" s="880"/>
      <c r="AV346" s="880" t="str">
        <f t="shared" si="180"/>
        <v/>
      </c>
      <c r="AW346" s="880" t="str">
        <f t="shared" si="180"/>
        <v/>
      </c>
      <c r="AX346" s="880" t="str">
        <f t="shared" si="180"/>
        <v/>
      </c>
      <c r="AY346" s="880" t="str">
        <f>IF(AY76="","",AY76)</f>
        <v>Tier 2</v>
      </c>
      <c r="AZ346" s="880" t="str">
        <f t="shared" ref="AZ346:BG346" si="181">IF(AZ76="","",AZ76)</f>
        <v/>
      </c>
      <c r="BA346" s="880" t="str">
        <f t="shared" si="181"/>
        <v/>
      </c>
      <c r="BB346" s="880" t="str">
        <f t="shared" si="181"/>
        <v/>
      </c>
      <c r="BC346" s="880"/>
      <c r="BD346" s="880"/>
      <c r="BE346" s="880" t="str">
        <f t="shared" si="181"/>
        <v/>
      </c>
      <c r="BF346" s="880" t="str">
        <f t="shared" si="181"/>
        <v/>
      </c>
      <c r="BG346" s="880" t="str">
        <f t="shared" si="181"/>
        <v/>
      </c>
      <c r="BH346" s="736"/>
      <c r="BI346" s="736"/>
      <c r="BJ346" s="73"/>
      <c r="BK346" s="1"/>
      <c r="BL346" s="1"/>
      <c r="BM346" s="1"/>
      <c r="BN346" s="1"/>
      <c r="BO346" s="94"/>
      <c r="BP346" s="94"/>
      <c r="BQ346" s="94"/>
      <c r="BR346" s="94"/>
      <c r="BS346" s="94"/>
      <c r="BT346" s="94"/>
      <c r="BU346" s="94"/>
      <c r="BV346" s="94"/>
      <c r="BW346" s="94"/>
      <c r="BX346" s="94"/>
      <c r="BY346" s="102"/>
      <c r="BZ346" s="102"/>
      <c r="CA346" s="102"/>
      <c r="CB346" s="102"/>
      <c r="CC346" s="102"/>
      <c r="CD346" s="102"/>
      <c r="CE346" s="102"/>
      <c r="CF346" s="102"/>
      <c r="CG346" s="102"/>
      <c r="CH346" s="102"/>
      <c r="CI346" s="102"/>
      <c r="CJ346" s="102"/>
      <c r="CK346" s="102"/>
      <c r="CL346" s="102"/>
      <c r="CM346" s="102"/>
      <c r="CN346" s="102"/>
      <c r="CO346" s="102"/>
      <c r="CP346" s="102"/>
      <c r="CQ346" s="102"/>
      <c r="CR346" s="102"/>
      <c r="CS346" s="102"/>
      <c r="CT346" s="102"/>
      <c r="CU346" s="102"/>
      <c r="CV346" s="102"/>
      <c r="CW346" s="102"/>
      <c r="CX346" s="102"/>
      <c r="CY346" s="102"/>
      <c r="CZ346" s="102"/>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row>
    <row r="347" spans="1:178" s="22" customFormat="1" ht="35.450000000000003" customHeight="1">
      <c r="A347" s="69"/>
      <c r="B347" s="246" t="s">
        <v>2661</v>
      </c>
      <c r="C347" s="412"/>
      <c r="D347" s="246" t="s">
        <v>2662</v>
      </c>
      <c r="E347" s="246"/>
      <c r="F347" s="246" t="s">
        <v>2717</v>
      </c>
      <c r="G347" s="246"/>
      <c r="H347" s="246"/>
      <c r="I347" s="246"/>
      <c r="J347" s="246"/>
      <c r="K347" s="285"/>
      <c r="L347" s="285"/>
      <c r="M347" s="285"/>
      <c r="N347" s="285"/>
      <c r="O347" s="285"/>
      <c r="P347" s="285"/>
      <c r="Q347" s="284"/>
      <c r="R347" s="781"/>
      <c r="S347" s="781"/>
      <c r="T347" s="781"/>
      <c r="U347" s="781"/>
      <c r="V347" s="289"/>
      <c r="W347" s="781"/>
      <c r="X347" s="781"/>
      <c r="Y347" s="781"/>
      <c r="Z347" s="781"/>
      <c r="AA347" s="781"/>
      <c r="AB347" s="781"/>
      <c r="AC347" s="289"/>
      <c r="AD347" s="246" t="s">
        <v>2664</v>
      </c>
      <c r="AE347" s="281"/>
      <c r="AF347" s="246"/>
      <c r="AG347" s="246"/>
      <c r="AH347" s="413"/>
      <c r="AI347" s="246" t="s">
        <v>2665</v>
      </c>
      <c r="AJ347" s="281"/>
      <c r="AK347" s="246" t="s">
        <v>2665</v>
      </c>
      <c r="AL347" s="281"/>
      <c r="AM347" s="703"/>
      <c r="AN347" s="703"/>
      <c r="AO347" s="281"/>
      <c r="AP347" s="879" t="str">
        <f>IF(AP77="","",AP77)</f>
        <v>Air Cooled AC ($85/ ton)*
Air Cooled HP ($110/ton)*
PTAC/PTHP ($50/ ton)*</v>
      </c>
      <c r="AQ347" s="863"/>
      <c r="AR347" s="863"/>
      <c r="AS347" s="863"/>
      <c r="AT347" s="863"/>
      <c r="AU347" s="863"/>
      <c r="AV347" s="863"/>
      <c r="AW347" s="863"/>
      <c r="AX347" s="246"/>
      <c r="AY347" s="879" t="str">
        <f>IF(AY77="","",AY77)</f>
        <v>Air Cooled AC ($110/ ton)*
Air Cooled HP ($130/ton)*
PTAC/PTHP ($75/ ton)*</v>
      </c>
      <c r="AZ347" s="863"/>
      <c r="BA347" s="863"/>
      <c r="BB347" s="863"/>
      <c r="BC347" s="863"/>
      <c r="BD347" s="863"/>
      <c r="BE347" s="863"/>
      <c r="BF347" s="863"/>
      <c r="BG347" s="246"/>
      <c r="BH347" s="736"/>
      <c r="BI347" s="736"/>
      <c r="BJ347" s="73"/>
      <c r="BK347" s="1"/>
      <c r="BL347" s="1"/>
      <c r="BM347" s="1"/>
      <c r="BN347" s="1"/>
      <c r="BO347" s="94"/>
      <c r="BP347" s="94"/>
      <c r="BQ347" s="94"/>
      <c r="BR347" s="94"/>
      <c r="BS347" s="94"/>
      <c r="BT347" s="94"/>
      <c r="BU347" s="94"/>
      <c r="BV347" s="94"/>
      <c r="BW347" s="94"/>
      <c r="BX347" s="94"/>
      <c r="BY347" s="102"/>
      <c r="BZ347" s="102"/>
      <c r="CA347" s="102"/>
      <c r="CB347" s="102"/>
      <c r="CC347" s="102"/>
      <c r="CD347" s="102"/>
      <c r="CE347" s="102"/>
      <c r="CF347" s="102"/>
      <c r="CG347" s="102"/>
      <c r="CH347" s="102"/>
      <c r="CI347" s="102"/>
      <c r="CJ347" s="102"/>
      <c r="CK347" s="102"/>
      <c r="CL347" s="102"/>
      <c r="CM347" s="102"/>
      <c r="CN347" s="102"/>
      <c r="CO347" s="102"/>
      <c r="CP347" s="102"/>
      <c r="CQ347" s="102"/>
      <c r="CR347" s="102"/>
      <c r="CS347" s="102"/>
      <c r="CT347" s="102"/>
      <c r="CU347" s="102"/>
      <c r="CV347" s="102"/>
      <c r="CW347" s="102"/>
      <c r="CX347" s="102"/>
      <c r="CY347" s="102"/>
      <c r="CZ347" s="102"/>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row>
    <row r="348" spans="1:178" ht="12.75" customHeight="1">
      <c r="A348" s="74"/>
      <c r="B348" s="287" t="str">
        <f t="shared" ref="B348:B362" si="182">IF(B78="","",B78)</f>
        <v/>
      </c>
      <c r="C348" s="9"/>
      <c r="D348" s="287" t="str">
        <f t="shared" ref="D348:D362" si="183">IF(D78="","",D78)</f>
        <v/>
      </c>
      <c r="E348" s="274"/>
      <c r="F348" s="883" t="str">
        <f>IF(F78="","",F78)</f>
        <v/>
      </c>
      <c r="G348" s="883"/>
      <c r="H348" s="883"/>
      <c r="I348" s="883"/>
      <c r="J348" s="883"/>
      <c r="K348" s="883"/>
      <c r="L348" s="883"/>
      <c r="M348" s="883"/>
      <c r="N348" s="883"/>
      <c r="O348" s="883"/>
      <c r="P348" s="883"/>
      <c r="Q348" s="284"/>
      <c r="R348" s="915" t="str">
        <f t="shared" ref="R348:R362" si="184">IF(R78="","",R78)</f>
        <v/>
      </c>
      <c r="S348" s="915"/>
      <c r="T348" s="915"/>
      <c r="U348" s="915"/>
      <c r="V348" s="289"/>
      <c r="W348" s="915" t="str">
        <f t="shared" ref="W348:W362" si="185">IF(W78="","",W78)</f>
        <v/>
      </c>
      <c r="X348" s="915"/>
      <c r="Y348" s="915"/>
      <c r="Z348" s="915"/>
      <c r="AA348" s="915"/>
      <c r="AB348" s="915"/>
      <c r="AC348" s="289"/>
      <c r="AD348" s="886" t="str">
        <f t="shared" ref="AD348:AD362" si="186">IF(AD78="","",AD78)</f>
        <v/>
      </c>
      <c r="AE348" s="886"/>
      <c r="AF348" s="886"/>
      <c r="AG348" s="886"/>
      <c r="AH348" s="9"/>
      <c r="AI348" s="287" t="str">
        <f t="shared" ref="AI348:AL362" si="187">IF(AI78="","",AI78)</f>
        <v/>
      </c>
      <c r="AJ348" s="13" t="str">
        <f t="shared" si="187"/>
        <v/>
      </c>
      <c r="AK348" s="287" t="str">
        <f t="shared" si="187"/>
        <v/>
      </c>
      <c r="AL348" s="13" t="str">
        <f t="shared" si="187"/>
        <v/>
      </c>
      <c r="AM348" s="705"/>
      <c r="AN348" s="705"/>
      <c r="AO348" s="289"/>
      <c r="AP348" s="75" t="str">
        <f t="shared" ref="AP348:AS362" si="188">IF(AP78="","",AP78)</f>
        <v/>
      </c>
      <c r="AQ348" s="13" t="str">
        <f t="shared" si="188"/>
        <v/>
      </c>
      <c r="AR348" s="75" t="str">
        <f t="shared" si="188"/>
        <v/>
      </c>
      <c r="AS348" s="13" t="str">
        <f t="shared" si="188"/>
        <v/>
      </c>
      <c r="AT348" s="705"/>
      <c r="AU348" s="705"/>
      <c r="AV348" s="13"/>
      <c r="AW348" s="746" t="str">
        <f t="shared" ref="AW348:AW362" si="189">IF(AW78="","",AW78)</f>
        <v/>
      </c>
      <c r="AX348" s="746"/>
      <c r="AY348" s="75" t="str">
        <f t="shared" ref="AY348:BE362" si="190">IF(AY78="","",AY78)</f>
        <v/>
      </c>
      <c r="AZ348" s="13" t="str">
        <f t="shared" si="190"/>
        <v/>
      </c>
      <c r="BA348" s="75" t="str">
        <f t="shared" si="190"/>
        <v/>
      </c>
      <c r="BB348" s="13" t="str">
        <f t="shared" si="190"/>
        <v/>
      </c>
      <c r="BC348" s="705"/>
      <c r="BD348" s="705"/>
      <c r="BE348" s="746" t="str">
        <f t="shared" si="190"/>
        <v/>
      </c>
      <c r="BF348" s="746"/>
      <c r="BG348" s="13" t="s">
        <v>142</v>
      </c>
      <c r="BH348" s="884" t="str">
        <f t="shared" ref="BH348:BH362" si="191">IF(BH78="","",BH78)</f>
        <v/>
      </c>
      <c r="BI348" s="884"/>
      <c r="BJ348" s="590"/>
      <c r="BM348" s="23">
        <f>COUNTIF(AW347:AW376,"Qualified")+COUNTIF(BE347:BE376,"Qualified")</f>
        <v>0</v>
      </c>
      <c r="BO348" s="94"/>
      <c r="BP348" s="94"/>
      <c r="BQ348" s="94"/>
      <c r="BR348" s="94"/>
      <c r="BS348" s="94"/>
      <c r="BT348" s="94"/>
      <c r="BU348" s="94"/>
      <c r="BV348" s="94"/>
      <c r="BW348" s="94"/>
      <c r="BX348" s="94"/>
      <c r="BY348" s="94"/>
      <c r="BZ348" s="94"/>
      <c r="CA348" s="94"/>
      <c r="CB348" s="94"/>
      <c r="CC348" s="94"/>
      <c r="CD348" s="94"/>
      <c r="CE348" s="94"/>
      <c r="CF348" s="94"/>
      <c r="CG348" s="94"/>
      <c r="CH348" s="94"/>
      <c r="CI348" s="94"/>
      <c r="CJ348" s="94"/>
      <c r="CK348" s="94"/>
      <c r="CL348" s="94"/>
      <c r="CM348" s="94"/>
      <c r="CN348" s="94"/>
      <c r="CO348" s="94"/>
      <c r="CP348" s="94"/>
      <c r="CQ348" s="94"/>
      <c r="CR348" s="94"/>
      <c r="CS348" s="94"/>
      <c r="CT348" s="94"/>
      <c r="CU348" s="94"/>
      <c r="CV348" s="94"/>
      <c r="CW348" s="94"/>
      <c r="CX348" s="94"/>
      <c r="CY348" s="94"/>
      <c r="CZ348" s="94"/>
    </row>
    <row r="349" spans="1:178" ht="12.75" customHeight="1">
      <c r="A349" s="74"/>
      <c r="B349" s="288" t="str">
        <f t="shared" si="182"/>
        <v/>
      </c>
      <c r="C349" s="9"/>
      <c r="D349" s="288" t="str">
        <f t="shared" si="183"/>
        <v/>
      </c>
      <c r="E349" s="274"/>
      <c r="F349" s="925" t="str">
        <f>IF(F79="","",F79)</f>
        <v/>
      </c>
      <c r="G349" s="925"/>
      <c r="H349" s="925"/>
      <c r="I349" s="925"/>
      <c r="J349" s="925"/>
      <c r="K349" s="925"/>
      <c r="L349" s="925"/>
      <c r="M349" s="925"/>
      <c r="N349" s="925"/>
      <c r="O349" s="925"/>
      <c r="P349" s="925"/>
      <c r="Q349" s="284"/>
      <c r="R349" s="889" t="str">
        <f t="shared" si="184"/>
        <v/>
      </c>
      <c r="S349" s="889"/>
      <c r="T349" s="889"/>
      <c r="U349" s="889"/>
      <c r="V349" s="289"/>
      <c r="W349" s="889" t="str">
        <f t="shared" si="185"/>
        <v/>
      </c>
      <c r="X349" s="889"/>
      <c r="Y349" s="889"/>
      <c r="Z349" s="889"/>
      <c r="AA349" s="889"/>
      <c r="AB349" s="889"/>
      <c r="AC349" s="289"/>
      <c r="AD349" s="885" t="str">
        <f t="shared" si="186"/>
        <v/>
      </c>
      <c r="AE349" s="885"/>
      <c r="AF349" s="885"/>
      <c r="AG349" s="885"/>
      <c r="AH349" s="9"/>
      <c r="AI349" s="288" t="str">
        <f t="shared" si="187"/>
        <v/>
      </c>
      <c r="AJ349" s="13" t="str">
        <f t="shared" si="187"/>
        <v/>
      </c>
      <c r="AK349" s="288" t="str">
        <f t="shared" si="187"/>
        <v/>
      </c>
      <c r="AL349" s="13" t="str">
        <f t="shared" si="187"/>
        <v/>
      </c>
      <c r="AM349" s="705"/>
      <c r="AN349" s="705"/>
      <c r="AO349" s="289"/>
      <c r="AP349" s="273" t="str">
        <f t="shared" si="188"/>
        <v/>
      </c>
      <c r="AQ349" s="13" t="str">
        <f t="shared" si="188"/>
        <v/>
      </c>
      <c r="AR349" s="273" t="str">
        <f t="shared" si="188"/>
        <v/>
      </c>
      <c r="AS349" s="13" t="str">
        <f t="shared" si="188"/>
        <v/>
      </c>
      <c r="AT349" s="705"/>
      <c r="AU349" s="705"/>
      <c r="AV349" s="13"/>
      <c r="AW349" s="746" t="str">
        <f t="shared" si="189"/>
        <v/>
      </c>
      <c r="AX349" s="746"/>
      <c r="AY349" s="75" t="str">
        <f t="shared" si="190"/>
        <v/>
      </c>
      <c r="AZ349" s="13" t="str">
        <f t="shared" si="190"/>
        <v/>
      </c>
      <c r="BA349" s="75" t="str">
        <f t="shared" si="190"/>
        <v/>
      </c>
      <c r="BB349" s="13" t="str">
        <f t="shared" si="190"/>
        <v/>
      </c>
      <c r="BC349" s="705"/>
      <c r="BD349" s="705"/>
      <c r="BE349" s="746" t="str">
        <f t="shared" si="190"/>
        <v/>
      </c>
      <c r="BF349" s="746"/>
      <c r="BG349" s="13" t="s">
        <v>142</v>
      </c>
      <c r="BH349" s="884" t="str">
        <f t="shared" si="191"/>
        <v/>
      </c>
      <c r="BI349" s="884"/>
      <c r="BJ349" s="590"/>
      <c r="BO349" s="94"/>
      <c r="BP349" s="94"/>
      <c r="BQ349" s="94"/>
      <c r="BR349" s="94"/>
      <c r="BS349" s="94"/>
      <c r="BT349" s="94"/>
      <c r="BU349" s="94"/>
      <c r="BV349" s="94"/>
      <c r="BW349" s="94"/>
      <c r="BX349" s="94"/>
      <c r="BY349" s="94"/>
      <c r="BZ349" s="94"/>
      <c r="CA349" s="94"/>
      <c r="CB349" s="94"/>
      <c r="CC349" s="94"/>
      <c r="CD349" s="94"/>
      <c r="CE349" s="94"/>
      <c r="CF349" s="94"/>
      <c r="CG349" s="94"/>
      <c r="CH349" s="94"/>
      <c r="CI349" s="94"/>
      <c r="CJ349" s="94"/>
      <c r="CK349" s="94"/>
      <c r="CL349" s="94"/>
      <c r="CM349" s="94"/>
      <c r="CN349" s="94"/>
      <c r="CO349" s="94"/>
      <c r="CP349" s="94"/>
      <c r="CQ349" s="94"/>
      <c r="CR349" s="94"/>
      <c r="CS349" s="94"/>
      <c r="CT349" s="94"/>
      <c r="CU349" s="94"/>
      <c r="CV349" s="94"/>
      <c r="CW349" s="94"/>
      <c r="CX349" s="94"/>
      <c r="CY349" s="94"/>
      <c r="CZ349" s="94"/>
    </row>
    <row r="350" spans="1:178" ht="12.75">
      <c r="A350" s="74"/>
      <c r="B350" s="288" t="str">
        <f t="shared" si="182"/>
        <v/>
      </c>
      <c r="C350" s="9"/>
      <c r="D350" s="288" t="str">
        <f t="shared" si="183"/>
        <v/>
      </c>
      <c r="E350" s="274"/>
      <c r="F350" s="925" t="str">
        <f t="shared" ref="F350:F362" si="192">IF(F80="","",F80)</f>
        <v/>
      </c>
      <c r="G350" s="925"/>
      <c r="H350" s="925"/>
      <c r="I350" s="925"/>
      <c r="J350" s="925"/>
      <c r="K350" s="925"/>
      <c r="L350" s="925"/>
      <c r="M350" s="925"/>
      <c r="N350" s="925"/>
      <c r="O350" s="925"/>
      <c r="P350" s="925"/>
      <c r="Q350" s="284"/>
      <c r="R350" s="889" t="str">
        <f t="shared" si="184"/>
        <v/>
      </c>
      <c r="S350" s="889"/>
      <c r="T350" s="889"/>
      <c r="U350" s="889"/>
      <c r="V350" s="289"/>
      <c r="W350" s="889" t="str">
        <f t="shared" si="185"/>
        <v/>
      </c>
      <c r="X350" s="889"/>
      <c r="Y350" s="889"/>
      <c r="Z350" s="889"/>
      <c r="AA350" s="889"/>
      <c r="AB350" s="889"/>
      <c r="AC350" s="289"/>
      <c r="AD350" s="885" t="str">
        <f t="shared" si="186"/>
        <v/>
      </c>
      <c r="AE350" s="885"/>
      <c r="AF350" s="885"/>
      <c r="AG350" s="885"/>
      <c r="AH350" s="9"/>
      <c r="AI350" s="288" t="str">
        <f t="shared" si="187"/>
        <v/>
      </c>
      <c r="AJ350" s="13" t="str">
        <f t="shared" si="187"/>
        <v/>
      </c>
      <c r="AK350" s="288" t="str">
        <f t="shared" si="187"/>
        <v/>
      </c>
      <c r="AL350" s="13" t="str">
        <f t="shared" si="187"/>
        <v/>
      </c>
      <c r="AM350" s="705"/>
      <c r="AN350" s="705"/>
      <c r="AO350" s="289"/>
      <c r="AP350" s="273" t="str">
        <f t="shared" si="188"/>
        <v/>
      </c>
      <c r="AQ350" s="13" t="str">
        <f t="shared" si="188"/>
        <v/>
      </c>
      <c r="AR350" s="273" t="str">
        <f t="shared" si="188"/>
        <v/>
      </c>
      <c r="AS350" s="13" t="str">
        <f t="shared" si="188"/>
        <v/>
      </c>
      <c r="AT350" s="705"/>
      <c r="AU350" s="705"/>
      <c r="AV350" s="13"/>
      <c r="AW350" s="746" t="str">
        <f t="shared" si="189"/>
        <v/>
      </c>
      <c r="AX350" s="746"/>
      <c r="AY350" s="75" t="str">
        <f t="shared" si="190"/>
        <v/>
      </c>
      <c r="AZ350" s="13" t="str">
        <f t="shared" si="190"/>
        <v/>
      </c>
      <c r="BA350" s="75" t="str">
        <f t="shared" si="190"/>
        <v/>
      </c>
      <c r="BB350" s="13" t="str">
        <f t="shared" si="190"/>
        <v/>
      </c>
      <c r="BC350" s="705"/>
      <c r="BD350" s="705"/>
      <c r="BE350" s="746" t="str">
        <f t="shared" si="190"/>
        <v/>
      </c>
      <c r="BF350" s="746"/>
      <c r="BG350" s="13" t="s">
        <v>142</v>
      </c>
      <c r="BH350" s="884" t="str">
        <f t="shared" si="191"/>
        <v/>
      </c>
      <c r="BI350" s="884"/>
      <c r="BJ350" s="590"/>
      <c r="BO350" s="94"/>
      <c r="BP350" s="94"/>
      <c r="BQ350" s="94"/>
      <c r="BR350" s="94"/>
      <c r="BS350" s="94"/>
      <c r="BT350" s="94"/>
      <c r="BU350" s="94"/>
      <c r="BV350" s="94"/>
      <c r="BW350" s="94"/>
      <c r="BX350" s="94"/>
      <c r="BY350" s="94"/>
      <c r="BZ350" s="94"/>
      <c r="CA350" s="94"/>
      <c r="CB350" s="94"/>
      <c r="CC350" s="94"/>
      <c r="CD350" s="94"/>
      <c r="CE350" s="94"/>
      <c r="CF350" s="94"/>
      <c r="CG350" s="94"/>
      <c r="CH350" s="94"/>
      <c r="CI350" s="94"/>
      <c r="CJ350" s="94"/>
      <c r="CK350" s="94"/>
      <c r="CL350" s="94"/>
      <c r="CM350" s="94"/>
      <c r="CN350" s="94"/>
      <c r="CO350" s="94"/>
      <c r="CP350" s="94"/>
      <c r="CQ350" s="94"/>
      <c r="CR350" s="94"/>
      <c r="CS350" s="94"/>
      <c r="CT350" s="94"/>
      <c r="CU350" s="94"/>
      <c r="CV350" s="94"/>
      <c r="CW350" s="94"/>
      <c r="CX350" s="94"/>
      <c r="CY350" s="94"/>
      <c r="CZ350" s="94"/>
    </row>
    <row r="351" spans="1:178" ht="12.75">
      <c r="A351" s="74"/>
      <c r="B351" s="288" t="str">
        <f t="shared" si="182"/>
        <v/>
      </c>
      <c r="C351" s="9"/>
      <c r="D351" s="288" t="str">
        <f t="shared" si="183"/>
        <v/>
      </c>
      <c r="E351" s="274"/>
      <c r="F351" s="925" t="str">
        <f>IF(F81="","",F81)</f>
        <v/>
      </c>
      <c r="G351" s="925"/>
      <c r="H351" s="925"/>
      <c r="I351" s="925"/>
      <c r="J351" s="925"/>
      <c r="K351" s="925"/>
      <c r="L351" s="925"/>
      <c r="M351" s="925"/>
      <c r="N351" s="925"/>
      <c r="O351" s="925"/>
      <c r="P351" s="925"/>
      <c r="Q351" s="284"/>
      <c r="R351" s="889" t="str">
        <f t="shared" si="184"/>
        <v/>
      </c>
      <c r="S351" s="889"/>
      <c r="T351" s="889"/>
      <c r="U351" s="889"/>
      <c r="V351" s="289"/>
      <c r="W351" s="889" t="str">
        <f t="shared" si="185"/>
        <v/>
      </c>
      <c r="X351" s="889"/>
      <c r="Y351" s="889"/>
      <c r="Z351" s="889"/>
      <c r="AA351" s="889"/>
      <c r="AB351" s="889"/>
      <c r="AC351" s="289"/>
      <c r="AD351" s="885" t="str">
        <f t="shared" si="186"/>
        <v/>
      </c>
      <c r="AE351" s="885"/>
      <c r="AF351" s="885"/>
      <c r="AG351" s="885"/>
      <c r="AH351" s="9"/>
      <c r="AI351" s="288" t="str">
        <f t="shared" si="187"/>
        <v/>
      </c>
      <c r="AJ351" s="13" t="str">
        <f t="shared" si="187"/>
        <v/>
      </c>
      <c r="AK351" s="288" t="str">
        <f t="shared" si="187"/>
        <v/>
      </c>
      <c r="AL351" s="13" t="str">
        <f t="shared" si="187"/>
        <v/>
      </c>
      <c r="AM351" s="705"/>
      <c r="AN351" s="705"/>
      <c r="AO351" s="289"/>
      <c r="AP351" s="273" t="str">
        <f t="shared" si="188"/>
        <v/>
      </c>
      <c r="AQ351" s="13" t="str">
        <f t="shared" si="188"/>
        <v/>
      </c>
      <c r="AR351" s="273" t="str">
        <f t="shared" si="188"/>
        <v/>
      </c>
      <c r="AS351" s="13" t="str">
        <f t="shared" si="188"/>
        <v/>
      </c>
      <c r="AT351" s="705"/>
      <c r="AU351" s="705"/>
      <c r="AV351" s="13"/>
      <c r="AW351" s="746" t="str">
        <f t="shared" si="189"/>
        <v/>
      </c>
      <c r="AX351" s="746"/>
      <c r="AY351" s="75" t="str">
        <f t="shared" si="190"/>
        <v/>
      </c>
      <c r="AZ351" s="13" t="str">
        <f t="shared" si="190"/>
        <v/>
      </c>
      <c r="BA351" s="75" t="str">
        <f t="shared" si="190"/>
        <v/>
      </c>
      <c r="BB351" s="13" t="str">
        <f t="shared" si="190"/>
        <v/>
      </c>
      <c r="BC351" s="705"/>
      <c r="BD351" s="705"/>
      <c r="BE351" s="746" t="str">
        <f t="shared" si="190"/>
        <v/>
      </c>
      <c r="BF351" s="746"/>
      <c r="BG351" s="13" t="s">
        <v>142</v>
      </c>
      <c r="BH351" s="884" t="str">
        <f t="shared" si="191"/>
        <v/>
      </c>
      <c r="BI351" s="884"/>
      <c r="BJ351" s="590"/>
      <c r="BO351" s="94"/>
      <c r="BP351" s="94"/>
      <c r="BQ351" s="94"/>
      <c r="BR351" s="94"/>
      <c r="BS351" s="94"/>
      <c r="BT351" s="94"/>
      <c r="BU351" s="94"/>
      <c r="BV351" s="94"/>
      <c r="BW351" s="94"/>
      <c r="BX351" s="94"/>
      <c r="BY351" s="94"/>
      <c r="BZ351" s="94"/>
      <c r="CA351" s="94"/>
      <c r="CB351" s="94"/>
      <c r="CC351" s="94"/>
      <c r="CD351" s="94"/>
      <c r="CE351" s="94"/>
      <c r="CF351" s="94"/>
      <c r="CG351" s="94"/>
      <c r="CH351" s="94"/>
      <c r="CI351" s="94"/>
      <c r="CJ351" s="94"/>
      <c r="CK351" s="94"/>
      <c r="CL351" s="94"/>
      <c r="CM351" s="94"/>
      <c r="CN351" s="94"/>
      <c r="CO351" s="94"/>
      <c r="CP351" s="94"/>
      <c r="CQ351" s="94"/>
      <c r="CR351" s="94"/>
      <c r="CS351" s="94"/>
      <c r="CT351" s="94"/>
      <c r="CU351" s="94"/>
      <c r="CV351" s="94"/>
      <c r="CW351" s="94"/>
      <c r="CX351" s="94"/>
      <c r="CY351" s="94"/>
      <c r="CZ351" s="94"/>
    </row>
    <row r="352" spans="1:178" ht="12.75">
      <c r="A352" s="74"/>
      <c r="B352" s="288" t="str">
        <f t="shared" si="182"/>
        <v/>
      </c>
      <c r="C352" s="9"/>
      <c r="D352" s="288" t="str">
        <f t="shared" si="183"/>
        <v/>
      </c>
      <c r="E352" s="274"/>
      <c r="F352" s="925" t="str">
        <f>IF(F82="","",F82)</f>
        <v/>
      </c>
      <c r="G352" s="925"/>
      <c r="H352" s="925"/>
      <c r="I352" s="925"/>
      <c r="J352" s="925"/>
      <c r="K352" s="925"/>
      <c r="L352" s="925"/>
      <c r="M352" s="925"/>
      <c r="N352" s="925"/>
      <c r="O352" s="925"/>
      <c r="P352" s="925"/>
      <c r="Q352" s="284"/>
      <c r="R352" s="889" t="str">
        <f t="shared" si="184"/>
        <v/>
      </c>
      <c r="S352" s="889"/>
      <c r="T352" s="889"/>
      <c r="U352" s="889"/>
      <c r="V352" s="289"/>
      <c r="W352" s="889" t="str">
        <f t="shared" si="185"/>
        <v/>
      </c>
      <c r="X352" s="889"/>
      <c r="Y352" s="889"/>
      <c r="Z352" s="889"/>
      <c r="AA352" s="889"/>
      <c r="AB352" s="889"/>
      <c r="AC352" s="289"/>
      <c r="AD352" s="885" t="str">
        <f t="shared" si="186"/>
        <v/>
      </c>
      <c r="AE352" s="885"/>
      <c r="AF352" s="885"/>
      <c r="AG352" s="885"/>
      <c r="AH352" s="9"/>
      <c r="AI352" s="288" t="str">
        <f t="shared" si="187"/>
        <v/>
      </c>
      <c r="AJ352" s="13" t="str">
        <f t="shared" si="187"/>
        <v/>
      </c>
      <c r="AK352" s="288" t="str">
        <f t="shared" si="187"/>
        <v/>
      </c>
      <c r="AL352" s="13" t="str">
        <f t="shared" si="187"/>
        <v/>
      </c>
      <c r="AM352" s="705"/>
      <c r="AN352" s="705"/>
      <c r="AO352" s="289"/>
      <c r="AP352" s="273" t="str">
        <f t="shared" si="188"/>
        <v/>
      </c>
      <c r="AQ352" s="13" t="str">
        <f t="shared" si="188"/>
        <v/>
      </c>
      <c r="AR352" s="273" t="str">
        <f t="shared" si="188"/>
        <v/>
      </c>
      <c r="AS352" s="13" t="str">
        <f t="shared" si="188"/>
        <v/>
      </c>
      <c r="AT352" s="705"/>
      <c r="AU352" s="705"/>
      <c r="AV352" s="13"/>
      <c r="AW352" s="746" t="str">
        <f t="shared" si="189"/>
        <v/>
      </c>
      <c r="AX352" s="746"/>
      <c r="AY352" s="75" t="str">
        <f t="shared" si="190"/>
        <v/>
      </c>
      <c r="AZ352" s="13" t="str">
        <f t="shared" si="190"/>
        <v/>
      </c>
      <c r="BA352" s="75" t="str">
        <f t="shared" si="190"/>
        <v/>
      </c>
      <c r="BB352" s="13" t="str">
        <f t="shared" si="190"/>
        <v/>
      </c>
      <c r="BC352" s="705"/>
      <c r="BD352" s="705"/>
      <c r="BE352" s="746" t="str">
        <f t="shared" si="190"/>
        <v/>
      </c>
      <c r="BF352" s="746"/>
      <c r="BG352" s="13" t="s">
        <v>142</v>
      </c>
      <c r="BH352" s="884" t="str">
        <f t="shared" si="191"/>
        <v/>
      </c>
      <c r="BI352" s="884"/>
      <c r="BJ352" s="590"/>
      <c r="BO352" s="94"/>
      <c r="BP352" s="94"/>
      <c r="BQ352" s="94"/>
      <c r="BR352" s="94"/>
      <c r="BS352" s="94"/>
      <c r="BT352" s="94"/>
      <c r="BU352" s="94"/>
      <c r="BV352" s="94"/>
      <c r="BW352" s="94"/>
      <c r="BX352" s="94"/>
      <c r="BY352" s="94"/>
      <c r="BZ352" s="94"/>
      <c r="CA352" s="94"/>
      <c r="CB352" s="94"/>
      <c r="CC352" s="94"/>
      <c r="CD352" s="94"/>
      <c r="CE352" s="94"/>
      <c r="CF352" s="94"/>
      <c r="CG352" s="94"/>
      <c r="CH352" s="94"/>
      <c r="CI352" s="94"/>
      <c r="CJ352" s="94"/>
      <c r="CK352" s="94"/>
      <c r="CL352" s="94"/>
      <c r="CM352" s="94"/>
      <c r="CN352" s="94"/>
      <c r="CO352" s="94"/>
      <c r="CP352" s="94"/>
      <c r="CQ352" s="94"/>
      <c r="CR352" s="94"/>
      <c r="CS352" s="94"/>
      <c r="CT352" s="94"/>
      <c r="CU352" s="94"/>
      <c r="CV352" s="94"/>
      <c r="CW352" s="94"/>
      <c r="CX352" s="94"/>
      <c r="CY352" s="94"/>
      <c r="CZ352" s="94"/>
    </row>
    <row r="353" spans="1:178" ht="12.75" hidden="1">
      <c r="A353" s="74"/>
      <c r="B353" s="288" t="str">
        <f t="shared" si="182"/>
        <v/>
      </c>
      <c r="C353" s="9"/>
      <c r="D353" s="288" t="str">
        <f t="shared" si="183"/>
        <v/>
      </c>
      <c r="E353" s="274"/>
      <c r="F353" s="925" t="str">
        <f t="shared" si="192"/>
        <v/>
      </c>
      <c r="G353" s="925"/>
      <c r="H353" s="925"/>
      <c r="I353" s="925"/>
      <c r="J353" s="925"/>
      <c r="K353" s="925"/>
      <c r="L353" s="925"/>
      <c r="M353" s="925"/>
      <c r="N353" s="925"/>
      <c r="O353" s="925"/>
      <c r="P353" s="925"/>
      <c r="Q353" s="284"/>
      <c r="R353" s="889" t="str">
        <f t="shared" si="184"/>
        <v/>
      </c>
      <c r="S353" s="889"/>
      <c r="T353" s="889"/>
      <c r="U353" s="889"/>
      <c r="V353" s="289"/>
      <c r="W353" s="889" t="str">
        <f t="shared" si="185"/>
        <v/>
      </c>
      <c r="X353" s="889"/>
      <c r="Y353" s="889"/>
      <c r="Z353" s="889"/>
      <c r="AA353" s="889"/>
      <c r="AB353" s="889"/>
      <c r="AC353" s="289"/>
      <c r="AD353" s="885" t="str">
        <f t="shared" si="186"/>
        <v/>
      </c>
      <c r="AE353" s="885"/>
      <c r="AF353" s="885"/>
      <c r="AG353" s="885"/>
      <c r="AH353" s="9"/>
      <c r="AI353" s="288" t="str">
        <f t="shared" si="187"/>
        <v/>
      </c>
      <c r="AJ353" s="13" t="str">
        <f t="shared" si="187"/>
        <v/>
      </c>
      <c r="AK353" s="288" t="str">
        <f t="shared" si="187"/>
        <v/>
      </c>
      <c r="AL353" s="13" t="str">
        <f t="shared" si="187"/>
        <v/>
      </c>
      <c r="AM353" s="705"/>
      <c r="AN353" s="705"/>
      <c r="AO353" s="289"/>
      <c r="AP353" s="273" t="str">
        <f t="shared" si="188"/>
        <v/>
      </c>
      <c r="AQ353" s="13" t="str">
        <f t="shared" si="188"/>
        <v/>
      </c>
      <c r="AR353" s="273" t="str">
        <f t="shared" si="188"/>
        <v/>
      </c>
      <c r="AS353" s="13" t="str">
        <f t="shared" si="188"/>
        <v/>
      </c>
      <c r="AT353" s="705"/>
      <c r="AU353" s="705"/>
      <c r="AV353" s="13"/>
      <c r="AW353" s="746" t="str">
        <f t="shared" si="189"/>
        <v/>
      </c>
      <c r="AX353" s="746"/>
      <c r="AY353" s="75" t="str">
        <f t="shared" si="190"/>
        <v/>
      </c>
      <c r="AZ353" s="13" t="str">
        <f t="shared" si="190"/>
        <v/>
      </c>
      <c r="BA353" s="75" t="str">
        <f t="shared" si="190"/>
        <v/>
      </c>
      <c r="BB353" s="13" t="str">
        <f t="shared" si="190"/>
        <v/>
      </c>
      <c r="BC353" s="705"/>
      <c r="BD353" s="705"/>
      <c r="BE353" s="746" t="str">
        <f t="shared" si="190"/>
        <v/>
      </c>
      <c r="BF353" s="746"/>
      <c r="BG353" s="13" t="s">
        <v>142</v>
      </c>
      <c r="BH353" s="884" t="str">
        <f t="shared" si="191"/>
        <v/>
      </c>
      <c r="BI353" s="884"/>
      <c r="BJ353" s="590"/>
      <c r="BO353" s="94"/>
      <c r="BP353" s="94"/>
      <c r="BQ353" s="94"/>
      <c r="BR353" s="94"/>
      <c r="BS353" s="94"/>
      <c r="BT353" s="94"/>
      <c r="BU353" s="94"/>
      <c r="BV353" s="94"/>
      <c r="BW353" s="94"/>
      <c r="BX353" s="94"/>
      <c r="BY353" s="94"/>
      <c r="BZ353" s="94"/>
      <c r="CA353" s="94"/>
      <c r="CB353" s="94"/>
      <c r="CC353" s="94"/>
      <c r="CD353" s="94"/>
      <c r="CE353" s="94"/>
      <c r="CF353" s="94"/>
      <c r="CG353" s="94"/>
      <c r="CH353" s="94"/>
      <c r="CI353" s="94"/>
      <c r="CJ353" s="94"/>
      <c r="CK353" s="94"/>
      <c r="CL353" s="94"/>
      <c r="CM353" s="94"/>
      <c r="CN353" s="94"/>
      <c r="CO353" s="94"/>
      <c r="CP353" s="94"/>
      <c r="CQ353" s="94"/>
      <c r="CR353" s="94"/>
      <c r="CS353" s="94"/>
      <c r="CT353" s="94"/>
      <c r="CU353" s="94"/>
      <c r="CV353" s="94"/>
      <c r="CW353" s="94"/>
      <c r="CX353" s="94"/>
      <c r="CY353" s="94"/>
      <c r="CZ353" s="94"/>
    </row>
    <row r="354" spans="1:178" ht="12.75" hidden="1">
      <c r="A354" s="74"/>
      <c r="B354" s="288" t="str">
        <f t="shared" si="182"/>
        <v/>
      </c>
      <c r="C354" s="9"/>
      <c r="D354" s="288" t="str">
        <f t="shared" si="183"/>
        <v/>
      </c>
      <c r="E354" s="274"/>
      <c r="F354" s="925" t="str">
        <f t="shared" si="192"/>
        <v/>
      </c>
      <c r="G354" s="925"/>
      <c r="H354" s="925"/>
      <c r="I354" s="925"/>
      <c r="J354" s="925"/>
      <c r="K354" s="925"/>
      <c r="L354" s="925"/>
      <c r="M354" s="925"/>
      <c r="N354" s="925"/>
      <c r="O354" s="925"/>
      <c r="P354" s="925"/>
      <c r="Q354" s="284"/>
      <c r="R354" s="889" t="str">
        <f t="shared" si="184"/>
        <v/>
      </c>
      <c r="S354" s="889"/>
      <c r="T354" s="889"/>
      <c r="U354" s="889"/>
      <c r="V354" s="289"/>
      <c r="W354" s="889" t="str">
        <f t="shared" si="185"/>
        <v/>
      </c>
      <c r="X354" s="889"/>
      <c r="Y354" s="889"/>
      <c r="Z354" s="889"/>
      <c r="AA354" s="889"/>
      <c r="AB354" s="889"/>
      <c r="AC354" s="289"/>
      <c r="AD354" s="885" t="str">
        <f t="shared" si="186"/>
        <v/>
      </c>
      <c r="AE354" s="885"/>
      <c r="AF354" s="885"/>
      <c r="AG354" s="885"/>
      <c r="AH354" s="9"/>
      <c r="AI354" s="288" t="str">
        <f t="shared" si="187"/>
        <v/>
      </c>
      <c r="AJ354" s="13" t="str">
        <f t="shared" si="187"/>
        <v/>
      </c>
      <c r="AK354" s="288" t="str">
        <f t="shared" si="187"/>
        <v/>
      </c>
      <c r="AL354" s="13" t="str">
        <f t="shared" si="187"/>
        <v/>
      </c>
      <c r="AM354" s="705"/>
      <c r="AN354" s="705"/>
      <c r="AO354" s="289"/>
      <c r="AP354" s="273" t="str">
        <f t="shared" si="188"/>
        <v/>
      </c>
      <c r="AQ354" s="13" t="str">
        <f t="shared" si="188"/>
        <v/>
      </c>
      <c r="AR354" s="273" t="str">
        <f t="shared" si="188"/>
        <v/>
      </c>
      <c r="AS354" s="13" t="str">
        <f t="shared" si="188"/>
        <v/>
      </c>
      <c r="AT354" s="705"/>
      <c r="AU354" s="705"/>
      <c r="AV354" s="13"/>
      <c r="AW354" s="746" t="str">
        <f t="shared" si="189"/>
        <v/>
      </c>
      <c r="AX354" s="746"/>
      <c r="AY354" s="75" t="str">
        <f t="shared" si="190"/>
        <v/>
      </c>
      <c r="AZ354" s="13" t="str">
        <f t="shared" si="190"/>
        <v/>
      </c>
      <c r="BA354" s="75" t="str">
        <f t="shared" si="190"/>
        <v/>
      </c>
      <c r="BB354" s="13" t="str">
        <f t="shared" si="190"/>
        <v/>
      </c>
      <c r="BC354" s="705"/>
      <c r="BD354" s="705"/>
      <c r="BE354" s="746" t="str">
        <f t="shared" si="190"/>
        <v/>
      </c>
      <c r="BF354" s="746"/>
      <c r="BG354" s="13" t="s">
        <v>142</v>
      </c>
      <c r="BH354" s="884" t="str">
        <f t="shared" si="191"/>
        <v/>
      </c>
      <c r="BI354" s="884"/>
      <c r="BJ354" s="590"/>
      <c r="BO354" s="94"/>
      <c r="BP354" s="94"/>
      <c r="BQ354" s="94"/>
      <c r="BR354" s="94"/>
      <c r="BS354" s="94"/>
      <c r="BT354" s="94"/>
      <c r="BU354" s="94"/>
      <c r="BV354" s="94"/>
      <c r="BW354" s="94"/>
      <c r="BX354" s="94"/>
      <c r="BY354" s="94"/>
      <c r="BZ354" s="94"/>
      <c r="CA354" s="94"/>
      <c r="CB354" s="94"/>
      <c r="CC354" s="94"/>
      <c r="CD354" s="94"/>
      <c r="CE354" s="94"/>
      <c r="CF354" s="94"/>
      <c r="CG354" s="94"/>
      <c r="CH354" s="94"/>
      <c r="CI354" s="94"/>
      <c r="CJ354" s="94"/>
      <c r="CK354" s="94"/>
      <c r="CL354" s="94"/>
      <c r="CM354" s="94"/>
      <c r="CN354" s="94"/>
      <c r="CO354" s="94"/>
      <c r="CP354" s="94"/>
      <c r="CQ354" s="94"/>
      <c r="CR354" s="94"/>
      <c r="CS354" s="94"/>
      <c r="CT354" s="94"/>
      <c r="CU354" s="94"/>
      <c r="CV354" s="94"/>
      <c r="CW354" s="94"/>
      <c r="CX354" s="94"/>
      <c r="CY354" s="94"/>
      <c r="CZ354" s="94"/>
    </row>
    <row r="355" spans="1:178" ht="12.75" hidden="1">
      <c r="A355" s="74"/>
      <c r="B355" s="288" t="str">
        <f t="shared" si="182"/>
        <v/>
      </c>
      <c r="C355" s="9"/>
      <c r="D355" s="288" t="str">
        <f t="shared" si="183"/>
        <v/>
      </c>
      <c r="E355" s="274"/>
      <c r="F355" s="925" t="str">
        <f t="shared" si="192"/>
        <v/>
      </c>
      <c r="G355" s="925"/>
      <c r="H355" s="925"/>
      <c r="I355" s="925"/>
      <c r="J355" s="925"/>
      <c r="K355" s="925"/>
      <c r="L355" s="925"/>
      <c r="M355" s="925"/>
      <c r="N355" s="925"/>
      <c r="O355" s="925"/>
      <c r="P355" s="925"/>
      <c r="Q355" s="284"/>
      <c r="R355" s="889" t="str">
        <f t="shared" si="184"/>
        <v/>
      </c>
      <c r="S355" s="889"/>
      <c r="T355" s="889"/>
      <c r="U355" s="889"/>
      <c r="V355" s="289"/>
      <c r="W355" s="889" t="str">
        <f t="shared" si="185"/>
        <v/>
      </c>
      <c r="X355" s="889"/>
      <c r="Y355" s="889"/>
      <c r="Z355" s="889"/>
      <c r="AA355" s="889"/>
      <c r="AB355" s="889"/>
      <c r="AC355" s="289"/>
      <c r="AD355" s="885" t="str">
        <f t="shared" si="186"/>
        <v/>
      </c>
      <c r="AE355" s="885"/>
      <c r="AF355" s="885"/>
      <c r="AG355" s="885"/>
      <c r="AH355" s="9"/>
      <c r="AI355" s="288" t="str">
        <f t="shared" si="187"/>
        <v/>
      </c>
      <c r="AJ355" s="13" t="str">
        <f t="shared" si="187"/>
        <v/>
      </c>
      <c r="AK355" s="288" t="str">
        <f t="shared" si="187"/>
        <v/>
      </c>
      <c r="AL355" s="13" t="str">
        <f t="shared" si="187"/>
        <v/>
      </c>
      <c r="AM355" s="705"/>
      <c r="AN355" s="705"/>
      <c r="AO355" s="289"/>
      <c r="AP355" s="273" t="str">
        <f t="shared" si="188"/>
        <v/>
      </c>
      <c r="AQ355" s="13" t="str">
        <f t="shared" si="188"/>
        <v/>
      </c>
      <c r="AR355" s="273" t="str">
        <f t="shared" si="188"/>
        <v/>
      </c>
      <c r="AS355" s="13" t="str">
        <f t="shared" si="188"/>
        <v/>
      </c>
      <c r="AT355" s="705"/>
      <c r="AU355" s="705"/>
      <c r="AV355" s="13"/>
      <c r="AW355" s="746" t="str">
        <f t="shared" si="189"/>
        <v/>
      </c>
      <c r="AX355" s="746"/>
      <c r="AY355" s="75" t="str">
        <f t="shared" si="190"/>
        <v/>
      </c>
      <c r="AZ355" s="13" t="str">
        <f t="shared" si="190"/>
        <v/>
      </c>
      <c r="BA355" s="75" t="str">
        <f t="shared" si="190"/>
        <v/>
      </c>
      <c r="BB355" s="13" t="str">
        <f t="shared" si="190"/>
        <v/>
      </c>
      <c r="BC355" s="705"/>
      <c r="BD355" s="705"/>
      <c r="BE355" s="746" t="str">
        <f t="shared" si="190"/>
        <v/>
      </c>
      <c r="BF355" s="746"/>
      <c r="BG355" s="13" t="s">
        <v>142</v>
      </c>
      <c r="BH355" s="884" t="str">
        <f t="shared" si="191"/>
        <v/>
      </c>
      <c r="BI355" s="884"/>
      <c r="BJ355" s="590"/>
      <c r="BO355" s="94"/>
      <c r="BP355" s="94"/>
      <c r="BQ355" s="94"/>
      <c r="BR355" s="94"/>
      <c r="BS355" s="94"/>
      <c r="BT355" s="94"/>
      <c r="BU355" s="94"/>
      <c r="BV355" s="94"/>
      <c r="BW355" s="94"/>
      <c r="BX355" s="94"/>
      <c r="BY355" s="94"/>
      <c r="BZ355" s="94"/>
      <c r="CA355" s="94"/>
      <c r="CB355" s="94"/>
      <c r="CC355" s="94"/>
      <c r="CD355" s="94"/>
      <c r="CE355" s="94"/>
      <c r="CF355" s="94"/>
      <c r="CG355" s="94"/>
      <c r="CH355" s="94"/>
      <c r="CI355" s="94"/>
      <c r="CJ355" s="94"/>
      <c r="CK355" s="94"/>
      <c r="CL355" s="94"/>
      <c r="CM355" s="94"/>
      <c r="CN355" s="94"/>
      <c r="CO355" s="94"/>
      <c r="CP355" s="94"/>
      <c r="CQ355" s="94"/>
      <c r="CR355" s="94"/>
      <c r="CS355" s="94"/>
      <c r="CT355" s="94"/>
      <c r="CU355" s="94"/>
      <c r="CV355" s="94"/>
      <c r="CW355" s="94"/>
      <c r="CX355" s="94"/>
      <c r="CY355" s="94"/>
      <c r="CZ355" s="94"/>
    </row>
    <row r="356" spans="1:178" ht="12.75" hidden="1">
      <c r="A356" s="74"/>
      <c r="B356" s="288" t="str">
        <f t="shared" si="182"/>
        <v/>
      </c>
      <c r="C356" s="9"/>
      <c r="D356" s="288" t="str">
        <f t="shared" si="183"/>
        <v/>
      </c>
      <c r="E356" s="274"/>
      <c r="F356" s="925" t="str">
        <f t="shared" si="192"/>
        <v/>
      </c>
      <c r="G356" s="925"/>
      <c r="H356" s="925"/>
      <c r="I356" s="925"/>
      <c r="J356" s="925"/>
      <c r="K356" s="925"/>
      <c r="L356" s="925"/>
      <c r="M356" s="925"/>
      <c r="N356" s="925"/>
      <c r="O356" s="925"/>
      <c r="P356" s="925"/>
      <c r="Q356" s="284"/>
      <c r="R356" s="889" t="str">
        <f t="shared" si="184"/>
        <v/>
      </c>
      <c r="S356" s="889"/>
      <c r="T356" s="889"/>
      <c r="U356" s="889"/>
      <c r="V356" s="289"/>
      <c r="W356" s="889" t="str">
        <f t="shared" si="185"/>
        <v/>
      </c>
      <c r="X356" s="889"/>
      <c r="Y356" s="889"/>
      <c r="Z356" s="889"/>
      <c r="AA356" s="889"/>
      <c r="AB356" s="889"/>
      <c r="AC356" s="289"/>
      <c r="AD356" s="885" t="str">
        <f t="shared" si="186"/>
        <v/>
      </c>
      <c r="AE356" s="885"/>
      <c r="AF356" s="885"/>
      <c r="AG356" s="885"/>
      <c r="AH356" s="9"/>
      <c r="AI356" s="288" t="str">
        <f t="shared" si="187"/>
        <v/>
      </c>
      <c r="AJ356" s="13" t="str">
        <f t="shared" si="187"/>
        <v/>
      </c>
      <c r="AK356" s="288" t="str">
        <f t="shared" si="187"/>
        <v/>
      </c>
      <c r="AL356" s="13" t="str">
        <f t="shared" si="187"/>
        <v/>
      </c>
      <c r="AM356" s="705"/>
      <c r="AN356" s="705"/>
      <c r="AO356" s="289"/>
      <c r="AP356" s="273" t="str">
        <f t="shared" si="188"/>
        <v/>
      </c>
      <c r="AQ356" s="13" t="str">
        <f t="shared" si="188"/>
        <v/>
      </c>
      <c r="AR356" s="273" t="str">
        <f t="shared" si="188"/>
        <v/>
      </c>
      <c r="AS356" s="13" t="str">
        <f t="shared" si="188"/>
        <v/>
      </c>
      <c r="AT356" s="705"/>
      <c r="AU356" s="705"/>
      <c r="AV356" s="13"/>
      <c r="AW356" s="746" t="str">
        <f t="shared" si="189"/>
        <v/>
      </c>
      <c r="AX356" s="746"/>
      <c r="AY356" s="75" t="str">
        <f t="shared" si="190"/>
        <v/>
      </c>
      <c r="AZ356" s="13" t="str">
        <f t="shared" si="190"/>
        <v/>
      </c>
      <c r="BA356" s="75" t="str">
        <f t="shared" si="190"/>
        <v/>
      </c>
      <c r="BB356" s="13" t="str">
        <f t="shared" si="190"/>
        <v/>
      </c>
      <c r="BC356" s="705"/>
      <c r="BD356" s="705"/>
      <c r="BE356" s="746" t="str">
        <f t="shared" si="190"/>
        <v/>
      </c>
      <c r="BF356" s="746"/>
      <c r="BG356" s="13" t="s">
        <v>142</v>
      </c>
      <c r="BH356" s="884" t="str">
        <f t="shared" si="191"/>
        <v/>
      </c>
      <c r="BI356" s="884"/>
      <c r="BJ356" s="590"/>
      <c r="BO356" s="94"/>
      <c r="BP356" s="94"/>
      <c r="BQ356" s="94"/>
      <c r="BR356" s="94"/>
      <c r="BS356" s="94"/>
      <c r="BT356" s="94"/>
      <c r="BU356" s="94"/>
      <c r="BV356" s="94"/>
      <c r="BW356" s="94"/>
      <c r="BX356" s="94"/>
      <c r="BY356" s="94"/>
      <c r="BZ356" s="94"/>
      <c r="CA356" s="94"/>
      <c r="CB356" s="94"/>
      <c r="CC356" s="94"/>
      <c r="CD356" s="94"/>
      <c r="CE356" s="94"/>
      <c r="CF356" s="94"/>
      <c r="CG356" s="94"/>
      <c r="CH356" s="94"/>
      <c r="CI356" s="94"/>
      <c r="CJ356" s="94"/>
      <c r="CK356" s="94"/>
      <c r="CL356" s="94"/>
      <c r="CM356" s="94"/>
      <c r="CN356" s="94"/>
      <c r="CO356" s="94"/>
      <c r="CP356" s="94"/>
      <c r="CQ356" s="94"/>
      <c r="CR356" s="94"/>
      <c r="CS356" s="94"/>
      <c r="CT356" s="94"/>
      <c r="CU356" s="94"/>
      <c r="CV356" s="94"/>
      <c r="CW356" s="94"/>
      <c r="CX356" s="94"/>
      <c r="CY356" s="94"/>
      <c r="CZ356" s="94"/>
    </row>
    <row r="357" spans="1:178" ht="12.75" hidden="1">
      <c r="A357" s="74"/>
      <c r="B357" s="288" t="str">
        <f t="shared" si="182"/>
        <v/>
      </c>
      <c r="C357" s="9"/>
      <c r="D357" s="288" t="str">
        <f t="shared" si="183"/>
        <v/>
      </c>
      <c r="E357" s="274"/>
      <c r="F357" s="925" t="str">
        <f t="shared" si="192"/>
        <v/>
      </c>
      <c r="G357" s="925"/>
      <c r="H357" s="925"/>
      <c r="I357" s="925"/>
      <c r="J357" s="925"/>
      <c r="K357" s="925"/>
      <c r="L357" s="925"/>
      <c r="M357" s="925"/>
      <c r="N357" s="925"/>
      <c r="O357" s="925"/>
      <c r="P357" s="925"/>
      <c r="Q357" s="284"/>
      <c r="R357" s="889" t="str">
        <f t="shared" si="184"/>
        <v/>
      </c>
      <c r="S357" s="889"/>
      <c r="T357" s="889"/>
      <c r="U357" s="889"/>
      <c r="V357" s="289"/>
      <c r="W357" s="889" t="str">
        <f t="shared" si="185"/>
        <v/>
      </c>
      <c r="X357" s="889"/>
      <c r="Y357" s="889"/>
      <c r="Z357" s="889"/>
      <c r="AA357" s="889"/>
      <c r="AB357" s="889"/>
      <c r="AC357" s="289"/>
      <c r="AD357" s="885" t="str">
        <f t="shared" si="186"/>
        <v/>
      </c>
      <c r="AE357" s="885"/>
      <c r="AF357" s="885"/>
      <c r="AG357" s="885"/>
      <c r="AH357" s="9"/>
      <c r="AI357" s="288" t="str">
        <f t="shared" si="187"/>
        <v/>
      </c>
      <c r="AJ357" s="13" t="str">
        <f t="shared" si="187"/>
        <v/>
      </c>
      <c r="AK357" s="288" t="str">
        <f t="shared" si="187"/>
        <v/>
      </c>
      <c r="AL357" s="13" t="str">
        <f t="shared" si="187"/>
        <v/>
      </c>
      <c r="AM357" s="705"/>
      <c r="AN357" s="705"/>
      <c r="AO357" s="289"/>
      <c r="AP357" s="273" t="str">
        <f t="shared" si="188"/>
        <v/>
      </c>
      <c r="AQ357" s="13" t="str">
        <f t="shared" si="188"/>
        <v/>
      </c>
      <c r="AR357" s="273" t="str">
        <f t="shared" si="188"/>
        <v/>
      </c>
      <c r="AS357" s="13" t="str">
        <f t="shared" si="188"/>
        <v/>
      </c>
      <c r="AT357" s="705"/>
      <c r="AU357" s="705"/>
      <c r="AV357" s="13"/>
      <c r="AW357" s="746" t="str">
        <f t="shared" si="189"/>
        <v/>
      </c>
      <c r="AX357" s="746"/>
      <c r="AY357" s="75" t="str">
        <f t="shared" si="190"/>
        <v/>
      </c>
      <c r="AZ357" s="13" t="str">
        <f t="shared" si="190"/>
        <v/>
      </c>
      <c r="BA357" s="75" t="str">
        <f t="shared" si="190"/>
        <v/>
      </c>
      <c r="BB357" s="13" t="str">
        <f t="shared" si="190"/>
        <v/>
      </c>
      <c r="BC357" s="705"/>
      <c r="BD357" s="705"/>
      <c r="BE357" s="746" t="str">
        <f t="shared" si="190"/>
        <v/>
      </c>
      <c r="BF357" s="746"/>
      <c r="BG357" s="13" t="s">
        <v>142</v>
      </c>
      <c r="BH357" s="884" t="str">
        <f t="shared" si="191"/>
        <v/>
      </c>
      <c r="BI357" s="884"/>
      <c r="BJ357" s="590"/>
      <c r="BO357" s="102"/>
      <c r="BP357" s="102"/>
      <c r="BQ357" s="102"/>
      <c r="BR357" s="102"/>
      <c r="BS357" s="102"/>
      <c r="BT357" s="102"/>
      <c r="BU357" s="102"/>
      <c r="BV357" s="102"/>
      <c r="BW357" s="102"/>
      <c r="BX357" s="102"/>
      <c r="BY357" s="94"/>
      <c r="BZ357" s="94"/>
      <c r="CA357" s="94"/>
      <c r="CB357" s="94"/>
      <c r="CC357" s="94"/>
      <c r="CD357" s="94"/>
      <c r="CE357" s="94"/>
      <c r="CF357" s="94"/>
      <c r="CG357" s="94"/>
      <c r="CH357" s="94"/>
      <c r="CI357" s="94"/>
      <c r="CJ357" s="94"/>
      <c r="CK357" s="94"/>
      <c r="CL357" s="94"/>
      <c r="CM357" s="94"/>
      <c r="CN357" s="94"/>
      <c r="CO357" s="94"/>
      <c r="CP357" s="94"/>
      <c r="CQ357" s="94"/>
      <c r="CR357" s="94"/>
      <c r="CS357" s="94"/>
      <c r="CT357" s="94"/>
      <c r="CU357" s="94"/>
      <c r="CV357" s="94"/>
      <c r="CW357" s="94"/>
      <c r="CX357" s="94"/>
      <c r="CY357" s="94"/>
      <c r="CZ357" s="94"/>
    </row>
    <row r="358" spans="1:178" ht="12.75" hidden="1">
      <c r="A358" s="74"/>
      <c r="B358" s="288" t="str">
        <f t="shared" si="182"/>
        <v/>
      </c>
      <c r="C358" s="9"/>
      <c r="D358" s="288" t="str">
        <f t="shared" si="183"/>
        <v/>
      </c>
      <c r="E358" s="274"/>
      <c r="F358" s="925" t="str">
        <f t="shared" si="192"/>
        <v/>
      </c>
      <c r="G358" s="925"/>
      <c r="H358" s="925"/>
      <c r="I358" s="925"/>
      <c r="J358" s="925"/>
      <c r="K358" s="925"/>
      <c r="L358" s="925"/>
      <c r="M358" s="925"/>
      <c r="N358" s="925"/>
      <c r="O358" s="925"/>
      <c r="P358" s="925"/>
      <c r="Q358" s="284"/>
      <c r="R358" s="889" t="str">
        <f t="shared" si="184"/>
        <v/>
      </c>
      <c r="S358" s="889"/>
      <c r="T358" s="889"/>
      <c r="U358" s="889"/>
      <c r="V358" s="289"/>
      <c r="W358" s="889" t="str">
        <f t="shared" si="185"/>
        <v/>
      </c>
      <c r="X358" s="889"/>
      <c r="Y358" s="889"/>
      <c r="Z358" s="889"/>
      <c r="AA358" s="889"/>
      <c r="AB358" s="889"/>
      <c r="AC358" s="289"/>
      <c r="AD358" s="885" t="str">
        <f t="shared" si="186"/>
        <v/>
      </c>
      <c r="AE358" s="885"/>
      <c r="AF358" s="885"/>
      <c r="AG358" s="885"/>
      <c r="AH358" s="9"/>
      <c r="AI358" s="288" t="str">
        <f t="shared" si="187"/>
        <v/>
      </c>
      <c r="AJ358" s="13" t="str">
        <f t="shared" si="187"/>
        <v/>
      </c>
      <c r="AK358" s="288" t="str">
        <f t="shared" si="187"/>
        <v/>
      </c>
      <c r="AL358" s="13" t="str">
        <f t="shared" si="187"/>
        <v/>
      </c>
      <c r="AM358" s="705"/>
      <c r="AN358" s="705"/>
      <c r="AO358" s="289"/>
      <c r="AP358" s="273" t="str">
        <f t="shared" si="188"/>
        <v/>
      </c>
      <c r="AQ358" s="13" t="str">
        <f t="shared" si="188"/>
        <v/>
      </c>
      <c r="AR358" s="273" t="str">
        <f t="shared" si="188"/>
        <v/>
      </c>
      <c r="AS358" s="13" t="str">
        <f t="shared" si="188"/>
        <v/>
      </c>
      <c r="AT358" s="705"/>
      <c r="AU358" s="705"/>
      <c r="AV358" s="13"/>
      <c r="AW358" s="746" t="str">
        <f t="shared" si="189"/>
        <v/>
      </c>
      <c r="AX358" s="746"/>
      <c r="AY358" s="75" t="str">
        <f t="shared" si="190"/>
        <v/>
      </c>
      <c r="AZ358" s="13" t="str">
        <f t="shared" si="190"/>
        <v/>
      </c>
      <c r="BA358" s="75" t="str">
        <f t="shared" si="190"/>
        <v/>
      </c>
      <c r="BB358" s="13" t="str">
        <f t="shared" si="190"/>
        <v/>
      </c>
      <c r="BC358" s="705"/>
      <c r="BD358" s="705"/>
      <c r="BE358" s="746" t="str">
        <f t="shared" si="190"/>
        <v/>
      </c>
      <c r="BF358" s="746"/>
      <c r="BG358" s="13" t="s">
        <v>142</v>
      </c>
      <c r="BH358" s="884" t="str">
        <f t="shared" si="191"/>
        <v/>
      </c>
      <c r="BI358" s="884"/>
      <c r="BJ358" s="590"/>
      <c r="BO358" s="102"/>
      <c r="BP358" s="102"/>
      <c r="BQ358" s="102"/>
      <c r="BR358" s="102"/>
      <c r="BS358" s="102"/>
      <c r="BT358" s="102"/>
      <c r="BU358" s="102"/>
      <c r="BV358" s="102"/>
      <c r="BW358" s="102"/>
      <c r="BX358" s="102"/>
      <c r="BY358" s="94"/>
      <c r="BZ358" s="94"/>
      <c r="CA358" s="94"/>
      <c r="CB358" s="94"/>
      <c r="CC358" s="94"/>
      <c r="CD358" s="94"/>
      <c r="CE358" s="94"/>
      <c r="CF358" s="94"/>
      <c r="CG358" s="94"/>
      <c r="CH358" s="94"/>
      <c r="CI358" s="94"/>
      <c r="CJ358" s="94"/>
      <c r="CK358" s="94"/>
      <c r="CL358" s="94"/>
      <c r="CM358" s="94"/>
      <c r="CN358" s="94"/>
      <c r="CO358" s="94"/>
      <c r="CP358" s="94"/>
      <c r="CQ358" s="94"/>
      <c r="CR358" s="94"/>
      <c r="CS358" s="94"/>
      <c r="CT358" s="94"/>
      <c r="CU358" s="94"/>
      <c r="CV358" s="94"/>
      <c r="CW358" s="94"/>
      <c r="CX358" s="94"/>
      <c r="CY358" s="94"/>
      <c r="CZ358" s="94"/>
    </row>
    <row r="359" spans="1:178" ht="12.75" hidden="1">
      <c r="A359" s="74"/>
      <c r="B359" s="288" t="str">
        <f t="shared" si="182"/>
        <v/>
      </c>
      <c r="C359" s="9"/>
      <c r="D359" s="288" t="str">
        <f t="shared" si="183"/>
        <v/>
      </c>
      <c r="E359" s="274"/>
      <c r="F359" s="925" t="str">
        <f t="shared" si="192"/>
        <v/>
      </c>
      <c r="G359" s="925"/>
      <c r="H359" s="925"/>
      <c r="I359" s="925"/>
      <c r="J359" s="925"/>
      <c r="K359" s="925"/>
      <c r="L359" s="925"/>
      <c r="M359" s="925"/>
      <c r="N359" s="925"/>
      <c r="O359" s="925"/>
      <c r="P359" s="925"/>
      <c r="Q359" s="284"/>
      <c r="R359" s="889" t="str">
        <f t="shared" si="184"/>
        <v/>
      </c>
      <c r="S359" s="889"/>
      <c r="T359" s="889"/>
      <c r="U359" s="889"/>
      <c r="V359" s="289"/>
      <c r="W359" s="889" t="str">
        <f t="shared" si="185"/>
        <v/>
      </c>
      <c r="X359" s="889"/>
      <c r="Y359" s="889"/>
      <c r="Z359" s="889"/>
      <c r="AA359" s="889"/>
      <c r="AB359" s="889"/>
      <c r="AC359" s="289"/>
      <c r="AD359" s="885" t="str">
        <f t="shared" si="186"/>
        <v/>
      </c>
      <c r="AE359" s="885"/>
      <c r="AF359" s="885"/>
      <c r="AG359" s="885"/>
      <c r="AH359" s="9"/>
      <c r="AI359" s="288" t="str">
        <f t="shared" si="187"/>
        <v/>
      </c>
      <c r="AJ359" s="13" t="str">
        <f t="shared" si="187"/>
        <v/>
      </c>
      <c r="AK359" s="288" t="str">
        <f t="shared" si="187"/>
        <v/>
      </c>
      <c r="AL359" s="13" t="str">
        <f t="shared" si="187"/>
        <v/>
      </c>
      <c r="AM359" s="705"/>
      <c r="AN359" s="705"/>
      <c r="AO359" s="289"/>
      <c r="AP359" s="273" t="str">
        <f t="shared" si="188"/>
        <v/>
      </c>
      <c r="AQ359" s="13" t="str">
        <f t="shared" si="188"/>
        <v/>
      </c>
      <c r="AR359" s="273" t="str">
        <f t="shared" si="188"/>
        <v/>
      </c>
      <c r="AS359" s="13" t="str">
        <f t="shared" si="188"/>
        <v/>
      </c>
      <c r="AT359" s="705"/>
      <c r="AU359" s="705"/>
      <c r="AV359" s="13"/>
      <c r="AW359" s="746" t="str">
        <f t="shared" si="189"/>
        <v/>
      </c>
      <c r="AX359" s="746"/>
      <c r="AY359" s="75" t="str">
        <f t="shared" si="190"/>
        <v/>
      </c>
      <c r="AZ359" s="13" t="str">
        <f t="shared" si="190"/>
        <v/>
      </c>
      <c r="BA359" s="75" t="str">
        <f t="shared" si="190"/>
        <v/>
      </c>
      <c r="BB359" s="13" t="str">
        <f t="shared" si="190"/>
        <v/>
      </c>
      <c r="BC359" s="705"/>
      <c r="BD359" s="705"/>
      <c r="BE359" s="746" t="str">
        <f t="shared" si="190"/>
        <v/>
      </c>
      <c r="BF359" s="746"/>
      <c r="BG359" s="13" t="s">
        <v>142</v>
      </c>
      <c r="BH359" s="884" t="str">
        <f t="shared" si="191"/>
        <v/>
      </c>
      <c r="BI359" s="884"/>
      <c r="BJ359" s="590"/>
      <c r="BO359" s="102"/>
      <c r="BP359" s="102"/>
      <c r="BQ359" s="102"/>
      <c r="BR359" s="102"/>
      <c r="BS359" s="102"/>
      <c r="BT359" s="102"/>
      <c r="BU359" s="102"/>
      <c r="BV359" s="102"/>
      <c r="BW359" s="102"/>
      <c r="BX359" s="102"/>
      <c r="BY359" s="94"/>
      <c r="BZ359" s="94"/>
      <c r="CA359" s="94"/>
      <c r="CB359" s="94"/>
      <c r="CC359" s="94"/>
      <c r="CD359" s="94"/>
      <c r="CE359" s="94"/>
      <c r="CF359" s="94"/>
      <c r="CG359" s="94"/>
      <c r="CH359" s="94"/>
      <c r="CI359" s="94"/>
      <c r="CJ359" s="94"/>
      <c r="CK359" s="94"/>
      <c r="CL359" s="94"/>
      <c r="CM359" s="94"/>
      <c r="CN359" s="94"/>
      <c r="CO359" s="94"/>
      <c r="CP359" s="94"/>
      <c r="CQ359" s="94"/>
      <c r="CR359" s="94"/>
      <c r="CS359" s="94"/>
      <c r="CT359" s="94"/>
      <c r="CU359" s="94"/>
      <c r="CV359" s="94"/>
      <c r="CW359" s="94"/>
      <c r="CX359" s="94"/>
      <c r="CY359" s="94"/>
      <c r="CZ359" s="94"/>
    </row>
    <row r="360" spans="1:178" ht="12.75" hidden="1">
      <c r="A360" s="74"/>
      <c r="B360" s="288" t="str">
        <f t="shared" si="182"/>
        <v/>
      </c>
      <c r="C360" s="9"/>
      <c r="D360" s="288" t="str">
        <f t="shared" si="183"/>
        <v/>
      </c>
      <c r="E360" s="274"/>
      <c r="F360" s="925" t="str">
        <f t="shared" si="192"/>
        <v/>
      </c>
      <c r="G360" s="925"/>
      <c r="H360" s="925"/>
      <c r="I360" s="925"/>
      <c r="J360" s="925"/>
      <c r="K360" s="925"/>
      <c r="L360" s="925"/>
      <c r="M360" s="925"/>
      <c r="N360" s="925"/>
      <c r="O360" s="925"/>
      <c r="P360" s="925"/>
      <c r="Q360" s="284"/>
      <c r="R360" s="889" t="str">
        <f t="shared" si="184"/>
        <v/>
      </c>
      <c r="S360" s="889"/>
      <c r="T360" s="889"/>
      <c r="U360" s="889"/>
      <c r="V360" s="289"/>
      <c r="W360" s="889" t="str">
        <f t="shared" si="185"/>
        <v/>
      </c>
      <c r="X360" s="889"/>
      <c r="Y360" s="889"/>
      <c r="Z360" s="889"/>
      <c r="AA360" s="889"/>
      <c r="AB360" s="889"/>
      <c r="AC360" s="289"/>
      <c r="AD360" s="885" t="str">
        <f t="shared" si="186"/>
        <v/>
      </c>
      <c r="AE360" s="885"/>
      <c r="AF360" s="885"/>
      <c r="AG360" s="885"/>
      <c r="AH360" s="9"/>
      <c r="AI360" s="288" t="str">
        <f t="shared" si="187"/>
        <v/>
      </c>
      <c r="AJ360" s="13" t="str">
        <f t="shared" si="187"/>
        <v/>
      </c>
      <c r="AK360" s="288" t="str">
        <f t="shared" si="187"/>
        <v/>
      </c>
      <c r="AL360" s="13" t="str">
        <f t="shared" si="187"/>
        <v/>
      </c>
      <c r="AM360" s="705"/>
      <c r="AN360" s="705"/>
      <c r="AO360" s="289"/>
      <c r="AP360" s="273" t="str">
        <f t="shared" si="188"/>
        <v/>
      </c>
      <c r="AQ360" s="13" t="str">
        <f t="shared" si="188"/>
        <v/>
      </c>
      <c r="AR360" s="273" t="str">
        <f t="shared" si="188"/>
        <v/>
      </c>
      <c r="AS360" s="13" t="str">
        <f t="shared" si="188"/>
        <v/>
      </c>
      <c r="AT360" s="705"/>
      <c r="AU360" s="705"/>
      <c r="AV360" s="13"/>
      <c r="AW360" s="746" t="str">
        <f t="shared" si="189"/>
        <v/>
      </c>
      <c r="AX360" s="746"/>
      <c r="AY360" s="75" t="str">
        <f t="shared" si="190"/>
        <v/>
      </c>
      <c r="AZ360" s="13" t="str">
        <f t="shared" si="190"/>
        <v/>
      </c>
      <c r="BA360" s="75" t="str">
        <f t="shared" si="190"/>
        <v/>
      </c>
      <c r="BB360" s="13" t="str">
        <f t="shared" si="190"/>
        <v/>
      </c>
      <c r="BC360" s="705"/>
      <c r="BD360" s="705"/>
      <c r="BE360" s="746" t="str">
        <f t="shared" si="190"/>
        <v/>
      </c>
      <c r="BF360" s="746"/>
      <c r="BG360" s="13" t="s">
        <v>142</v>
      </c>
      <c r="BH360" s="884" t="str">
        <f t="shared" si="191"/>
        <v/>
      </c>
      <c r="BI360" s="884"/>
      <c r="BJ360" s="590"/>
      <c r="BO360" s="94"/>
      <c r="BP360" s="94"/>
      <c r="BQ360" s="94"/>
      <c r="BR360" s="94"/>
      <c r="BS360" s="94"/>
      <c r="BT360" s="94"/>
      <c r="BU360" s="94"/>
      <c r="BV360" s="94"/>
      <c r="BW360" s="94"/>
      <c r="BX360" s="94"/>
      <c r="BY360" s="94"/>
      <c r="BZ360" s="94"/>
      <c r="CA360" s="94"/>
      <c r="CB360" s="94"/>
      <c r="CC360" s="94"/>
      <c r="CD360" s="94"/>
      <c r="CE360" s="94"/>
      <c r="CF360" s="94"/>
      <c r="CG360" s="94"/>
      <c r="CH360" s="94"/>
      <c r="CI360" s="94"/>
      <c r="CJ360" s="94"/>
      <c r="CK360" s="94"/>
      <c r="CL360" s="94"/>
      <c r="CM360" s="94"/>
      <c r="CN360" s="94"/>
      <c r="CO360" s="94"/>
      <c r="CP360" s="94"/>
      <c r="CQ360" s="94"/>
      <c r="CR360" s="94"/>
      <c r="CS360" s="94"/>
      <c r="CT360" s="94"/>
      <c r="CU360" s="94"/>
      <c r="CV360" s="94"/>
      <c r="CW360" s="94"/>
      <c r="CX360" s="94"/>
      <c r="CY360" s="94"/>
      <c r="CZ360" s="94"/>
    </row>
    <row r="361" spans="1:178" ht="12.75" hidden="1">
      <c r="A361" s="74"/>
      <c r="B361" s="288" t="str">
        <f t="shared" si="182"/>
        <v/>
      </c>
      <c r="C361" s="9"/>
      <c r="D361" s="288" t="str">
        <f t="shared" si="183"/>
        <v/>
      </c>
      <c r="E361" s="274"/>
      <c r="F361" s="925" t="str">
        <f t="shared" si="192"/>
        <v/>
      </c>
      <c r="G361" s="925"/>
      <c r="H361" s="925"/>
      <c r="I361" s="925"/>
      <c r="J361" s="925"/>
      <c r="K361" s="925"/>
      <c r="L361" s="925"/>
      <c r="M361" s="925"/>
      <c r="N361" s="925"/>
      <c r="O361" s="925"/>
      <c r="P361" s="925"/>
      <c r="Q361" s="284"/>
      <c r="R361" s="889" t="str">
        <f t="shared" si="184"/>
        <v/>
      </c>
      <c r="S361" s="889"/>
      <c r="T361" s="889"/>
      <c r="U361" s="889"/>
      <c r="V361" s="289"/>
      <c r="W361" s="889" t="str">
        <f t="shared" si="185"/>
        <v/>
      </c>
      <c r="X361" s="889"/>
      <c r="Y361" s="889"/>
      <c r="Z361" s="889"/>
      <c r="AA361" s="889"/>
      <c r="AB361" s="889"/>
      <c r="AC361" s="289"/>
      <c r="AD361" s="885" t="str">
        <f t="shared" si="186"/>
        <v/>
      </c>
      <c r="AE361" s="885"/>
      <c r="AF361" s="885"/>
      <c r="AG361" s="885"/>
      <c r="AH361" s="9"/>
      <c r="AI361" s="288" t="str">
        <f t="shared" si="187"/>
        <v/>
      </c>
      <c r="AJ361" s="13" t="str">
        <f t="shared" si="187"/>
        <v/>
      </c>
      <c r="AK361" s="288" t="str">
        <f t="shared" si="187"/>
        <v/>
      </c>
      <c r="AL361" s="13" t="str">
        <f t="shared" si="187"/>
        <v/>
      </c>
      <c r="AM361" s="705"/>
      <c r="AN361" s="705"/>
      <c r="AO361" s="289"/>
      <c r="AP361" s="273" t="str">
        <f t="shared" si="188"/>
        <v/>
      </c>
      <c r="AQ361" s="13" t="str">
        <f t="shared" si="188"/>
        <v/>
      </c>
      <c r="AR361" s="273" t="str">
        <f t="shared" si="188"/>
        <v/>
      </c>
      <c r="AS361" s="13" t="str">
        <f t="shared" si="188"/>
        <v/>
      </c>
      <c r="AT361" s="705"/>
      <c r="AU361" s="705"/>
      <c r="AV361" s="13"/>
      <c r="AW361" s="746" t="str">
        <f t="shared" si="189"/>
        <v/>
      </c>
      <c r="AX361" s="746"/>
      <c r="AY361" s="75" t="str">
        <f t="shared" si="190"/>
        <v/>
      </c>
      <c r="AZ361" s="13" t="str">
        <f t="shared" si="190"/>
        <v/>
      </c>
      <c r="BA361" s="75" t="str">
        <f t="shared" si="190"/>
        <v/>
      </c>
      <c r="BB361" s="13" t="str">
        <f t="shared" si="190"/>
        <v/>
      </c>
      <c r="BC361" s="705"/>
      <c r="BD361" s="705"/>
      <c r="BE361" s="746" t="str">
        <f t="shared" si="190"/>
        <v/>
      </c>
      <c r="BF361" s="746"/>
      <c r="BG361" s="13" t="s">
        <v>142</v>
      </c>
      <c r="BH361" s="884" t="str">
        <f t="shared" si="191"/>
        <v/>
      </c>
      <c r="BI361" s="884"/>
      <c r="BJ361" s="590"/>
      <c r="BO361" s="94"/>
      <c r="BP361" s="94"/>
      <c r="BQ361" s="94"/>
      <c r="BR361" s="94"/>
      <c r="BS361" s="94"/>
      <c r="BT361" s="94"/>
      <c r="BU361" s="94"/>
      <c r="BV361" s="94"/>
      <c r="BW361" s="94"/>
      <c r="BX361" s="94"/>
      <c r="BY361" s="94"/>
      <c r="BZ361" s="94"/>
      <c r="CA361" s="94"/>
      <c r="CB361" s="94"/>
      <c r="CC361" s="94"/>
      <c r="CD361" s="94"/>
      <c r="CE361" s="94"/>
      <c r="CF361" s="94"/>
      <c r="CG361" s="94"/>
      <c r="CH361" s="94"/>
      <c r="CI361" s="94"/>
      <c r="CJ361" s="94"/>
      <c r="CK361" s="94"/>
      <c r="CL361" s="94"/>
      <c r="CM361" s="94"/>
      <c r="CN361" s="94"/>
      <c r="CO361" s="94"/>
      <c r="CP361" s="94"/>
      <c r="CQ361" s="94"/>
      <c r="CR361" s="94"/>
      <c r="CS361" s="94"/>
      <c r="CT361" s="94"/>
      <c r="CU361" s="94"/>
      <c r="CV361" s="94"/>
      <c r="CW361" s="94"/>
      <c r="CX361" s="94"/>
      <c r="CY361" s="94"/>
      <c r="CZ361" s="94"/>
    </row>
    <row r="362" spans="1:178" ht="12.75" hidden="1">
      <c r="A362" s="74"/>
      <c r="B362" s="288" t="str">
        <f t="shared" si="182"/>
        <v/>
      </c>
      <c r="C362" s="9"/>
      <c r="D362" s="288" t="str">
        <f t="shared" si="183"/>
        <v/>
      </c>
      <c r="E362" s="274"/>
      <c r="F362" s="925" t="str">
        <f t="shared" si="192"/>
        <v/>
      </c>
      <c r="G362" s="925"/>
      <c r="H362" s="925"/>
      <c r="I362" s="925"/>
      <c r="J362" s="925"/>
      <c r="K362" s="925"/>
      <c r="L362" s="925"/>
      <c r="M362" s="925"/>
      <c r="N362" s="925"/>
      <c r="O362" s="925"/>
      <c r="P362" s="925"/>
      <c r="Q362" s="284"/>
      <c r="R362" s="889" t="str">
        <f t="shared" si="184"/>
        <v/>
      </c>
      <c r="S362" s="889"/>
      <c r="T362" s="889"/>
      <c r="U362" s="889"/>
      <c r="V362" s="289"/>
      <c r="W362" s="889" t="str">
        <f t="shared" si="185"/>
        <v/>
      </c>
      <c r="X362" s="889"/>
      <c r="Y362" s="889"/>
      <c r="Z362" s="889"/>
      <c r="AA362" s="889"/>
      <c r="AB362" s="889"/>
      <c r="AC362" s="289"/>
      <c r="AD362" s="885" t="str">
        <f t="shared" si="186"/>
        <v/>
      </c>
      <c r="AE362" s="885"/>
      <c r="AF362" s="885"/>
      <c r="AG362" s="885"/>
      <c r="AH362" s="9"/>
      <c r="AI362" s="288" t="str">
        <f t="shared" si="187"/>
        <v/>
      </c>
      <c r="AJ362" s="13" t="str">
        <f t="shared" si="187"/>
        <v/>
      </c>
      <c r="AK362" s="288" t="str">
        <f t="shared" si="187"/>
        <v/>
      </c>
      <c r="AL362" s="13" t="str">
        <f t="shared" si="187"/>
        <v/>
      </c>
      <c r="AM362" s="705"/>
      <c r="AN362" s="705"/>
      <c r="AO362" s="289"/>
      <c r="AP362" s="273" t="str">
        <f t="shared" si="188"/>
        <v/>
      </c>
      <c r="AQ362" s="13" t="str">
        <f t="shared" si="188"/>
        <v/>
      </c>
      <c r="AR362" s="273" t="str">
        <f t="shared" si="188"/>
        <v/>
      </c>
      <c r="AS362" s="13" t="str">
        <f t="shared" si="188"/>
        <v/>
      </c>
      <c r="AT362" s="705"/>
      <c r="AU362" s="705"/>
      <c r="AV362" s="13"/>
      <c r="AW362" s="746" t="str">
        <f t="shared" si="189"/>
        <v/>
      </c>
      <c r="AX362" s="746"/>
      <c r="AY362" s="75" t="str">
        <f t="shared" si="190"/>
        <v/>
      </c>
      <c r="AZ362" s="13" t="str">
        <f t="shared" si="190"/>
        <v/>
      </c>
      <c r="BA362" s="75" t="str">
        <f t="shared" si="190"/>
        <v/>
      </c>
      <c r="BB362" s="13" t="str">
        <f t="shared" si="190"/>
        <v/>
      </c>
      <c r="BC362" s="705"/>
      <c r="BD362" s="705"/>
      <c r="BE362" s="746" t="str">
        <f t="shared" si="190"/>
        <v/>
      </c>
      <c r="BF362" s="746"/>
      <c r="BG362" s="13" t="s">
        <v>142</v>
      </c>
      <c r="BH362" s="884" t="str">
        <f t="shared" si="191"/>
        <v/>
      </c>
      <c r="BI362" s="884"/>
      <c r="BJ362" s="590"/>
      <c r="BO362" s="94"/>
      <c r="BP362" s="94"/>
      <c r="BQ362" s="94"/>
      <c r="BR362" s="94"/>
      <c r="BS362" s="94"/>
      <c r="BT362" s="94"/>
      <c r="BU362" s="94"/>
      <c r="BV362" s="94"/>
      <c r="BW362" s="94"/>
      <c r="BX362" s="94"/>
      <c r="BY362" s="94"/>
      <c r="BZ362" s="94"/>
      <c r="CA362" s="94"/>
      <c r="CB362" s="94"/>
      <c r="CC362" s="94"/>
      <c r="CD362" s="94"/>
      <c r="CE362" s="94"/>
      <c r="CF362" s="94"/>
      <c r="CG362" s="94"/>
      <c r="CH362" s="94"/>
      <c r="CI362" s="94"/>
      <c r="CJ362" s="94"/>
      <c r="CK362" s="94"/>
      <c r="CL362" s="94"/>
      <c r="CM362" s="94"/>
      <c r="CN362" s="94"/>
      <c r="CO362" s="94"/>
      <c r="CP362" s="94"/>
      <c r="CQ362" s="94"/>
      <c r="CR362" s="94"/>
      <c r="CS362" s="94"/>
      <c r="CT362" s="94"/>
      <c r="CU362" s="94"/>
      <c r="CV362" s="94"/>
      <c r="CW362" s="94"/>
      <c r="CX362" s="94"/>
      <c r="CY362" s="94"/>
      <c r="CZ362" s="94"/>
    </row>
    <row r="363" spans="1:178" ht="12.75" hidden="1">
      <c r="A363" s="74"/>
      <c r="B363" s="274"/>
      <c r="C363" s="9"/>
      <c r="D363" s="274"/>
      <c r="E363" s="274"/>
      <c r="F363" s="415"/>
      <c r="G363" s="415"/>
      <c r="H363" s="415"/>
      <c r="I363" s="415"/>
      <c r="J363" s="415"/>
      <c r="K363" s="415"/>
      <c r="L363" s="415"/>
      <c r="M363" s="415"/>
      <c r="N363" s="415"/>
      <c r="O363" s="415"/>
      <c r="P363" s="415"/>
      <c r="Q363" s="284"/>
      <c r="R363" s="274"/>
      <c r="S363" s="274"/>
      <c r="T363" s="274"/>
      <c r="U363" s="274"/>
      <c r="V363" s="289"/>
      <c r="W363" s="274"/>
      <c r="X363" s="274"/>
      <c r="Y363" s="274"/>
      <c r="Z363" s="274"/>
      <c r="AA363" s="274"/>
      <c r="AB363" s="274"/>
      <c r="AC363" s="289"/>
      <c r="AD363" s="416"/>
      <c r="AE363" s="416"/>
      <c r="AF363" s="416"/>
      <c r="AG363" s="416"/>
      <c r="AH363" s="9"/>
      <c r="AI363" s="274"/>
      <c r="AJ363" s="13"/>
      <c r="AK363" s="274"/>
      <c r="AL363" s="13"/>
      <c r="AM363" s="705"/>
      <c r="AN363" s="705"/>
      <c r="AO363" s="289"/>
      <c r="AP363" s="417"/>
      <c r="AQ363" s="13"/>
      <c r="AR363" s="417"/>
      <c r="AS363" s="13"/>
      <c r="AT363" s="705"/>
      <c r="AU363" s="705"/>
      <c r="AV363" s="13"/>
      <c r="AW363" s="10"/>
      <c r="AX363" s="10"/>
      <c r="AY363" s="417"/>
      <c r="AZ363" s="13"/>
      <c r="BA363" s="417"/>
      <c r="BB363" s="13"/>
      <c r="BC363" s="705"/>
      <c r="BD363" s="705"/>
      <c r="BE363" s="10"/>
      <c r="BF363" s="10"/>
      <c r="BG363" s="13"/>
      <c r="BH363" s="418"/>
      <c r="BI363" s="418"/>
      <c r="BJ363" s="590"/>
      <c r="BO363" s="94"/>
      <c r="BP363" s="94"/>
      <c r="BQ363" s="94"/>
      <c r="BR363" s="94"/>
      <c r="BS363" s="94"/>
      <c r="BT363" s="94"/>
      <c r="BU363" s="94"/>
      <c r="BV363" s="94"/>
      <c r="BW363" s="94"/>
      <c r="BX363" s="94"/>
      <c r="BY363" s="94"/>
      <c r="BZ363" s="94"/>
      <c r="CA363" s="94"/>
      <c r="CB363" s="94"/>
      <c r="CC363" s="94"/>
      <c r="CD363" s="94"/>
      <c r="CE363" s="94"/>
      <c r="CF363" s="94"/>
      <c r="CG363" s="94"/>
      <c r="CH363" s="94"/>
      <c r="CI363" s="94"/>
      <c r="CJ363" s="94"/>
      <c r="CK363" s="94"/>
      <c r="CL363" s="94"/>
      <c r="CM363" s="94"/>
      <c r="CN363" s="94"/>
      <c r="CO363" s="94"/>
      <c r="CP363" s="94"/>
      <c r="CQ363" s="94"/>
      <c r="CR363" s="94"/>
      <c r="CS363" s="94"/>
      <c r="CT363" s="94"/>
      <c r="CU363" s="94"/>
      <c r="CV363" s="94"/>
      <c r="CW363" s="94"/>
      <c r="CX363" s="94"/>
      <c r="CY363" s="94"/>
      <c r="CZ363" s="94"/>
    </row>
    <row r="364" spans="1:178" s="22" customFormat="1" ht="12.75" hidden="1" customHeight="1">
      <c r="A364" s="588"/>
      <c r="B364" s="573"/>
      <c r="C364" s="573"/>
      <c r="D364" s="573"/>
      <c r="E364" s="573"/>
      <c r="F364" s="573"/>
      <c r="G364" s="573"/>
      <c r="H364" s="573"/>
      <c r="I364" s="573"/>
      <c r="J364" s="573"/>
      <c r="K364" s="573"/>
      <c r="L364" s="573"/>
      <c r="M364" s="573"/>
      <c r="N364" s="573"/>
      <c r="O364" s="573"/>
      <c r="P364" s="573"/>
      <c r="Q364" s="573"/>
      <c r="R364" s="573"/>
      <c r="S364" s="573"/>
      <c r="T364" s="573"/>
      <c r="U364" s="573"/>
      <c r="V364" s="573"/>
      <c r="W364" s="573"/>
      <c r="X364" s="573"/>
      <c r="Y364" s="573"/>
      <c r="Z364" s="573"/>
      <c r="AA364" s="573"/>
      <c r="AB364" s="573"/>
      <c r="AC364" s="573"/>
      <c r="AD364" s="573"/>
      <c r="AE364" s="573"/>
      <c r="AF364" s="573"/>
      <c r="AG364" s="573"/>
      <c r="AH364" s="573"/>
      <c r="AI364" s="573"/>
      <c r="AJ364" s="573"/>
      <c r="AK364" s="573"/>
      <c r="AL364" s="573"/>
      <c r="AM364" s="707"/>
      <c r="AN364" s="707"/>
      <c r="AO364" s="573"/>
      <c r="AP364" s="887" t="s">
        <v>2655</v>
      </c>
      <c r="AQ364" s="887"/>
      <c r="AR364" s="887"/>
      <c r="AS364" s="887"/>
      <c r="AT364" s="887"/>
      <c r="AU364" s="887"/>
      <c r="AV364" s="887"/>
      <c r="AW364" s="887"/>
      <c r="AX364" s="887"/>
      <c r="AY364" s="887"/>
      <c r="AZ364" s="887"/>
      <c r="BA364" s="887"/>
      <c r="BB364" s="887"/>
      <c r="BC364" s="887"/>
      <c r="BD364" s="887"/>
      <c r="BE364" s="887"/>
      <c r="BF364" s="887"/>
      <c r="BG364" s="589"/>
      <c r="BH364" s="888" t="str">
        <f>IF(BG94="","",BG94)</f>
        <v>Incentive
(tons x $40 or $100)</v>
      </c>
      <c r="BI364" s="888"/>
      <c r="BJ364" s="267"/>
      <c r="BK364" s="1"/>
      <c r="BL364" s="1"/>
      <c r="BM364" s="1"/>
      <c r="BN364" s="1"/>
      <c r="BO364" s="94"/>
      <c r="BP364" s="94"/>
      <c r="BQ364" s="94"/>
      <c r="BR364" s="94"/>
      <c r="BS364" s="94"/>
      <c r="BT364" s="94"/>
      <c r="BU364" s="94"/>
      <c r="BV364" s="94"/>
      <c r="BW364" s="94"/>
      <c r="BX364" s="94"/>
      <c r="BY364" s="102"/>
      <c r="BZ364" s="102"/>
      <c r="CA364" s="102"/>
      <c r="CB364" s="102"/>
      <c r="CC364" s="102"/>
      <c r="CD364" s="102"/>
      <c r="CE364" s="102"/>
      <c r="CF364" s="102"/>
      <c r="CG364" s="102"/>
      <c r="CH364" s="102"/>
      <c r="CI364" s="102"/>
      <c r="CJ364" s="102"/>
      <c r="CK364" s="102"/>
      <c r="CL364" s="102"/>
      <c r="CM364" s="102"/>
      <c r="CN364" s="102"/>
      <c r="CO364" s="102"/>
      <c r="CP364" s="102"/>
      <c r="CQ364" s="102"/>
      <c r="CR364" s="102"/>
      <c r="CS364" s="102"/>
      <c r="CT364" s="102"/>
      <c r="CU364" s="102"/>
      <c r="CV364" s="102"/>
      <c r="CW364" s="102"/>
      <c r="CX364" s="102"/>
      <c r="CY364" s="102"/>
      <c r="CZ364" s="102"/>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row>
    <row r="365" spans="1:178" s="22" customFormat="1" ht="12.75" hidden="1" customHeight="1">
      <c r="A365" s="520" t="str">
        <f>A95</f>
        <v>Water-Cooled Air Conditioners*/Heat Pumps*</v>
      </c>
      <c r="B365" s="284"/>
      <c r="C365" s="70"/>
      <c r="D365" s="284"/>
      <c r="E365" s="284"/>
      <c r="F365" s="285"/>
      <c r="G365" s="285"/>
      <c r="H365" s="285"/>
      <c r="I365" s="285"/>
      <c r="J365" s="285"/>
      <c r="K365" s="285"/>
      <c r="L365" s="285"/>
      <c r="M365" s="285"/>
      <c r="N365" s="285"/>
      <c r="O365" s="285"/>
      <c r="P365" s="285"/>
      <c r="Q365" s="284"/>
      <c r="R365" s="781" t="s">
        <v>2714</v>
      </c>
      <c r="S365" s="781"/>
      <c r="T365" s="781"/>
      <c r="U365" s="781"/>
      <c r="V365" s="289"/>
      <c r="W365" s="781" t="s">
        <v>2680</v>
      </c>
      <c r="X365" s="781"/>
      <c r="Y365" s="781"/>
      <c r="Z365" s="781"/>
      <c r="AA365" s="781"/>
      <c r="AB365" s="781"/>
      <c r="AC365" s="289"/>
      <c r="AD365" s="289"/>
      <c r="AE365" s="289"/>
      <c r="AF365" s="289"/>
      <c r="AG365" s="289"/>
      <c r="AH365" s="71"/>
      <c r="AI365" s="71" t="s">
        <v>2715</v>
      </c>
      <c r="AJ365" s="289"/>
      <c r="AK365" s="72" t="s">
        <v>2750</v>
      </c>
      <c r="AL365" s="289"/>
      <c r="AM365" s="289"/>
      <c r="AN365" s="289"/>
      <c r="AO365" s="289"/>
      <c r="AP365" s="880" t="str">
        <f>IF(AP95="","",AP95)</f>
        <v>Tier 1</v>
      </c>
      <c r="AQ365" s="880" t="str">
        <f t="shared" ref="AQ365:AX365" si="193">IF(AQ95="","",AQ95)</f>
        <v/>
      </c>
      <c r="AR365" s="880" t="str">
        <f t="shared" si="193"/>
        <v/>
      </c>
      <c r="AS365" s="880" t="str">
        <f t="shared" si="193"/>
        <v/>
      </c>
      <c r="AT365" s="880"/>
      <c r="AU365" s="880"/>
      <c r="AV365" s="880" t="str">
        <f t="shared" si="193"/>
        <v/>
      </c>
      <c r="AW365" s="880" t="str">
        <f t="shared" si="193"/>
        <v/>
      </c>
      <c r="AX365" s="880" t="str">
        <f t="shared" si="193"/>
        <v/>
      </c>
      <c r="AY365" s="880"/>
      <c r="AZ365" s="880"/>
      <c r="BA365" s="880"/>
      <c r="BB365" s="880"/>
      <c r="BC365" s="880"/>
      <c r="BD365" s="880"/>
      <c r="BE365" s="880"/>
      <c r="BF365" s="880"/>
      <c r="BG365"/>
      <c r="BH365" s="736"/>
      <c r="BI365" s="736"/>
      <c r="BJ365" s="73"/>
      <c r="BK365" s="1"/>
      <c r="BL365" s="1"/>
      <c r="BM365" s="1"/>
      <c r="BN365" s="1"/>
      <c r="BO365" s="94"/>
      <c r="BP365" s="94"/>
      <c r="BQ365" s="94"/>
      <c r="BR365" s="94"/>
      <c r="BS365" s="94"/>
      <c r="BT365" s="94"/>
      <c r="BU365" s="94"/>
      <c r="BV365" s="94"/>
      <c r="BW365" s="94"/>
      <c r="BX365" s="94"/>
      <c r="BY365" s="102"/>
      <c r="BZ365" s="102"/>
      <c r="CA365" s="102"/>
      <c r="CB365" s="102"/>
      <c r="CC365" s="102"/>
      <c r="CD365" s="102"/>
      <c r="CE365" s="102"/>
      <c r="CF365" s="102"/>
      <c r="CG365" s="102"/>
      <c r="CH365" s="102"/>
      <c r="CI365" s="102"/>
      <c r="CJ365" s="102"/>
      <c r="CK365" s="102"/>
      <c r="CL365" s="102"/>
      <c r="CM365" s="102"/>
      <c r="CN365" s="102"/>
      <c r="CO365" s="102"/>
      <c r="CP365" s="102"/>
      <c r="CQ365" s="102"/>
      <c r="CR365" s="102"/>
      <c r="CS365" s="102"/>
      <c r="CT365" s="102"/>
      <c r="CU365" s="102"/>
      <c r="CV365" s="102"/>
      <c r="CW365" s="102"/>
      <c r="CX365" s="102"/>
      <c r="CY365" s="102"/>
      <c r="CZ365" s="102"/>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row>
    <row r="366" spans="1:178" s="22" customFormat="1" ht="26.1" hidden="1" customHeight="1">
      <c r="A366" s="69"/>
      <c r="B366" s="13" t="s">
        <v>2661</v>
      </c>
      <c r="C366" s="412"/>
      <c r="D366" s="246" t="s">
        <v>2662</v>
      </c>
      <c r="E366" s="246"/>
      <c r="F366" s="246" t="s">
        <v>2717</v>
      </c>
      <c r="G366" s="246"/>
      <c r="H366" s="246"/>
      <c r="I366" s="246"/>
      <c r="J366" s="246"/>
      <c r="K366" s="285"/>
      <c r="L366" s="285"/>
      <c r="M366" s="285"/>
      <c r="N366" s="285"/>
      <c r="O366" s="285"/>
      <c r="P366" s="285"/>
      <c r="Q366" s="284"/>
      <c r="R366" s="781"/>
      <c r="S366" s="781"/>
      <c r="T366" s="781"/>
      <c r="U366" s="781"/>
      <c r="V366" s="289"/>
      <c r="W366" s="781"/>
      <c r="X366" s="781"/>
      <c r="Y366" s="781"/>
      <c r="Z366" s="781"/>
      <c r="AA366" s="781"/>
      <c r="AB366" s="781"/>
      <c r="AC366" s="289"/>
      <c r="AD366" s="246" t="s">
        <v>2664</v>
      </c>
      <c r="AE366" s="281"/>
      <c r="AF366" s="246"/>
      <c r="AG366" s="246"/>
      <c r="AH366" s="413"/>
      <c r="AI366" s="246" t="s">
        <v>2665</v>
      </c>
      <c r="AJ366" s="281"/>
      <c r="AK366" s="246" t="s">
        <v>2665</v>
      </c>
      <c r="AL366" s="281"/>
      <c r="AM366" s="703"/>
      <c r="AN366" s="703"/>
      <c r="AO366" s="281"/>
      <c r="AP366" s="879" t="str">
        <f>IF(AP96="","",AP96)</f>
        <v>Water Cooled AC ($40/ton)*
Water Cooled HP ($100/ton)*</v>
      </c>
      <c r="AQ366" s="863"/>
      <c r="AR366" s="863"/>
      <c r="AS366" s="863"/>
      <c r="AT366" s="863"/>
      <c r="AU366" s="863"/>
      <c r="AV366" s="863"/>
      <c r="AW366" s="863"/>
      <c r="AX366" s="246"/>
      <c r="AY366" s="879"/>
      <c r="AZ366" s="879"/>
      <c r="BA366" s="879"/>
      <c r="BB366" s="879"/>
      <c r="BC366" s="879"/>
      <c r="BD366" s="879"/>
      <c r="BE366" s="879"/>
      <c r="BF366" s="246"/>
      <c r="BG366"/>
      <c r="BH366" s="736"/>
      <c r="BI366" s="736"/>
      <c r="BJ366" s="73"/>
      <c r="BK366" s="1"/>
      <c r="BL366" s="1"/>
      <c r="BM366" s="1"/>
      <c r="BN366" s="1"/>
      <c r="BO366" s="94"/>
      <c r="BP366" s="94"/>
      <c r="BQ366" s="94"/>
      <c r="BR366" s="94"/>
      <c r="BS366" s="94"/>
      <c r="BT366" s="94"/>
      <c r="BU366" s="94"/>
      <c r="BV366" s="94"/>
      <c r="BW366" s="94"/>
      <c r="BX366" s="94"/>
      <c r="BY366" s="102"/>
      <c r="BZ366" s="102"/>
      <c r="CA366" s="102"/>
      <c r="CB366" s="102"/>
      <c r="CC366" s="102"/>
      <c r="CD366" s="102"/>
      <c r="CE366" s="102"/>
      <c r="CF366" s="102"/>
      <c r="CG366" s="102"/>
      <c r="CH366" s="102"/>
      <c r="CI366" s="102"/>
      <c r="CJ366" s="102"/>
      <c r="CK366" s="102"/>
      <c r="CL366" s="102"/>
      <c r="CM366" s="102"/>
      <c r="CN366" s="102"/>
      <c r="CO366" s="102"/>
      <c r="CP366" s="102"/>
      <c r="CQ366" s="102"/>
      <c r="CR366" s="102"/>
      <c r="CS366" s="102"/>
      <c r="CT366" s="102"/>
      <c r="CU366" s="102"/>
      <c r="CV366" s="102"/>
      <c r="CW366" s="102"/>
      <c r="CX366" s="102"/>
      <c r="CY366" s="102"/>
      <c r="CZ366" s="102"/>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row>
    <row r="367" spans="1:178" ht="12.75" hidden="1" customHeight="1">
      <c r="A367" s="74"/>
      <c r="B367" s="287" t="str">
        <f>IF(B97="","",B97)</f>
        <v/>
      </c>
      <c r="C367" s="9"/>
      <c r="D367" s="287" t="str">
        <f>IF(D97="","",D97)</f>
        <v/>
      </c>
      <c r="E367" s="274"/>
      <c r="F367" s="883" t="str">
        <f>IF(F97="","",F97)</f>
        <v/>
      </c>
      <c r="G367" s="883"/>
      <c r="H367" s="883"/>
      <c r="I367" s="883"/>
      <c r="J367" s="883"/>
      <c r="K367" s="883"/>
      <c r="L367" s="883"/>
      <c r="M367" s="883"/>
      <c r="N367" s="883"/>
      <c r="O367" s="883"/>
      <c r="P367" s="883"/>
      <c r="Q367" s="284"/>
      <c r="R367" s="915" t="str">
        <f>IF(R97="","",R97)</f>
        <v/>
      </c>
      <c r="S367" s="915"/>
      <c r="T367" s="915"/>
      <c r="U367" s="915"/>
      <c r="V367" s="289"/>
      <c r="W367" s="915" t="str">
        <f>IF(W97="","",W97)</f>
        <v/>
      </c>
      <c r="X367" s="915"/>
      <c r="Y367" s="915"/>
      <c r="Z367" s="915"/>
      <c r="AA367" s="915"/>
      <c r="AB367" s="915"/>
      <c r="AC367" s="289"/>
      <c r="AD367" s="886" t="str">
        <f>IF(AD97="","",AD97)</f>
        <v/>
      </c>
      <c r="AE367" s="886"/>
      <c r="AF367" s="886"/>
      <c r="AG367" s="886"/>
      <c r="AH367" s="9"/>
      <c r="AI367" s="287" t="str">
        <f>IF(AI97="","",AI97)</f>
        <v/>
      </c>
      <c r="AJ367" s="13" t="str">
        <f>IF(AJ97="","",AJ97)</f>
        <v/>
      </c>
      <c r="AK367" s="287" t="str">
        <f>IF(AK97="","",AK97)</f>
        <v/>
      </c>
      <c r="AL367" s="13" t="str">
        <f>IF(AL97="","",AL97)</f>
        <v/>
      </c>
      <c r="AM367" s="705"/>
      <c r="AN367" s="705"/>
      <c r="AO367" s="289"/>
      <c r="AP367" s="75" t="str">
        <f>IF(AP97="","",AP97)</f>
        <v/>
      </c>
      <c r="AQ367" s="417" t="str">
        <f t="shared" ref="AQ367:AS367" si="194">IF(AQ97="","",AQ97)</f>
        <v/>
      </c>
      <c r="AR367" s="75" t="str">
        <f t="shared" si="194"/>
        <v/>
      </c>
      <c r="AS367" s="417" t="str">
        <f t="shared" si="194"/>
        <v/>
      </c>
      <c r="AT367" s="417"/>
      <c r="AU367" s="417"/>
      <c r="AV367" s="13"/>
      <c r="AW367" s="746" t="str">
        <f>IF(AW97="","",AW97)</f>
        <v/>
      </c>
      <c r="AX367" s="746"/>
      <c r="AY367" s="464" t="str">
        <f>IF(AY97="","",AY97)</f>
        <v/>
      </c>
      <c r="AZ367" s="464" t="str">
        <f t="shared" ref="AZ367:BB367" si="195">IF(AZ97="","",AZ97)</f>
        <v/>
      </c>
      <c r="BA367" s="464" t="str">
        <f t="shared" si="195"/>
        <v/>
      </c>
      <c r="BB367" s="464" t="str">
        <f t="shared" si="195"/>
        <v/>
      </c>
      <c r="BC367" s="464"/>
      <c r="BD367" s="464"/>
      <c r="BE367" s="917" t="str">
        <f>IF(BE97="","",BE97)</f>
        <v/>
      </c>
      <c r="BF367" s="917"/>
      <c r="BG367" s="13" t="s">
        <v>142</v>
      </c>
      <c r="BH367" s="884" t="str">
        <f>IF(BH97="","",BH97)</f>
        <v/>
      </c>
      <c r="BI367" s="884"/>
      <c r="BJ367" s="590"/>
      <c r="BO367" s="94"/>
      <c r="BP367" s="94"/>
      <c r="BQ367" s="94"/>
      <c r="BR367" s="94"/>
      <c r="BS367" s="94"/>
      <c r="BT367" s="94"/>
      <c r="BU367" s="94"/>
      <c r="BV367" s="94"/>
      <c r="BW367" s="94"/>
      <c r="BX367" s="94"/>
      <c r="BY367" s="94"/>
      <c r="BZ367" s="94"/>
      <c r="CA367" s="94"/>
      <c r="CB367" s="94"/>
      <c r="CC367" s="94"/>
      <c r="CD367" s="94"/>
      <c r="CE367" s="94"/>
      <c r="CF367" s="94"/>
      <c r="CG367" s="94"/>
      <c r="CH367" s="94"/>
      <c r="CI367" s="94"/>
      <c r="CJ367" s="94"/>
      <c r="CK367" s="94"/>
      <c r="CL367" s="94"/>
      <c r="CM367" s="94"/>
      <c r="CN367" s="94"/>
      <c r="CO367" s="94"/>
      <c r="CP367" s="94"/>
      <c r="CQ367" s="94"/>
      <c r="CR367" s="94"/>
      <c r="CS367" s="94"/>
      <c r="CT367" s="94"/>
      <c r="CU367" s="94"/>
      <c r="CV367" s="94"/>
      <c r="CW367" s="94"/>
      <c r="CX367" s="94"/>
      <c r="CY367" s="94"/>
      <c r="CZ367" s="94"/>
    </row>
    <row r="368" spans="1:178" ht="12.75" hidden="1" customHeight="1">
      <c r="A368" s="74"/>
      <c r="B368" s="287" t="str">
        <f t="shared" ref="B368:B376" si="196">IF(B98="","",B98)</f>
        <v/>
      </c>
      <c r="C368" s="9"/>
      <c r="D368" s="287" t="str">
        <f t="shared" ref="D368:D376" si="197">IF(D98="","",D98)</f>
        <v/>
      </c>
      <c r="E368" s="274"/>
      <c r="F368" s="883" t="str">
        <f t="shared" ref="F368:F376" si="198">IF(F98="","",F98)</f>
        <v/>
      </c>
      <c r="G368" s="883"/>
      <c r="H368" s="883"/>
      <c r="I368" s="883"/>
      <c r="J368" s="883"/>
      <c r="K368" s="883"/>
      <c r="L368" s="883"/>
      <c r="M368" s="883"/>
      <c r="N368" s="883"/>
      <c r="O368" s="883"/>
      <c r="P368" s="883"/>
      <c r="Q368" s="284"/>
      <c r="R368" s="915" t="str">
        <f t="shared" ref="R368:R376" si="199">IF(R98="","",R98)</f>
        <v/>
      </c>
      <c r="S368" s="915"/>
      <c r="T368" s="915"/>
      <c r="U368" s="915"/>
      <c r="V368" s="289"/>
      <c r="W368" s="915" t="str">
        <f t="shared" ref="W368:W376" si="200">IF(W98="","",W98)</f>
        <v/>
      </c>
      <c r="X368" s="915"/>
      <c r="Y368" s="915"/>
      <c r="Z368" s="915"/>
      <c r="AA368" s="915"/>
      <c r="AB368" s="915"/>
      <c r="AC368" s="289"/>
      <c r="AD368" s="886" t="str">
        <f t="shared" ref="AD368:AD376" si="201">IF(AD98="","",AD98)</f>
        <v/>
      </c>
      <c r="AE368" s="886"/>
      <c r="AF368" s="886"/>
      <c r="AG368" s="886"/>
      <c r="AH368" s="9"/>
      <c r="AI368" s="287" t="str">
        <f t="shared" ref="AI368:AL376" si="202">IF(AI98="","",AI98)</f>
        <v/>
      </c>
      <c r="AJ368" s="13" t="str">
        <f t="shared" si="202"/>
        <v/>
      </c>
      <c r="AK368" s="287" t="str">
        <f t="shared" si="202"/>
        <v/>
      </c>
      <c r="AL368" s="13" t="str">
        <f t="shared" si="202"/>
        <v/>
      </c>
      <c r="AM368" s="705"/>
      <c r="AN368" s="705"/>
      <c r="AO368" s="289"/>
      <c r="AP368" s="75" t="str">
        <f t="shared" ref="AP368:AS376" si="203">IF(AP98="","",AP98)</f>
        <v/>
      </c>
      <c r="AQ368" s="417" t="str">
        <f t="shared" si="203"/>
        <v/>
      </c>
      <c r="AR368" s="75" t="str">
        <f t="shared" si="203"/>
        <v/>
      </c>
      <c r="AS368" s="417" t="str">
        <f t="shared" si="203"/>
        <v/>
      </c>
      <c r="AT368" s="417"/>
      <c r="AU368" s="417"/>
      <c r="AV368" s="13"/>
      <c r="AW368" s="746" t="str">
        <f t="shared" ref="AW368:AW376" si="204">IF(AW98="","",AW98)</f>
        <v/>
      </c>
      <c r="AX368" s="746"/>
      <c r="AY368" s="464" t="str">
        <f t="shared" ref="AY368:BE376" si="205">IF(AY98="","",AY98)</f>
        <v/>
      </c>
      <c r="AZ368" s="464" t="str">
        <f t="shared" si="205"/>
        <v/>
      </c>
      <c r="BA368" s="464" t="str">
        <f t="shared" si="205"/>
        <v/>
      </c>
      <c r="BB368" s="464" t="str">
        <f t="shared" si="205"/>
        <v/>
      </c>
      <c r="BC368" s="464"/>
      <c r="BD368" s="464"/>
      <c r="BE368" s="917" t="str">
        <f t="shared" si="205"/>
        <v/>
      </c>
      <c r="BF368" s="917"/>
      <c r="BG368" s="13" t="s">
        <v>142</v>
      </c>
      <c r="BH368" s="884" t="str">
        <f t="shared" ref="BH368:BH376" si="206">IF(BH98="","",BH98)</f>
        <v/>
      </c>
      <c r="BI368" s="884"/>
      <c r="BJ368" s="590"/>
      <c r="BO368" s="94"/>
      <c r="BP368" s="94"/>
      <c r="BQ368" s="94"/>
      <c r="BR368" s="94"/>
      <c r="BS368" s="94"/>
      <c r="BT368" s="94"/>
      <c r="BU368" s="94"/>
      <c r="BV368" s="94"/>
      <c r="BW368" s="94"/>
      <c r="BX368" s="94"/>
      <c r="BY368" s="94"/>
      <c r="BZ368" s="94"/>
      <c r="CA368" s="94"/>
      <c r="CB368" s="94"/>
      <c r="CC368" s="94"/>
      <c r="CD368" s="94"/>
      <c r="CE368" s="94"/>
      <c r="CF368" s="94"/>
      <c r="CG368" s="94"/>
      <c r="CH368" s="94"/>
      <c r="CI368" s="94"/>
      <c r="CJ368" s="94"/>
      <c r="CK368" s="94"/>
      <c r="CL368" s="94"/>
      <c r="CM368" s="94"/>
      <c r="CN368" s="94"/>
      <c r="CO368" s="94"/>
      <c r="CP368" s="94"/>
      <c r="CQ368" s="94"/>
      <c r="CR368" s="94"/>
      <c r="CS368" s="94"/>
      <c r="CT368" s="94"/>
      <c r="CU368" s="94"/>
      <c r="CV368" s="94"/>
      <c r="CW368" s="94"/>
      <c r="CX368" s="94"/>
      <c r="CY368" s="94"/>
      <c r="CZ368" s="94"/>
    </row>
    <row r="369" spans="1:178" ht="12.75" hidden="1">
      <c r="A369" s="74"/>
      <c r="B369" s="287" t="str">
        <f t="shared" si="196"/>
        <v/>
      </c>
      <c r="C369" s="9"/>
      <c r="D369" s="287" t="str">
        <f t="shared" si="197"/>
        <v/>
      </c>
      <c r="E369" s="274"/>
      <c r="F369" s="883" t="str">
        <f t="shared" si="198"/>
        <v/>
      </c>
      <c r="G369" s="883"/>
      <c r="H369" s="883"/>
      <c r="I369" s="883"/>
      <c r="J369" s="883"/>
      <c r="K369" s="883"/>
      <c r="L369" s="883"/>
      <c r="M369" s="883"/>
      <c r="N369" s="883"/>
      <c r="O369" s="883"/>
      <c r="P369" s="883"/>
      <c r="Q369" s="284"/>
      <c r="R369" s="915" t="str">
        <f t="shared" si="199"/>
        <v/>
      </c>
      <c r="S369" s="915"/>
      <c r="T369" s="915"/>
      <c r="U369" s="915"/>
      <c r="V369" s="289"/>
      <c r="W369" s="915" t="str">
        <f t="shared" si="200"/>
        <v/>
      </c>
      <c r="X369" s="915"/>
      <c r="Y369" s="915"/>
      <c r="Z369" s="915"/>
      <c r="AA369" s="915"/>
      <c r="AB369" s="915"/>
      <c r="AC369" s="289"/>
      <c r="AD369" s="886" t="str">
        <f t="shared" si="201"/>
        <v/>
      </c>
      <c r="AE369" s="886"/>
      <c r="AF369" s="886"/>
      <c r="AG369" s="886"/>
      <c r="AH369" s="9"/>
      <c r="AI369" s="287" t="str">
        <f t="shared" si="202"/>
        <v/>
      </c>
      <c r="AJ369" s="13" t="str">
        <f t="shared" si="202"/>
        <v/>
      </c>
      <c r="AK369" s="287" t="str">
        <f t="shared" si="202"/>
        <v/>
      </c>
      <c r="AL369" s="13" t="str">
        <f t="shared" si="202"/>
        <v/>
      </c>
      <c r="AM369" s="705"/>
      <c r="AN369" s="705"/>
      <c r="AO369" s="289"/>
      <c r="AP369" s="75" t="str">
        <f t="shared" si="203"/>
        <v/>
      </c>
      <c r="AQ369" s="417" t="str">
        <f t="shared" si="203"/>
        <v/>
      </c>
      <c r="AR369" s="75" t="str">
        <f t="shared" si="203"/>
        <v/>
      </c>
      <c r="AS369" s="417" t="str">
        <f t="shared" si="203"/>
        <v/>
      </c>
      <c r="AT369" s="417"/>
      <c r="AU369" s="417"/>
      <c r="AV369" s="13"/>
      <c r="AW369" s="746" t="str">
        <f t="shared" si="204"/>
        <v/>
      </c>
      <c r="AX369" s="746"/>
      <c r="AY369" s="464" t="str">
        <f t="shared" si="205"/>
        <v/>
      </c>
      <c r="AZ369" s="464" t="str">
        <f t="shared" si="205"/>
        <v/>
      </c>
      <c r="BA369" s="464" t="str">
        <f t="shared" si="205"/>
        <v/>
      </c>
      <c r="BB369" s="464" t="str">
        <f t="shared" si="205"/>
        <v/>
      </c>
      <c r="BC369" s="464"/>
      <c r="BD369" s="464"/>
      <c r="BE369" s="917" t="str">
        <f t="shared" si="205"/>
        <v/>
      </c>
      <c r="BF369" s="917"/>
      <c r="BG369" s="13" t="s">
        <v>142</v>
      </c>
      <c r="BH369" s="884" t="str">
        <f t="shared" si="206"/>
        <v/>
      </c>
      <c r="BI369" s="884"/>
      <c r="BJ369" s="590"/>
      <c r="BO369" s="94"/>
      <c r="BP369" s="94"/>
      <c r="BQ369" s="94"/>
      <c r="BR369" s="94"/>
      <c r="BS369" s="94"/>
      <c r="BT369" s="94"/>
      <c r="BU369" s="94"/>
      <c r="BV369" s="94"/>
      <c r="BW369" s="94"/>
      <c r="BX369" s="94"/>
      <c r="BY369" s="94"/>
      <c r="BZ369" s="94"/>
      <c r="CA369" s="94"/>
      <c r="CB369" s="94"/>
      <c r="CC369" s="94"/>
      <c r="CD369" s="94"/>
      <c r="CE369" s="94"/>
      <c r="CF369" s="94"/>
      <c r="CG369" s="94"/>
      <c r="CH369" s="94"/>
      <c r="CI369" s="94"/>
      <c r="CJ369" s="94"/>
      <c r="CK369" s="94"/>
      <c r="CL369" s="94"/>
      <c r="CM369" s="94"/>
      <c r="CN369" s="94"/>
      <c r="CO369" s="94"/>
      <c r="CP369" s="94"/>
      <c r="CQ369" s="94"/>
      <c r="CR369" s="94"/>
      <c r="CS369" s="94"/>
      <c r="CT369" s="94"/>
      <c r="CU369" s="94"/>
      <c r="CV369" s="94"/>
      <c r="CW369" s="94"/>
      <c r="CX369" s="94"/>
      <c r="CY369" s="94"/>
      <c r="CZ369" s="94"/>
    </row>
    <row r="370" spans="1:178" ht="12.75" hidden="1">
      <c r="A370" s="74"/>
      <c r="B370" s="287" t="str">
        <f t="shared" si="196"/>
        <v/>
      </c>
      <c r="C370" s="9"/>
      <c r="D370" s="287" t="str">
        <f t="shared" si="197"/>
        <v/>
      </c>
      <c r="E370" s="274"/>
      <c r="F370" s="883" t="str">
        <f t="shared" si="198"/>
        <v/>
      </c>
      <c r="G370" s="883"/>
      <c r="H370" s="883"/>
      <c r="I370" s="883"/>
      <c r="J370" s="883"/>
      <c r="K370" s="883"/>
      <c r="L370" s="883"/>
      <c r="M370" s="883"/>
      <c r="N370" s="883"/>
      <c r="O370" s="883"/>
      <c r="P370" s="883"/>
      <c r="Q370" s="284"/>
      <c r="R370" s="915" t="str">
        <f t="shared" si="199"/>
        <v/>
      </c>
      <c r="S370" s="915"/>
      <c r="T370" s="915"/>
      <c r="U370" s="915"/>
      <c r="V370" s="289"/>
      <c r="W370" s="915" t="str">
        <f t="shared" si="200"/>
        <v/>
      </c>
      <c r="X370" s="915"/>
      <c r="Y370" s="915"/>
      <c r="Z370" s="915"/>
      <c r="AA370" s="915"/>
      <c r="AB370" s="915"/>
      <c r="AC370" s="289"/>
      <c r="AD370" s="886" t="str">
        <f t="shared" si="201"/>
        <v/>
      </c>
      <c r="AE370" s="886"/>
      <c r="AF370" s="886"/>
      <c r="AG370" s="886"/>
      <c r="AH370" s="9"/>
      <c r="AI370" s="287" t="str">
        <f t="shared" si="202"/>
        <v/>
      </c>
      <c r="AJ370" s="13" t="str">
        <f t="shared" si="202"/>
        <v/>
      </c>
      <c r="AK370" s="287" t="str">
        <f t="shared" si="202"/>
        <v/>
      </c>
      <c r="AL370" s="13" t="str">
        <f t="shared" si="202"/>
        <v/>
      </c>
      <c r="AM370" s="705"/>
      <c r="AN370" s="705"/>
      <c r="AO370" s="289"/>
      <c r="AP370" s="75" t="str">
        <f t="shared" si="203"/>
        <v/>
      </c>
      <c r="AQ370" s="417" t="str">
        <f t="shared" si="203"/>
        <v/>
      </c>
      <c r="AR370" s="75" t="str">
        <f t="shared" si="203"/>
        <v/>
      </c>
      <c r="AS370" s="417" t="str">
        <f t="shared" si="203"/>
        <v/>
      </c>
      <c r="AT370" s="417"/>
      <c r="AU370" s="417"/>
      <c r="AV370" s="13"/>
      <c r="AW370" s="746" t="str">
        <f t="shared" si="204"/>
        <v/>
      </c>
      <c r="AX370" s="746"/>
      <c r="AY370" s="464" t="str">
        <f t="shared" si="205"/>
        <v/>
      </c>
      <c r="AZ370" s="464" t="str">
        <f t="shared" si="205"/>
        <v/>
      </c>
      <c r="BA370" s="464" t="str">
        <f t="shared" si="205"/>
        <v/>
      </c>
      <c r="BB370" s="464" t="str">
        <f t="shared" si="205"/>
        <v/>
      </c>
      <c r="BC370" s="464"/>
      <c r="BD370" s="464"/>
      <c r="BE370" s="917" t="str">
        <f t="shared" si="205"/>
        <v/>
      </c>
      <c r="BF370" s="917"/>
      <c r="BG370" s="13" t="s">
        <v>142</v>
      </c>
      <c r="BH370" s="884" t="str">
        <f t="shared" si="206"/>
        <v/>
      </c>
      <c r="BI370" s="884"/>
      <c r="BJ370" s="590"/>
      <c r="BO370" s="94"/>
      <c r="BP370" s="94"/>
      <c r="BQ370" s="94"/>
      <c r="BR370" s="94"/>
      <c r="BS370" s="94"/>
      <c r="BT370" s="94"/>
      <c r="BU370" s="94"/>
      <c r="BV370" s="94"/>
      <c r="BW370" s="94"/>
      <c r="BX370" s="94"/>
      <c r="BY370" s="94"/>
      <c r="BZ370" s="94"/>
      <c r="CA370" s="94"/>
      <c r="CB370" s="94"/>
      <c r="CC370" s="94"/>
      <c r="CD370" s="94"/>
      <c r="CE370" s="94"/>
      <c r="CF370" s="94"/>
      <c r="CG370" s="94"/>
      <c r="CH370" s="94"/>
      <c r="CI370" s="94"/>
      <c r="CJ370" s="94"/>
      <c r="CK370" s="94"/>
      <c r="CL370" s="94"/>
      <c r="CM370" s="94"/>
      <c r="CN370" s="94"/>
      <c r="CO370" s="94"/>
      <c r="CP370" s="94"/>
      <c r="CQ370" s="94"/>
      <c r="CR370" s="94"/>
      <c r="CS370" s="94"/>
      <c r="CT370" s="94"/>
      <c r="CU370" s="94"/>
      <c r="CV370" s="94"/>
      <c r="CW370" s="94"/>
      <c r="CX370" s="94"/>
      <c r="CY370" s="94"/>
      <c r="CZ370" s="94"/>
    </row>
    <row r="371" spans="1:178" ht="12.75" hidden="1">
      <c r="A371" s="74"/>
      <c r="B371" s="287" t="str">
        <f t="shared" si="196"/>
        <v/>
      </c>
      <c r="C371" s="9"/>
      <c r="D371" s="287" t="str">
        <f t="shared" si="197"/>
        <v/>
      </c>
      <c r="E371" s="274"/>
      <c r="F371" s="883" t="str">
        <f t="shared" si="198"/>
        <v/>
      </c>
      <c r="G371" s="883"/>
      <c r="H371" s="883"/>
      <c r="I371" s="883"/>
      <c r="J371" s="883"/>
      <c r="K371" s="883"/>
      <c r="L371" s="883"/>
      <c r="M371" s="883"/>
      <c r="N371" s="883"/>
      <c r="O371" s="883"/>
      <c r="P371" s="883"/>
      <c r="Q371" s="284"/>
      <c r="R371" s="915" t="str">
        <f t="shared" si="199"/>
        <v/>
      </c>
      <c r="S371" s="915"/>
      <c r="T371" s="915"/>
      <c r="U371" s="915"/>
      <c r="V371" s="289"/>
      <c r="W371" s="915" t="str">
        <f t="shared" si="200"/>
        <v/>
      </c>
      <c r="X371" s="915"/>
      <c r="Y371" s="915"/>
      <c r="Z371" s="915"/>
      <c r="AA371" s="915"/>
      <c r="AB371" s="915"/>
      <c r="AC371" s="289"/>
      <c r="AD371" s="886" t="str">
        <f t="shared" si="201"/>
        <v/>
      </c>
      <c r="AE371" s="886"/>
      <c r="AF371" s="886"/>
      <c r="AG371" s="886"/>
      <c r="AH371" s="9"/>
      <c r="AI371" s="287" t="str">
        <f t="shared" si="202"/>
        <v/>
      </c>
      <c r="AJ371" s="13" t="str">
        <f t="shared" si="202"/>
        <v/>
      </c>
      <c r="AK371" s="287" t="str">
        <f t="shared" si="202"/>
        <v/>
      </c>
      <c r="AL371" s="13" t="str">
        <f t="shared" si="202"/>
        <v/>
      </c>
      <c r="AM371" s="705"/>
      <c r="AN371" s="705"/>
      <c r="AO371" s="289"/>
      <c r="AP371" s="75" t="str">
        <f t="shared" si="203"/>
        <v/>
      </c>
      <c r="AQ371" s="417" t="str">
        <f t="shared" si="203"/>
        <v/>
      </c>
      <c r="AR371" s="75" t="str">
        <f t="shared" si="203"/>
        <v/>
      </c>
      <c r="AS371" s="417" t="str">
        <f t="shared" si="203"/>
        <v/>
      </c>
      <c r="AT371" s="417"/>
      <c r="AU371" s="417"/>
      <c r="AV371" s="13"/>
      <c r="AW371" s="746" t="str">
        <f t="shared" si="204"/>
        <v/>
      </c>
      <c r="AX371" s="746"/>
      <c r="AY371" s="464" t="str">
        <f t="shared" si="205"/>
        <v/>
      </c>
      <c r="AZ371" s="464" t="str">
        <f t="shared" si="205"/>
        <v/>
      </c>
      <c r="BA371" s="464" t="str">
        <f t="shared" si="205"/>
        <v/>
      </c>
      <c r="BB371" s="464" t="str">
        <f t="shared" si="205"/>
        <v/>
      </c>
      <c r="BC371" s="464"/>
      <c r="BD371" s="464"/>
      <c r="BE371" s="917" t="str">
        <f t="shared" si="205"/>
        <v/>
      </c>
      <c r="BF371" s="917"/>
      <c r="BG371" s="13" t="s">
        <v>142</v>
      </c>
      <c r="BH371" s="884" t="str">
        <f t="shared" si="206"/>
        <v/>
      </c>
      <c r="BI371" s="884"/>
      <c r="BJ371" s="590"/>
      <c r="BO371" s="94"/>
      <c r="BP371" s="94"/>
      <c r="BQ371" s="94"/>
      <c r="BR371" s="94"/>
      <c r="BS371" s="94"/>
      <c r="BT371" s="94"/>
      <c r="BU371" s="94"/>
      <c r="BV371" s="94"/>
      <c r="BW371" s="94"/>
      <c r="BX371" s="94"/>
      <c r="BY371" s="94"/>
      <c r="BZ371" s="94"/>
      <c r="CA371" s="94"/>
      <c r="CB371" s="94"/>
      <c r="CC371" s="94"/>
      <c r="CD371" s="94"/>
      <c r="CE371" s="94"/>
      <c r="CF371" s="94"/>
      <c r="CG371" s="94"/>
      <c r="CH371" s="94"/>
      <c r="CI371" s="94"/>
      <c r="CJ371" s="94"/>
      <c r="CK371" s="94"/>
      <c r="CL371" s="94"/>
      <c r="CM371" s="94"/>
      <c r="CN371" s="94"/>
      <c r="CO371" s="94"/>
      <c r="CP371" s="94"/>
      <c r="CQ371" s="94"/>
      <c r="CR371" s="94"/>
      <c r="CS371" s="94"/>
      <c r="CT371" s="94"/>
      <c r="CU371" s="94"/>
      <c r="CV371" s="94"/>
      <c r="CW371" s="94"/>
      <c r="CX371" s="94"/>
      <c r="CY371" s="94"/>
      <c r="CZ371" s="94"/>
    </row>
    <row r="372" spans="1:178" ht="12.75" hidden="1">
      <c r="A372" s="74"/>
      <c r="B372" s="287" t="str">
        <f t="shared" si="196"/>
        <v/>
      </c>
      <c r="C372" s="9"/>
      <c r="D372" s="287" t="str">
        <f t="shared" si="197"/>
        <v/>
      </c>
      <c r="E372" s="274"/>
      <c r="F372" s="883" t="str">
        <f t="shared" si="198"/>
        <v/>
      </c>
      <c r="G372" s="883"/>
      <c r="H372" s="883"/>
      <c r="I372" s="883"/>
      <c r="J372" s="883"/>
      <c r="K372" s="883"/>
      <c r="L372" s="883"/>
      <c r="M372" s="883"/>
      <c r="N372" s="883"/>
      <c r="O372" s="883"/>
      <c r="P372" s="883"/>
      <c r="Q372" s="284"/>
      <c r="R372" s="915" t="str">
        <f t="shared" si="199"/>
        <v/>
      </c>
      <c r="S372" s="915"/>
      <c r="T372" s="915"/>
      <c r="U372" s="915"/>
      <c r="V372" s="289"/>
      <c r="W372" s="915" t="str">
        <f t="shared" si="200"/>
        <v/>
      </c>
      <c r="X372" s="915"/>
      <c r="Y372" s="915"/>
      <c r="Z372" s="915"/>
      <c r="AA372" s="915"/>
      <c r="AB372" s="915"/>
      <c r="AC372" s="289"/>
      <c r="AD372" s="886" t="str">
        <f t="shared" si="201"/>
        <v/>
      </c>
      <c r="AE372" s="886"/>
      <c r="AF372" s="886"/>
      <c r="AG372" s="886"/>
      <c r="AH372" s="9"/>
      <c r="AI372" s="287" t="str">
        <f t="shared" si="202"/>
        <v/>
      </c>
      <c r="AJ372" s="13" t="str">
        <f t="shared" si="202"/>
        <v/>
      </c>
      <c r="AK372" s="287" t="str">
        <f t="shared" si="202"/>
        <v/>
      </c>
      <c r="AL372" s="13" t="str">
        <f t="shared" si="202"/>
        <v/>
      </c>
      <c r="AM372" s="705"/>
      <c r="AN372" s="705"/>
      <c r="AO372" s="289"/>
      <c r="AP372" s="75" t="str">
        <f t="shared" si="203"/>
        <v/>
      </c>
      <c r="AQ372" s="417" t="str">
        <f t="shared" si="203"/>
        <v/>
      </c>
      <c r="AR372" s="75" t="str">
        <f t="shared" si="203"/>
        <v/>
      </c>
      <c r="AS372" s="417" t="str">
        <f t="shared" si="203"/>
        <v/>
      </c>
      <c r="AT372" s="417"/>
      <c r="AU372" s="417"/>
      <c r="AV372" s="13"/>
      <c r="AW372" s="746" t="str">
        <f t="shared" si="204"/>
        <v/>
      </c>
      <c r="AX372" s="746"/>
      <c r="AY372" s="464" t="str">
        <f t="shared" si="205"/>
        <v/>
      </c>
      <c r="AZ372" s="464" t="str">
        <f t="shared" si="205"/>
        <v/>
      </c>
      <c r="BA372" s="464" t="str">
        <f t="shared" si="205"/>
        <v/>
      </c>
      <c r="BB372" s="464" t="str">
        <f t="shared" si="205"/>
        <v/>
      </c>
      <c r="BC372" s="464"/>
      <c r="BD372" s="464"/>
      <c r="BE372" s="917" t="str">
        <f t="shared" si="205"/>
        <v/>
      </c>
      <c r="BF372" s="917"/>
      <c r="BG372" s="13" t="s">
        <v>142</v>
      </c>
      <c r="BH372" s="884" t="str">
        <f t="shared" si="206"/>
        <v/>
      </c>
      <c r="BI372" s="884"/>
      <c r="BJ372" s="590"/>
      <c r="BO372" s="94"/>
      <c r="BP372" s="94"/>
      <c r="BQ372" s="94"/>
      <c r="BR372" s="94"/>
      <c r="BS372" s="94"/>
      <c r="BT372" s="94"/>
      <c r="BU372" s="94"/>
      <c r="BV372" s="94"/>
      <c r="BW372" s="94"/>
      <c r="BX372" s="94"/>
      <c r="BY372" s="94"/>
      <c r="BZ372" s="94"/>
      <c r="CA372" s="94"/>
      <c r="CB372" s="94"/>
      <c r="CC372" s="94"/>
      <c r="CD372" s="94"/>
      <c r="CE372" s="94"/>
      <c r="CF372" s="94"/>
      <c r="CG372" s="94"/>
      <c r="CH372" s="94"/>
      <c r="CI372" s="94"/>
      <c r="CJ372" s="94"/>
      <c r="CK372" s="94"/>
      <c r="CL372" s="94"/>
      <c r="CM372" s="94"/>
      <c r="CN372" s="94"/>
      <c r="CO372" s="94"/>
      <c r="CP372" s="94"/>
      <c r="CQ372" s="94"/>
      <c r="CR372" s="94"/>
      <c r="CS372" s="94"/>
      <c r="CT372" s="94"/>
      <c r="CU372" s="94"/>
      <c r="CV372" s="94"/>
      <c r="CW372" s="94"/>
      <c r="CX372" s="94"/>
      <c r="CY372" s="94"/>
      <c r="CZ372" s="94"/>
    </row>
    <row r="373" spans="1:178" ht="12.75" hidden="1">
      <c r="A373" s="74"/>
      <c r="B373" s="287" t="str">
        <f t="shared" si="196"/>
        <v/>
      </c>
      <c r="C373" s="9"/>
      <c r="D373" s="287" t="str">
        <f t="shared" si="197"/>
        <v/>
      </c>
      <c r="E373" s="274"/>
      <c r="F373" s="883" t="str">
        <f t="shared" si="198"/>
        <v/>
      </c>
      <c r="G373" s="883"/>
      <c r="H373" s="883"/>
      <c r="I373" s="883"/>
      <c r="J373" s="883"/>
      <c r="K373" s="883"/>
      <c r="L373" s="883"/>
      <c r="M373" s="883"/>
      <c r="N373" s="883"/>
      <c r="O373" s="883"/>
      <c r="P373" s="883"/>
      <c r="Q373" s="284"/>
      <c r="R373" s="915" t="str">
        <f t="shared" si="199"/>
        <v/>
      </c>
      <c r="S373" s="915"/>
      <c r="T373" s="915"/>
      <c r="U373" s="915"/>
      <c r="V373" s="289"/>
      <c r="W373" s="915" t="str">
        <f t="shared" si="200"/>
        <v/>
      </c>
      <c r="X373" s="915"/>
      <c r="Y373" s="915"/>
      <c r="Z373" s="915"/>
      <c r="AA373" s="915"/>
      <c r="AB373" s="915"/>
      <c r="AC373" s="289"/>
      <c r="AD373" s="886" t="str">
        <f t="shared" si="201"/>
        <v/>
      </c>
      <c r="AE373" s="886"/>
      <c r="AF373" s="886"/>
      <c r="AG373" s="886"/>
      <c r="AH373" s="9"/>
      <c r="AI373" s="287" t="str">
        <f t="shared" si="202"/>
        <v/>
      </c>
      <c r="AJ373" s="13" t="str">
        <f t="shared" si="202"/>
        <v/>
      </c>
      <c r="AK373" s="287" t="str">
        <f t="shared" si="202"/>
        <v/>
      </c>
      <c r="AL373" s="13" t="str">
        <f t="shared" si="202"/>
        <v/>
      </c>
      <c r="AM373" s="705"/>
      <c r="AN373" s="705"/>
      <c r="AO373" s="289"/>
      <c r="AP373" s="75" t="str">
        <f t="shared" si="203"/>
        <v/>
      </c>
      <c r="AQ373" s="417" t="str">
        <f t="shared" si="203"/>
        <v/>
      </c>
      <c r="AR373" s="75" t="str">
        <f t="shared" si="203"/>
        <v/>
      </c>
      <c r="AS373" s="417" t="str">
        <f t="shared" si="203"/>
        <v/>
      </c>
      <c r="AT373" s="417"/>
      <c r="AU373" s="417"/>
      <c r="AV373" s="13"/>
      <c r="AW373" s="746" t="str">
        <f t="shared" si="204"/>
        <v/>
      </c>
      <c r="AX373" s="746"/>
      <c r="AY373" s="464" t="str">
        <f t="shared" si="205"/>
        <v/>
      </c>
      <c r="AZ373" s="464" t="str">
        <f t="shared" si="205"/>
        <v/>
      </c>
      <c r="BA373" s="464" t="str">
        <f t="shared" si="205"/>
        <v/>
      </c>
      <c r="BB373" s="464" t="str">
        <f t="shared" si="205"/>
        <v/>
      </c>
      <c r="BC373" s="464"/>
      <c r="BD373" s="464"/>
      <c r="BE373" s="917" t="str">
        <f t="shared" si="205"/>
        <v/>
      </c>
      <c r="BF373" s="917"/>
      <c r="BG373" s="13" t="s">
        <v>142</v>
      </c>
      <c r="BH373" s="884" t="str">
        <f t="shared" si="206"/>
        <v/>
      </c>
      <c r="BI373" s="884"/>
      <c r="BJ373" s="590"/>
      <c r="BO373" s="94"/>
      <c r="BP373" s="94"/>
      <c r="BQ373" s="94"/>
      <c r="BR373" s="94"/>
      <c r="BS373" s="94"/>
      <c r="BT373" s="94"/>
      <c r="BU373" s="94"/>
      <c r="BV373" s="94"/>
      <c r="BW373" s="94"/>
      <c r="BX373" s="94"/>
      <c r="BY373" s="94"/>
      <c r="BZ373" s="94"/>
      <c r="CA373" s="94"/>
      <c r="CB373" s="94"/>
      <c r="CC373" s="94"/>
      <c r="CD373" s="94"/>
      <c r="CE373" s="94"/>
      <c r="CF373" s="94"/>
      <c r="CG373" s="94"/>
      <c r="CH373" s="94"/>
      <c r="CI373" s="94"/>
      <c r="CJ373" s="94"/>
      <c r="CK373" s="94"/>
      <c r="CL373" s="94"/>
      <c r="CM373" s="94"/>
      <c r="CN373" s="94"/>
      <c r="CO373" s="94"/>
      <c r="CP373" s="94"/>
      <c r="CQ373" s="94"/>
      <c r="CR373" s="94"/>
      <c r="CS373" s="94"/>
      <c r="CT373" s="94"/>
      <c r="CU373" s="94"/>
      <c r="CV373" s="94"/>
      <c r="CW373" s="94"/>
      <c r="CX373" s="94"/>
      <c r="CY373" s="94"/>
      <c r="CZ373" s="94"/>
    </row>
    <row r="374" spans="1:178" ht="12.75" hidden="1">
      <c r="A374" s="74"/>
      <c r="B374" s="287" t="str">
        <f t="shared" si="196"/>
        <v/>
      </c>
      <c r="C374" s="9"/>
      <c r="D374" s="287" t="str">
        <f t="shared" si="197"/>
        <v/>
      </c>
      <c r="E374" s="274"/>
      <c r="F374" s="883" t="str">
        <f t="shared" si="198"/>
        <v/>
      </c>
      <c r="G374" s="883"/>
      <c r="H374" s="883"/>
      <c r="I374" s="883"/>
      <c r="J374" s="883"/>
      <c r="K374" s="883"/>
      <c r="L374" s="883"/>
      <c r="M374" s="883"/>
      <c r="N374" s="883"/>
      <c r="O374" s="883"/>
      <c r="P374" s="883"/>
      <c r="Q374" s="284"/>
      <c r="R374" s="915" t="str">
        <f t="shared" si="199"/>
        <v/>
      </c>
      <c r="S374" s="915"/>
      <c r="T374" s="915"/>
      <c r="U374" s="915"/>
      <c r="V374" s="289"/>
      <c r="W374" s="915" t="str">
        <f t="shared" si="200"/>
        <v/>
      </c>
      <c r="X374" s="915"/>
      <c r="Y374" s="915"/>
      <c r="Z374" s="915"/>
      <c r="AA374" s="915"/>
      <c r="AB374" s="915"/>
      <c r="AC374" s="289"/>
      <c r="AD374" s="886" t="str">
        <f t="shared" si="201"/>
        <v/>
      </c>
      <c r="AE374" s="886"/>
      <c r="AF374" s="886"/>
      <c r="AG374" s="886"/>
      <c r="AH374" s="9"/>
      <c r="AI374" s="287" t="str">
        <f t="shared" si="202"/>
        <v/>
      </c>
      <c r="AJ374" s="13" t="str">
        <f t="shared" si="202"/>
        <v/>
      </c>
      <c r="AK374" s="287" t="str">
        <f t="shared" si="202"/>
        <v/>
      </c>
      <c r="AL374" s="13" t="str">
        <f t="shared" si="202"/>
        <v/>
      </c>
      <c r="AM374" s="705"/>
      <c r="AN374" s="705"/>
      <c r="AO374" s="289"/>
      <c r="AP374" s="75" t="str">
        <f t="shared" si="203"/>
        <v/>
      </c>
      <c r="AQ374" s="417" t="str">
        <f t="shared" si="203"/>
        <v/>
      </c>
      <c r="AR374" s="75" t="str">
        <f t="shared" si="203"/>
        <v/>
      </c>
      <c r="AS374" s="417" t="str">
        <f t="shared" si="203"/>
        <v/>
      </c>
      <c r="AT374" s="417"/>
      <c r="AU374" s="417"/>
      <c r="AV374" s="13"/>
      <c r="AW374" s="746" t="str">
        <f t="shared" si="204"/>
        <v/>
      </c>
      <c r="AX374" s="746"/>
      <c r="AY374" s="464" t="str">
        <f t="shared" si="205"/>
        <v/>
      </c>
      <c r="AZ374" s="464" t="str">
        <f t="shared" si="205"/>
        <v/>
      </c>
      <c r="BA374" s="464" t="str">
        <f t="shared" si="205"/>
        <v/>
      </c>
      <c r="BB374" s="464" t="str">
        <f t="shared" si="205"/>
        <v/>
      </c>
      <c r="BC374" s="464"/>
      <c r="BD374" s="464"/>
      <c r="BE374" s="917" t="str">
        <f t="shared" si="205"/>
        <v/>
      </c>
      <c r="BF374" s="917"/>
      <c r="BG374" s="13" t="s">
        <v>142</v>
      </c>
      <c r="BH374" s="884" t="str">
        <f t="shared" si="206"/>
        <v/>
      </c>
      <c r="BI374" s="884"/>
      <c r="BJ374" s="590"/>
      <c r="BO374" s="94"/>
      <c r="BP374" s="94"/>
      <c r="BQ374" s="94"/>
      <c r="BR374" s="94"/>
      <c r="BS374" s="94"/>
      <c r="BT374" s="94"/>
      <c r="BU374" s="94"/>
      <c r="BV374" s="94"/>
      <c r="BW374" s="94"/>
      <c r="BX374" s="94"/>
      <c r="BY374" s="94"/>
      <c r="BZ374" s="94"/>
      <c r="CA374" s="94"/>
      <c r="CB374" s="94"/>
      <c r="CC374" s="94"/>
      <c r="CD374" s="94"/>
      <c r="CE374" s="94"/>
      <c r="CF374" s="94"/>
      <c r="CG374" s="94"/>
      <c r="CH374" s="94"/>
      <c r="CI374" s="94"/>
      <c r="CJ374" s="94"/>
      <c r="CK374" s="94"/>
      <c r="CL374" s="94"/>
      <c r="CM374" s="94"/>
      <c r="CN374" s="94"/>
      <c r="CO374" s="94"/>
      <c r="CP374" s="94"/>
      <c r="CQ374" s="94"/>
      <c r="CR374" s="94"/>
      <c r="CS374" s="94"/>
      <c r="CT374" s="94"/>
      <c r="CU374" s="94"/>
      <c r="CV374" s="94"/>
      <c r="CW374" s="94"/>
      <c r="CX374" s="94"/>
      <c r="CY374" s="94"/>
      <c r="CZ374" s="94"/>
    </row>
    <row r="375" spans="1:178" ht="12.75" hidden="1">
      <c r="A375" s="74"/>
      <c r="B375" s="287" t="str">
        <f t="shared" si="196"/>
        <v/>
      </c>
      <c r="C375" s="9"/>
      <c r="D375" s="287" t="str">
        <f t="shared" si="197"/>
        <v/>
      </c>
      <c r="E375" s="274"/>
      <c r="F375" s="883" t="str">
        <f t="shared" si="198"/>
        <v/>
      </c>
      <c r="G375" s="883"/>
      <c r="H375" s="883"/>
      <c r="I375" s="883"/>
      <c r="J375" s="883"/>
      <c r="K375" s="883"/>
      <c r="L375" s="883"/>
      <c r="M375" s="883"/>
      <c r="N375" s="883"/>
      <c r="O375" s="883"/>
      <c r="P375" s="883"/>
      <c r="Q375" s="284"/>
      <c r="R375" s="915" t="str">
        <f t="shared" si="199"/>
        <v/>
      </c>
      <c r="S375" s="915"/>
      <c r="T375" s="915"/>
      <c r="U375" s="915"/>
      <c r="V375" s="289"/>
      <c r="W375" s="915" t="str">
        <f t="shared" si="200"/>
        <v/>
      </c>
      <c r="X375" s="915"/>
      <c r="Y375" s="915"/>
      <c r="Z375" s="915"/>
      <c r="AA375" s="915"/>
      <c r="AB375" s="915"/>
      <c r="AC375" s="289"/>
      <c r="AD375" s="886" t="str">
        <f t="shared" si="201"/>
        <v/>
      </c>
      <c r="AE375" s="886"/>
      <c r="AF375" s="886"/>
      <c r="AG375" s="886"/>
      <c r="AH375" s="9"/>
      <c r="AI375" s="287" t="str">
        <f t="shared" si="202"/>
        <v/>
      </c>
      <c r="AJ375" s="13" t="str">
        <f t="shared" si="202"/>
        <v/>
      </c>
      <c r="AK375" s="287" t="str">
        <f t="shared" si="202"/>
        <v/>
      </c>
      <c r="AL375" s="13" t="str">
        <f t="shared" si="202"/>
        <v/>
      </c>
      <c r="AM375" s="705"/>
      <c r="AN375" s="705"/>
      <c r="AO375" s="289"/>
      <c r="AP375" s="75" t="str">
        <f t="shared" si="203"/>
        <v/>
      </c>
      <c r="AQ375" s="417" t="str">
        <f t="shared" si="203"/>
        <v/>
      </c>
      <c r="AR375" s="75" t="str">
        <f t="shared" si="203"/>
        <v/>
      </c>
      <c r="AS375" s="417" t="str">
        <f t="shared" si="203"/>
        <v/>
      </c>
      <c r="AT375" s="417"/>
      <c r="AU375" s="417"/>
      <c r="AV375" s="13"/>
      <c r="AW375" s="746" t="str">
        <f t="shared" si="204"/>
        <v/>
      </c>
      <c r="AX375" s="746"/>
      <c r="AY375" s="464" t="str">
        <f t="shared" si="205"/>
        <v/>
      </c>
      <c r="AZ375" s="464" t="str">
        <f t="shared" si="205"/>
        <v/>
      </c>
      <c r="BA375" s="464" t="str">
        <f t="shared" si="205"/>
        <v/>
      </c>
      <c r="BB375" s="464" t="str">
        <f t="shared" si="205"/>
        <v/>
      </c>
      <c r="BC375" s="464"/>
      <c r="BD375" s="464"/>
      <c r="BE375" s="917" t="str">
        <f t="shared" si="205"/>
        <v/>
      </c>
      <c r="BF375" s="917"/>
      <c r="BG375" s="13" t="s">
        <v>142</v>
      </c>
      <c r="BH375" s="884" t="str">
        <f t="shared" si="206"/>
        <v/>
      </c>
      <c r="BI375" s="884"/>
      <c r="BJ375" s="590"/>
      <c r="BO375" s="94"/>
      <c r="BP375" s="94"/>
      <c r="BQ375" s="94"/>
      <c r="BR375" s="94"/>
      <c r="BS375" s="94"/>
      <c r="BT375" s="94"/>
      <c r="BU375" s="94"/>
      <c r="BV375" s="94"/>
      <c r="BW375" s="94"/>
      <c r="BX375" s="94"/>
      <c r="BY375" s="94"/>
      <c r="BZ375" s="94"/>
      <c r="CA375" s="94"/>
      <c r="CB375" s="94"/>
      <c r="CC375" s="94"/>
      <c r="CD375" s="94"/>
      <c r="CE375" s="94"/>
      <c r="CF375" s="94"/>
      <c r="CG375" s="94"/>
      <c r="CH375" s="94"/>
      <c r="CI375" s="94"/>
      <c r="CJ375" s="94"/>
      <c r="CK375" s="94"/>
      <c r="CL375" s="94"/>
      <c r="CM375" s="94"/>
      <c r="CN375" s="94"/>
      <c r="CO375" s="94"/>
      <c r="CP375" s="94"/>
      <c r="CQ375" s="94"/>
      <c r="CR375" s="94"/>
      <c r="CS375" s="94"/>
      <c r="CT375" s="94"/>
      <c r="CU375" s="94"/>
      <c r="CV375" s="94"/>
      <c r="CW375" s="94"/>
      <c r="CX375" s="94"/>
      <c r="CY375" s="94"/>
      <c r="CZ375" s="94"/>
    </row>
    <row r="376" spans="1:178" ht="12.75" hidden="1">
      <c r="A376" s="74"/>
      <c r="B376" s="287" t="str">
        <f t="shared" si="196"/>
        <v/>
      </c>
      <c r="C376" s="9"/>
      <c r="D376" s="287" t="str">
        <f t="shared" si="197"/>
        <v/>
      </c>
      <c r="E376" s="274"/>
      <c r="F376" s="883" t="str">
        <f t="shared" si="198"/>
        <v/>
      </c>
      <c r="G376" s="883"/>
      <c r="H376" s="883"/>
      <c r="I376" s="883"/>
      <c r="J376" s="883"/>
      <c r="K376" s="883"/>
      <c r="L376" s="883"/>
      <c r="M376" s="883"/>
      <c r="N376" s="883"/>
      <c r="O376" s="883"/>
      <c r="P376" s="883"/>
      <c r="Q376" s="284"/>
      <c r="R376" s="915" t="str">
        <f t="shared" si="199"/>
        <v/>
      </c>
      <c r="S376" s="915"/>
      <c r="T376" s="915"/>
      <c r="U376" s="915"/>
      <c r="V376" s="289"/>
      <c r="W376" s="915" t="str">
        <f t="shared" si="200"/>
        <v/>
      </c>
      <c r="X376" s="915"/>
      <c r="Y376" s="915"/>
      <c r="Z376" s="915"/>
      <c r="AA376" s="915"/>
      <c r="AB376" s="915"/>
      <c r="AC376" s="289"/>
      <c r="AD376" s="886" t="str">
        <f t="shared" si="201"/>
        <v/>
      </c>
      <c r="AE376" s="886"/>
      <c r="AF376" s="886"/>
      <c r="AG376" s="886"/>
      <c r="AH376" s="9"/>
      <c r="AI376" s="287" t="str">
        <f t="shared" si="202"/>
        <v/>
      </c>
      <c r="AJ376" s="13" t="str">
        <f t="shared" si="202"/>
        <v/>
      </c>
      <c r="AK376" s="287" t="str">
        <f t="shared" si="202"/>
        <v/>
      </c>
      <c r="AL376" s="13" t="str">
        <f t="shared" si="202"/>
        <v/>
      </c>
      <c r="AM376" s="705"/>
      <c r="AN376" s="705"/>
      <c r="AO376" s="289"/>
      <c r="AP376" s="75" t="str">
        <f t="shared" si="203"/>
        <v/>
      </c>
      <c r="AQ376" s="417" t="str">
        <f t="shared" si="203"/>
        <v/>
      </c>
      <c r="AR376" s="75" t="str">
        <f t="shared" si="203"/>
        <v/>
      </c>
      <c r="AS376" s="417" t="str">
        <f t="shared" si="203"/>
        <v/>
      </c>
      <c r="AT376" s="417"/>
      <c r="AU376" s="417"/>
      <c r="AV376" s="13"/>
      <c r="AW376" s="746" t="str">
        <f t="shared" si="204"/>
        <v/>
      </c>
      <c r="AX376" s="746"/>
      <c r="AY376" s="464" t="str">
        <f t="shared" si="205"/>
        <v/>
      </c>
      <c r="AZ376" s="464" t="str">
        <f t="shared" si="205"/>
        <v/>
      </c>
      <c r="BA376" s="464" t="str">
        <f t="shared" si="205"/>
        <v/>
      </c>
      <c r="BB376" s="464" t="str">
        <f t="shared" si="205"/>
        <v/>
      </c>
      <c r="BC376" s="464"/>
      <c r="BD376" s="464"/>
      <c r="BE376" s="917" t="str">
        <f t="shared" si="205"/>
        <v/>
      </c>
      <c r="BF376" s="917"/>
      <c r="BG376" s="13" t="s">
        <v>142</v>
      </c>
      <c r="BH376" s="884" t="str">
        <f t="shared" si="206"/>
        <v/>
      </c>
      <c r="BI376" s="884"/>
      <c r="BJ376" s="590"/>
      <c r="BO376" s="102"/>
      <c r="BP376" s="102"/>
      <c r="BQ376" s="102"/>
      <c r="BR376" s="102"/>
      <c r="BS376" s="102"/>
      <c r="BT376" s="102"/>
      <c r="BU376" s="102"/>
      <c r="BV376" s="102"/>
      <c r="BW376" s="102"/>
      <c r="BX376" s="102"/>
      <c r="BY376" s="94"/>
      <c r="BZ376" s="94"/>
      <c r="CA376" s="94"/>
      <c r="CB376" s="94"/>
      <c r="CC376" s="94"/>
      <c r="CD376" s="94"/>
      <c r="CE376" s="94"/>
      <c r="CF376" s="94"/>
      <c r="CG376" s="94"/>
      <c r="CH376" s="94"/>
      <c r="CI376" s="94"/>
      <c r="CJ376" s="94"/>
      <c r="CK376" s="94"/>
      <c r="CL376" s="94"/>
      <c r="CM376" s="94"/>
      <c r="CN376" s="94"/>
      <c r="CO376" s="94"/>
      <c r="CP376" s="94"/>
      <c r="CQ376" s="94"/>
      <c r="CR376" s="94"/>
      <c r="CS376" s="94"/>
      <c r="CT376" s="94"/>
      <c r="CU376" s="94"/>
      <c r="CV376" s="94"/>
      <c r="CW376" s="94"/>
      <c r="CX376" s="94"/>
      <c r="CY376" s="94"/>
      <c r="CZ376" s="94"/>
    </row>
    <row r="377" spans="1:178" ht="12.75" customHeight="1" thickBot="1">
      <c r="A377" s="76"/>
      <c r="B377" s="275"/>
      <c r="C377" s="275"/>
      <c r="D377" s="275"/>
      <c r="E377" s="275"/>
      <c r="F377" s="276"/>
      <c r="G377" s="276"/>
      <c r="H377" s="276"/>
      <c r="I377" s="276"/>
      <c r="J377" s="276"/>
      <c r="K377" s="276"/>
      <c r="L377" s="276"/>
      <c r="M377" s="276"/>
      <c r="N377" s="276"/>
      <c r="O377" s="276"/>
      <c r="P377" s="276"/>
      <c r="Q377" s="276"/>
      <c r="R377" s="276"/>
      <c r="S377" s="276"/>
      <c r="T377" s="276"/>
      <c r="U377" s="275"/>
      <c r="V377" s="275"/>
      <c r="W377" s="276"/>
      <c r="X377" s="276"/>
      <c r="Y377" s="276"/>
      <c r="Z377" s="276"/>
      <c r="AA377" s="276"/>
      <c r="AB377" s="275"/>
      <c r="AC377" s="275"/>
      <c r="AD377" s="275"/>
      <c r="AE377" s="275"/>
      <c r="AF377" s="275"/>
      <c r="AG377" s="275"/>
      <c r="AH377" s="275"/>
      <c r="AI377" s="275"/>
      <c r="AJ377" s="275"/>
      <c r="AK377" s="275"/>
      <c r="AL377" s="275"/>
      <c r="AM377" s="275"/>
      <c r="AN377" s="275"/>
      <c r="AO377" s="275"/>
      <c r="AP377" s="275"/>
      <c r="AQ377" s="275"/>
      <c r="AR377" s="275"/>
      <c r="AS377" s="275"/>
      <c r="AT377" s="275"/>
      <c r="AU377" s="275"/>
      <c r="AV377" s="275"/>
      <c r="AW377" s="275"/>
      <c r="AX377" s="275"/>
      <c r="AY377" s="275"/>
      <c r="AZ377" s="275"/>
      <c r="BA377" s="275"/>
      <c r="BB377" s="275"/>
      <c r="BC377" s="275"/>
      <c r="BD377" s="275"/>
      <c r="BE377" s="275"/>
      <c r="BF377" s="275"/>
      <c r="BG377" s="276"/>
      <c r="BH377" s="276"/>
      <c r="BI377" s="275"/>
      <c r="BJ377" s="78"/>
      <c r="BO377" s="94"/>
      <c r="BP377" s="94"/>
      <c r="BQ377" s="94"/>
      <c r="BR377" s="94"/>
      <c r="BS377" s="94"/>
      <c r="BT377" s="94"/>
      <c r="BU377" s="94"/>
      <c r="BV377" s="94"/>
      <c r="BW377" s="94"/>
      <c r="BX377" s="94"/>
      <c r="BY377" s="94"/>
      <c r="BZ377" s="94"/>
      <c r="CA377" s="94"/>
      <c r="CB377" s="94"/>
      <c r="CC377" s="94"/>
      <c r="CD377" s="94"/>
      <c r="CE377" s="94"/>
      <c r="CF377" s="94"/>
      <c r="CG377" s="94"/>
      <c r="CH377" s="94"/>
      <c r="CI377" s="94"/>
      <c r="CJ377" s="94"/>
      <c r="CK377" s="94"/>
      <c r="CL377" s="94"/>
      <c r="CM377" s="94"/>
      <c r="CN377" s="94"/>
      <c r="CO377" s="94"/>
      <c r="CP377" s="94"/>
      <c r="CQ377" s="94"/>
      <c r="CR377" s="94"/>
      <c r="CS377" s="94"/>
      <c r="CT377" s="94"/>
      <c r="CU377" s="94"/>
      <c r="CV377" s="94"/>
      <c r="CW377" s="94"/>
      <c r="CX377" s="94"/>
      <c r="CY377" s="94"/>
      <c r="CZ377" s="94"/>
    </row>
    <row r="378" spans="1:178" ht="12.75">
      <c r="B378" s="3"/>
      <c r="C378" s="3"/>
      <c r="D378" s="9"/>
      <c r="E378" s="9"/>
      <c r="F378" s="9"/>
      <c r="G378" s="9"/>
      <c r="H378" s="9"/>
      <c r="I378" s="9"/>
      <c r="J378" s="9"/>
      <c r="K378" s="9"/>
      <c r="L378" s="9"/>
      <c r="M378" s="9"/>
      <c r="N378" s="9"/>
      <c r="O378" s="9"/>
      <c r="P378" s="9"/>
      <c r="Q378" s="9"/>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79" t="s">
        <v>2751</v>
      </c>
      <c r="BG378" s="13" t="s">
        <v>142</v>
      </c>
      <c r="BH378" s="884" t="str">
        <f>IF(BH108="","",BH108)</f>
        <v/>
      </c>
      <c r="BI378" s="884"/>
      <c r="BO378" s="94"/>
      <c r="BP378" s="94"/>
      <c r="BQ378" s="94"/>
      <c r="BR378" s="94"/>
      <c r="BS378" s="94"/>
      <c r="BT378" s="94"/>
      <c r="BU378" s="94"/>
      <c r="BV378" s="94"/>
      <c r="BW378" s="94"/>
      <c r="BX378" s="94"/>
      <c r="BY378" s="94"/>
      <c r="BZ378" s="94"/>
      <c r="CA378" s="94"/>
      <c r="CB378" s="94"/>
      <c r="CC378" s="94"/>
      <c r="CD378" s="94"/>
      <c r="CE378" s="94"/>
      <c r="CF378" s="94"/>
      <c r="CG378" s="94"/>
      <c r="CH378" s="94"/>
      <c r="CI378" s="94"/>
      <c r="CJ378" s="94"/>
      <c r="CK378" s="94"/>
      <c r="CL378" s="94"/>
      <c r="CM378" s="94"/>
      <c r="CN378" s="94"/>
      <c r="CO378" s="94"/>
      <c r="CP378" s="94"/>
      <c r="CQ378" s="94"/>
      <c r="CR378" s="94"/>
      <c r="CS378" s="94"/>
      <c r="CT378" s="94"/>
      <c r="CU378" s="94"/>
      <c r="CV378" s="94"/>
      <c r="CW378" s="94"/>
      <c r="CX378" s="94"/>
      <c r="CY378" s="94"/>
      <c r="CZ378" s="94"/>
    </row>
    <row r="379" spans="1:178" ht="16.5" hidden="1" thickBot="1">
      <c r="A379" s="80" t="str">
        <f>A109</f>
        <v>A2- Efficient VRF Units* - HIDE ROWS. KEEPING IN CASE WE NEED TO ADD BACK IN.</v>
      </c>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280"/>
      <c r="BH379" s="20"/>
      <c r="BO379" s="94"/>
      <c r="BP379" s="94"/>
      <c r="BQ379" s="94"/>
      <c r="BR379" s="94"/>
      <c r="BS379" s="94"/>
      <c r="BT379" s="94"/>
      <c r="BU379" s="94"/>
      <c r="BV379" s="94"/>
      <c r="BW379" s="94"/>
      <c r="BX379" s="94"/>
      <c r="BY379" s="94"/>
      <c r="BZ379" s="94"/>
      <c r="CA379" s="94"/>
      <c r="CB379" s="94"/>
      <c r="CC379" s="94"/>
      <c r="CD379" s="94"/>
      <c r="CE379" s="94"/>
      <c r="CF379" s="94"/>
      <c r="CG379" s="94"/>
      <c r="CH379" s="94"/>
      <c r="CI379" s="94"/>
      <c r="CJ379" s="94"/>
      <c r="CK379" s="94"/>
      <c r="CL379" s="94"/>
      <c r="CM379" s="94"/>
      <c r="CN379" s="94"/>
      <c r="CO379" s="94"/>
      <c r="CP379" s="94"/>
      <c r="CQ379" s="94"/>
      <c r="CR379" s="94"/>
      <c r="CS379" s="94"/>
      <c r="CT379" s="94"/>
      <c r="CU379" s="94"/>
      <c r="CV379" s="94"/>
      <c r="CW379" s="94"/>
      <c r="CX379" s="94"/>
      <c r="CY379" s="94"/>
      <c r="CZ379" s="94"/>
    </row>
    <row r="380" spans="1:178" s="22" customFormat="1" ht="12.75" hidden="1" customHeight="1">
      <c r="A380" s="588"/>
      <c r="B380" s="573"/>
      <c r="C380" s="573"/>
      <c r="D380" s="573"/>
      <c r="E380" s="573"/>
      <c r="F380" s="573"/>
      <c r="G380" s="573"/>
      <c r="H380" s="573"/>
      <c r="I380" s="573"/>
      <c r="J380" s="573"/>
      <c r="K380" s="573"/>
      <c r="L380" s="573"/>
      <c r="M380" s="573"/>
      <c r="N380" s="573"/>
      <c r="O380" s="573"/>
      <c r="P380" s="573"/>
      <c r="Q380" s="573"/>
      <c r="R380" s="573"/>
      <c r="S380" s="573"/>
      <c r="T380" s="573"/>
      <c r="U380" s="573"/>
      <c r="V380" s="573"/>
      <c r="W380" s="573"/>
      <c r="X380" s="573"/>
      <c r="Y380" s="573"/>
      <c r="Z380" s="573"/>
      <c r="AA380" s="573"/>
      <c r="AB380" s="573"/>
      <c r="AC380" s="573"/>
      <c r="AD380" s="573"/>
      <c r="AE380" s="573"/>
      <c r="AF380" s="573"/>
      <c r="AG380" s="573"/>
      <c r="AH380" s="573"/>
      <c r="AI380" s="573"/>
      <c r="AJ380" s="573"/>
      <c r="AK380" s="573"/>
      <c r="AL380" s="573"/>
      <c r="AM380" s="707"/>
      <c r="AN380" s="707"/>
      <c r="AO380" s="573"/>
      <c r="AP380" s="887" t="s">
        <v>2655</v>
      </c>
      <c r="AQ380" s="887"/>
      <c r="AR380" s="887"/>
      <c r="AS380" s="887"/>
      <c r="AT380" s="887"/>
      <c r="AU380" s="887"/>
      <c r="AV380" s="887"/>
      <c r="AW380" s="887"/>
      <c r="AX380" s="887"/>
      <c r="AY380" s="887"/>
      <c r="AZ380" s="887"/>
      <c r="BA380" s="887"/>
      <c r="BB380" s="887"/>
      <c r="BC380" s="887"/>
      <c r="BD380" s="887"/>
      <c r="BE380" s="887"/>
      <c r="BF380" s="887"/>
      <c r="BH380" s="888" t="str">
        <f>IF(BG110="","",BG110)</f>
        <v>Incentive
(tons x $35, $50, $55, $85, or $100)</v>
      </c>
      <c r="BI380" s="888"/>
      <c r="BJ380" s="267"/>
      <c r="BK380" s="1"/>
      <c r="BL380" s="1"/>
      <c r="BM380" s="1"/>
      <c r="BN380" s="1"/>
      <c r="BO380" s="94"/>
      <c r="BP380" s="94"/>
      <c r="BQ380" s="94"/>
      <c r="BR380" s="94"/>
      <c r="BS380" s="94"/>
      <c r="BT380" s="94"/>
      <c r="BU380" s="94"/>
      <c r="BV380" s="94"/>
      <c r="BW380" s="94"/>
      <c r="BX380" s="94"/>
      <c r="BY380" s="102"/>
      <c r="BZ380" s="102"/>
      <c r="CA380" s="102"/>
      <c r="CB380" s="102"/>
      <c r="CC380" s="102"/>
      <c r="CD380" s="102"/>
      <c r="CE380" s="102"/>
      <c r="CF380" s="102"/>
      <c r="CG380" s="102"/>
      <c r="CH380" s="102"/>
      <c r="CI380" s="102"/>
      <c r="CJ380" s="102"/>
      <c r="CK380" s="102"/>
      <c r="CL380" s="102"/>
      <c r="CM380" s="102"/>
      <c r="CN380" s="102"/>
      <c r="CO380" s="102"/>
      <c r="CP380" s="102"/>
      <c r="CQ380" s="102"/>
      <c r="CR380" s="102"/>
      <c r="CS380" s="102"/>
      <c r="CT380" s="102"/>
      <c r="CU380" s="102"/>
      <c r="CV380" s="102"/>
      <c r="CW380" s="102"/>
      <c r="CX380" s="102"/>
      <c r="CY380" s="102"/>
      <c r="CZ380" s="102"/>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row>
    <row r="381" spans="1:178" s="22" customFormat="1" ht="12.75" hidden="1" customHeight="1">
      <c r="A381" s="69"/>
      <c r="B381" s="284"/>
      <c r="C381" s="70"/>
      <c r="D381" s="284"/>
      <c r="E381" s="284"/>
      <c r="F381" s="285"/>
      <c r="G381" s="285"/>
      <c r="H381" s="285"/>
      <c r="I381" s="285"/>
      <c r="J381" s="285"/>
      <c r="K381" s="285"/>
      <c r="L381" s="285"/>
      <c r="M381" s="285"/>
      <c r="N381" s="285"/>
      <c r="O381" s="285"/>
      <c r="P381" s="285"/>
      <c r="Q381" s="284"/>
      <c r="R381" s="781" t="s">
        <v>2714</v>
      </c>
      <c r="S381" s="781"/>
      <c r="T381" s="781"/>
      <c r="U381" s="781"/>
      <c r="V381" s="289"/>
      <c r="W381" s="781" t="s">
        <v>2733</v>
      </c>
      <c r="X381" s="781"/>
      <c r="Y381" s="781"/>
      <c r="Z381" s="781"/>
      <c r="AA381" s="781"/>
      <c r="AB381" s="781"/>
      <c r="AC381" s="289"/>
      <c r="AD381" s="289"/>
      <c r="AE381" s="289"/>
      <c r="AF381" s="289"/>
      <c r="AG381" s="289"/>
      <c r="AH381" s="289"/>
      <c r="AI381" s="71" t="s">
        <v>2715</v>
      </c>
      <c r="AJ381" s="289"/>
      <c r="AK381" s="72" t="s">
        <v>2752</v>
      </c>
      <c r="AL381" s="289"/>
      <c r="AM381" s="289"/>
      <c r="AN381" s="289"/>
      <c r="AO381" s="284"/>
      <c r="AP381" s="880" t="str">
        <f>IF(AP111="","",AP111)</f>
        <v>Tier 1</v>
      </c>
      <c r="AQ381" s="880" t="str">
        <f t="shared" ref="AQ381:AX381" si="207">IF(AQ111="","",AQ111)</f>
        <v/>
      </c>
      <c r="AR381" s="880" t="str">
        <f t="shared" si="207"/>
        <v/>
      </c>
      <c r="AS381" s="880" t="str">
        <f t="shared" si="207"/>
        <v/>
      </c>
      <c r="AT381" s="880"/>
      <c r="AU381" s="880"/>
      <c r="AV381" s="880" t="str">
        <f t="shared" si="207"/>
        <v/>
      </c>
      <c r="AW381" s="880" t="str">
        <f t="shared" si="207"/>
        <v/>
      </c>
      <c r="AX381" s="880" t="str">
        <f t="shared" si="207"/>
        <v/>
      </c>
      <c r="AY381" s="880" t="str">
        <f>IF(AY111="","",AY111)</f>
        <v>Tier 2</v>
      </c>
      <c r="AZ381" s="880" t="str">
        <f t="shared" ref="AZ381:BG381" si="208">IF(AZ111="","",AZ111)</f>
        <v/>
      </c>
      <c r="BA381" s="880" t="str">
        <f t="shared" si="208"/>
        <v/>
      </c>
      <c r="BB381" s="880" t="str">
        <f t="shared" si="208"/>
        <v/>
      </c>
      <c r="BC381" s="880"/>
      <c r="BD381" s="880"/>
      <c r="BE381" s="880" t="str">
        <f t="shared" si="208"/>
        <v/>
      </c>
      <c r="BF381" s="880" t="str">
        <f t="shared" si="208"/>
        <v/>
      </c>
      <c r="BG381" s="880" t="str">
        <f t="shared" si="208"/>
        <v/>
      </c>
      <c r="BH381" s="736"/>
      <c r="BI381" s="736"/>
      <c r="BJ381" s="73"/>
      <c r="BK381" s="1"/>
      <c r="BL381" s="1"/>
      <c r="BM381" s="1"/>
      <c r="BN381" s="1"/>
      <c r="BO381" s="94"/>
      <c r="BP381" s="94"/>
      <c r="BQ381" s="94"/>
      <c r="BR381" s="94"/>
      <c r="BS381" s="94"/>
      <c r="BT381" s="94"/>
      <c r="BU381" s="94"/>
      <c r="BV381" s="94"/>
      <c r="BW381" s="94"/>
      <c r="BX381" s="94"/>
      <c r="BY381" s="102"/>
      <c r="BZ381" s="102"/>
      <c r="CA381" s="102"/>
      <c r="CB381" s="102"/>
      <c r="CC381" s="102"/>
      <c r="CD381" s="102"/>
      <c r="CE381" s="102"/>
      <c r="CF381" s="102"/>
      <c r="CG381" s="102"/>
      <c r="CH381" s="102"/>
      <c r="CI381" s="102"/>
      <c r="CJ381" s="102"/>
      <c r="CK381" s="102"/>
      <c r="CL381" s="102"/>
      <c r="CM381" s="102"/>
      <c r="CN381" s="102"/>
      <c r="CO381" s="102"/>
      <c r="CP381" s="102"/>
      <c r="CQ381" s="102"/>
      <c r="CR381" s="102"/>
      <c r="CS381" s="102"/>
      <c r="CT381" s="102"/>
      <c r="CU381" s="102"/>
      <c r="CV381" s="102"/>
      <c r="CW381" s="102"/>
      <c r="CX381" s="102"/>
      <c r="CY381" s="102"/>
      <c r="CZ381" s="102"/>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row>
    <row r="382" spans="1:178" s="22" customFormat="1" ht="38.1" hidden="1" customHeight="1">
      <c r="A382" s="69"/>
      <c r="B382" s="246" t="s">
        <v>2661</v>
      </c>
      <c r="C382" s="412"/>
      <c r="D382" s="246" t="s">
        <v>2662</v>
      </c>
      <c r="E382" s="246"/>
      <c r="F382" s="246" t="s">
        <v>2717</v>
      </c>
      <c r="G382" s="246"/>
      <c r="H382" s="246"/>
      <c r="I382" s="246"/>
      <c r="J382" s="246"/>
      <c r="K382" s="285"/>
      <c r="L382" s="285"/>
      <c r="M382" s="285"/>
      <c r="N382" s="285"/>
      <c r="O382" s="285"/>
      <c r="P382" s="285"/>
      <c r="Q382" s="284"/>
      <c r="R382" s="781"/>
      <c r="S382" s="781"/>
      <c r="T382" s="781"/>
      <c r="U382" s="781"/>
      <c r="V382" s="289"/>
      <c r="W382" s="781"/>
      <c r="X382" s="781"/>
      <c r="Y382" s="781"/>
      <c r="Z382" s="781"/>
      <c r="AA382" s="781"/>
      <c r="AB382" s="781"/>
      <c r="AC382" s="289"/>
      <c r="AD382" s="285" t="s">
        <v>2664</v>
      </c>
      <c r="AE382" s="289"/>
      <c r="AF382" s="285"/>
      <c r="AG382" s="285"/>
      <c r="AH382" s="71"/>
      <c r="AI382" s="284" t="s">
        <v>2665</v>
      </c>
      <c r="AJ382" s="289"/>
      <c r="AK382" s="284" t="s">
        <v>2665</v>
      </c>
      <c r="AL382" s="289"/>
      <c r="AM382" s="289"/>
      <c r="AN382" s="289"/>
      <c r="AO382" s="289"/>
      <c r="AP382" s="879" t="str">
        <f>IF(AP112="","",AP112)</f>
        <v>Air Cooled AC VRF ($35/ton)
Air Cooled HP VRF ($50/ton)*
Water Cooled HP VRF ($100/ton)*</v>
      </c>
      <c r="AQ382" s="863"/>
      <c r="AR382" s="863"/>
      <c r="AS382" s="863"/>
      <c r="AT382" s="863"/>
      <c r="AU382" s="863"/>
      <c r="AV382" s="863"/>
      <c r="AW382" s="863"/>
      <c r="AX382" s="246"/>
      <c r="AY382" s="879" t="str">
        <f>IF(AY112="","",AY112)</f>
        <v>Air Cooled AC VRF ($55/ton)
Air Cooled HP VRF ($85/ton)*</v>
      </c>
      <c r="AZ382" s="863"/>
      <c r="BA382" s="863"/>
      <c r="BB382" s="863"/>
      <c r="BC382" s="863"/>
      <c r="BD382" s="863"/>
      <c r="BE382" s="863"/>
      <c r="BF382" s="863"/>
      <c r="BG382" s="246"/>
      <c r="BH382" s="736"/>
      <c r="BI382" s="736"/>
      <c r="BJ382" s="73"/>
      <c r="BK382" s="1"/>
      <c r="BL382" s="1"/>
      <c r="BM382" s="1"/>
      <c r="BN382" s="1"/>
      <c r="BO382" s="102"/>
      <c r="BP382" s="102"/>
      <c r="BQ382" s="102"/>
      <c r="BR382" s="102"/>
      <c r="BS382" s="102"/>
      <c r="BT382" s="102"/>
      <c r="BU382" s="102"/>
      <c r="BV382" s="102"/>
      <c r="BW382" s="102"/>
      <c r="BX382" s="102"/>
      <c r="BY382" s="102"/>
      <c r="BZ382" s="102"/>
      <c r="CA382" s="102"/>
      <c r="CB382" s="102"/>
      <c r="CC382" s="102"/>
      <c r="CD382" s="102"/>
      <c r="CE382" s="102"/>
      <c r="CF382" s="102"/>
      <c r="CG382" s="102"/>
      <c r="CH382" s="102"/>
      <c r="CI382" s="102"/>
      <c r="CJ382" s="102"/>
      <c r="CK382" s="102"/>
      <c r="CL382" s="102"/>
      <c r="CM382" s="102"/>
      <c r="CN382" s="102"/>
      <c r="CO382" s="102"/>
      <c r="CP382" s="102"/>
      <c r="CQ382" s="102"/>
      <c r="CR382" s="102"/>
      <c r="CS382" s="102"/>
      <c r="CT382" s="102"/>
      <c r="CU382" s="102"/>
      <c r="CV382" s="102"/>
      <c r="CW382" s="102"/>
      <c r="CX382" s="102"/>
      <c r="CY382" s="102"/>
      <c r="CZ382" s="102"/>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row>
    <row r="383" spans="1:178" ht="12.75" hidden="1" customHeight="1">
      <c r="A383" s="74"/>
      <c r="B383" s="287" t="str">
        <f>IF(B113="","",B113)</f>
        <v/>
      </c>
      <c r="C383" s="9"/>
      <c r="D383" s="287" t="str">
        <f>IF(D113="","",D113)</f>
        <v/>
      </c>
      <c r="E383" s="274"/>
      <c r="F383" s="883" t="str">
        <f>IF(F113="","",F113)</f>
        <v/>
      </c>
      <c r="G383" s="883"/>
      <c r="H383" s="883"/>
      <c r="I383" s="883"/>
      <c r="J383" s="883"/>
      <c r="K383" s="883"/>
      <c r="L383" s="883"/>
      <c r="M383" s="883"/>
      <c r="N383" s="883"/>
      <c r="O383" s="883"/>
      <c r="P383" s="883"/>
      <c r="Q383" s="284"/>
      <c r="R383" s="915" t="str">
        <f>IF(R113="","",R113)</f>
        <v/>
      </c>
      <c r="S383" s="915"/>
      <c r="T383" s="915"/>
      <c r="U383" s="915"/>
      <c r="V383" s="289"/>
      <c r="W383" s="915" t="str">
        <f>IF(W113="","",W113)</f>
        <v/>
      </c>
      <c r="X383" s="915"/>
      <c r="Y383" s="915"/>
      <c r="Z383" s="915"/>
      <c r="AA383" s="915"/>
      <c r="AB383" s="915"/>
      <c r="AC383" s="289"/>
      <c r="AD383" s="886" t="str">
        <f>IF(AD113="","",AD113)</f>
        <v/>
      </c>
      <c r="AE383" s="886"/>
      <c r="AF383" s="886"/>
      <c r="AG383" s="886"/>
      <c r="AH383" s="9"/>
      <c r="AI383" s="287" t="str">
        <f t="shared" ref="AI383:AL387" si="209">IF(AI113="","",AI113)</f>
        <v/>
      </c>
      <c r="AJ383" s="13" t="str">
        <f t="shared" si="209"/>
        <v/>
      </c>
      <c r="AK383" s="288" t="str">
        <f t="shared" si="209"/>
        <v/>
      </c>
      <c r="AL383" s="13" t="str">
        <f t="shared" si="209"/>
        <v/>
      </c>
      <c r="AM383" s="705"/>
      <c r="AN383" s="705"/>
      <c r="AO383" s="289"/>
      <c r="AP383" s="75" t="str">
        <f t="shared" ref="AP383:AS387" si="210">IF(AP113="","",AP113)</f>
        <v/>
      </c>
      <c r="AQ383" s="13" t="str">
        <f t="shared" si="210"/>
        <v/>
      </c>
      <c r="AR383" s="75" t="str">
        <f t="shared" si="210"/>
        <v/>
      </c>
      <c r="AS383" s="13" t="str">
        <f t="shared" si="210"/>
        <v/>
      </c>
      <c r="AT383" s="705"/>
      <c r="AU383" s="705"/>
      <c r="AV383" s="13"/>
      <c r="AW383" s="746" t="str">
        <f t="shared" ref="AW383:BE387" si="211">IF(AW113="","",AW113)</f>
        <v/>
      </c>
      <c r="AX383" s="746"/>
      <c r="AY383" s="75" t="str">
        <f t="shared" si="211"/>
        <v/>
      </c>
      <c r="AZ383" s="13" t="str">
        <f t="shared" si="211"/>
        <v/>
      </c>
      <c r="BA383" s="75" t="str">
        <f t="shared" si="211"/>
        <v/>
      </c>
      <c r="BB383" s="13" t="str">
        <f t="shared" si="211"/>
        <v/>
      </c>
      <c r="BC383" s="705"/>
      <c r="BD383" s="705"/>
      <c r="BE383" s="746" t="str">
        <f t="shared" si="211"/>
        <v/>
      </c>
      <c r="BF383" s="746"/>
      <c r="BG383" s="13" t="s">
        <v>142</v>
      </c>
      <c r="BH383" s="884" t="str">
        <f>IF(BH113="","",BH113)</f>
        <v/>
      </c>
      <c r="BI383" s="884"/>
      <c r="BJ383" s="590"/>
      <c r="BM383" s="23">
        <f>COUNTIF(AW382:AW387,"Qualified")+COUNTIF(BE382:BE387,"Qualified")</f>
        <v>0</v>
      </c>
      <c r="BO383" s="102"/>
      <c r="BP383" s="102"/>
      <c r="BQ383" s="102"/>
      <c r="BR383" s="102"/>
      <c r="BS383" s="102"/>
      <c r="BT383" s="102"/>
      <c r="BU383" s="102"/>
      <c r="BV383" s="102"/>
      <c r="BW383" s="102"/>
      <c r="BX383" s="102"/>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row>
    <row r="384" spans="1:178" ht="12.75" hidden="1" customHeight="1">
      <c r="A384" s="74"/>
      <c r="B384" s="288" t="str">
        <f>IF(B114="","",B114)</f>
        <v/>
      </c>
      <c r="C384" s="9"/>
      <c r="D384" s="288" t="str">
        <f>IF(D114="","",D114)</f>
        <v/>
      </c>
      <c r="E384" s="274"/>
      <c r="F384" s="925" t="str">
        <f>IF(F114="","",F114)</f>
        <v/>
      </c>
      <c r="G384" s="925"/>
      <c r="H384" s="925"/>
      <c r="I384" s="925"/>
      <c r="J384" s="925"/>
      <c r="K384" s="925"/>
      <c r="L384" s="925"/>
      <c r="M384" s="925"/>
      <c r="N384" s="925"/>
      <c r="O384" s="925"/>
      <c r="P384" s="925"/>
      <c r="Q384" s="284"/>
      <c r="R384" s="889" t="str">
        <f>IF(R114="","",R114)</f>
        <v/>
      </c>
      <c r="S384" s="889"/>
      <c r="T384" s="889"/>
      <c r="U384" s="889"/>
      <c r="V384" s="289"/>
      <c r="W384" s="889" t="str">
        <f>IF(W114="","",W114)</f>
        <v/>
      </c>
      <c r="X384" s="889"/>
      <c r="Y384" s="889"/>
      <c r="Z384" s="889"/>
      <c r="AA384" s="889"/>
      <c r="AB384" s="889"/>
      <c r="AC384" s="289"/>
      <c r="AD384" s="885" t="str">
        <f>IF(AD114="","",AD114)</f>
        <v/>
      </c>
      <c r="AE384" s="885"/>
      <c r="AF384" s="885"/>
      <c r="AG384" s="885"/>
      <c r="AH384" s="9"/>
      <c r="AI384" s="288" t="str">
        <f t="shared" si="209"/>
        <v/>
      </c>
      <c r="AJ384" s="13" t="str">
        <f t="shared" si="209"/>
        <v/>
      </c>
      <c r="AK384" s="288" t="str">
        <f t="shared" si="209"/>
        <v/>
      </c>
      <c r="AL384" s="13" t="str">
        <f t="shared" si="209"/>
        <v/>
      </c>
      <c r="AM384" s="705"/>
      <c r="AN384" s="705"/>
      <c r="AO384" s="289"/>
      <c r="AP384" s="75" t="str">
        <f t="shared" si="210"/>
        <v/>
      </c>
      <c r="AQ384" s="13" t="str">
        <f t="shared" si="210"/>
        <v/>
      </c>
      <c r="AR384" s="75" t="str">
        <f t="shared" si="210"/>
        <v/>
      </c>
      <c r="AS384" s="13" t="str">
        <f t="shared" si="210"/>
        <v/>
      </c>
      <c r="AT384" s="705"/>
      <c r="AU384" s="705"/>
      <c r="AV384" s="13"/>
      <c r="AW384" s="746" t="str">
        <f t="shared" si="211"/>
        <v/>
      </c>
      <c r="AX384" s="746"/>
      <c r="AY384" s="75" t="str">
        <f t="shared" si="211"/>
        <v/>
      </c>
      <c r="AZ384" s="13" t="str">
        <f t="shared" si="211"/>
        <v/>
      </c>
      <c r="BA384" s="75" t="str">
        <f t="shared" si="211"/>
        <v/>
      </c>
      <c r="BB384" s="13" t="str">
        <f t="shared" si="211"/>
        <v/>
      </c>
      <c r="BC384" s="705"/>
      <c r="BD384" s="705"/>
      <c r="BE384" s="746" t="str">
        <f t="shared" si="211"/>
        <v/>
      </c>
      <c r="BF384" s="746"/>
      <c r="BG384" s="13" t="s">
        <v>142</v>
      </c>
      <c r="BH384" s="884" t="str">
        <f>IF(BH114="","",BH114)</f>
        <v/>
      </c>
      <c r="BI384" s="884"/>
      <c r="BJ384" s="590"/>
      <c r="BO384" s="102"/>
      <c r="BP384" s="102"/>
      <c r="BQ384" s="102"/>
      <c r="BR384" s="102"/>
      <c r="BS384" s="102"/>
      <c r="BT384" s="102"/>
      <c r="BU384" s="102"/>
      <c r="BV384" s="102"/>
      <c r="BW384" s="102"/>
      <c r="BX384" s="102"/>
      <c r="BY384" s="94"/>
      <c r="BZ384" s="94"/>
      <c r="CA384" s="94"/>
      <c r="CB384" s="94"/>
      <c r="CC384" s="94"/>
      <c r="CD384" s="94"/>
      <c r="CE384" s="94"/>
      <c r="CF384" s="94"/>
      <c r="CG384" s="94"/>
      <c r="CH384" s="94"/>
      <c r="CI384" s="94"/>
      <c r="CJ384" s="94"/>
      <c r="CK384" s="94"/>
      <c r="CL384" s="94"/>
      <c r="CM384" s="94"/>
      <c r="CN384" s="94"/>
      <c r="CO384" s="94"/>
      <c r="CP384" s="94"/>
      <c r="CQ384" s="94"/>
      <c r="CR384" s="94"/>
      <c r="CS384" s="94"/>
      <c r="CT384" s="94"/>
      <c r="CU384" s="94"/>
      <c r="CV384" s="94"/>
      <c r="CW384" s="94"/>
      <c r="CX384" s="94"/>
      <c r="CY384" s="94"/>
      <c r="CZ384" s="94"/>
    </row>
    <row r="385" spans="1:104" ht="12.75" hidden="1">
      <c r="A385" s="74"/>
      <c r="B385" s="288" t="str">
        <f>IF(B115="","",B115)</f>
        <v/>
      </c>
      <c r="C385" s="9"/>
      <c r="D385" s="288" t="str">
        <f>IF(D115="","",D115)</f>
        <v/>
      </c>
      <c r="E385" s="274"/>
      <c r="F385" s="925" t="str">
        <f>IF(F115="","",F115)</f>
        <v/>
      </c>
      <c r="G385" s="925"/>
      <c r="H385" s="925"/>
      <c r="I385" s="925"/>
      <c r="J385" s="925"/>
      <c r="K385" s="925"/>
      <c r="L385" s="925"/>
      <c r="M385" s="925"/>
      <c r="N385" s="925"/>
      <c r="O385" s="925"/>
      <c r="P385" s="925"/>
      <c r="Q385" s="284"/>
      <c r="R385" s="889" t="str">
        <f>IF(R115="","",R115)</f>
        <v/>
      </c>
      <c r="S385" s="889"/>
      <c r="T385" s="889"/>
      <c r="U385" s="889"/>
      <c r="V385" s="289"/>
      <c r="W385" s="889" t="str">
        <f>IF(W115="","",W115)</f>
        <v/>
      </c>
      <c r="X385" s="889"/>
      <c r="Y385" s="889"/>
      <c r="Z385" s="889"/>
      <c r="AA385" s="889"/>
      <c r="AB385" s="889"/>
      <c r="AC385" s="289"/>
      <c r="AD385" s="885" t="str">
        <f>IF(AD115="","",AD115)</f>
        <v/>
      </c>
      <c r="AE385" s="885"/>
      <c r="AF385" s="885"/>
      <c r="AG385" s="885"/>
      <c r="AH385" s="9"/>
      <c r="AI385" s="288" t="str">
        <f t="shared" si="209"/>
        <v/>
      </c>
      <c r="AJ385" s="13" t="str">
        <f t="shared" si="209"/>
        <v/>
      </c>
      <c r="AK385" s="288" t="str">
        <f t="shared" si="209"/>
        <v/>
      </c>
      <c r="AL385" s="13" t="str">
        <f t="shared" si="209"/>
        <v/>
      </c>
      <c r="AM385" s="705"/>
      <c r="AN385" s="705"/>
      <c r="AO385" s="289"/>
      <c r="AP385" s="75" t="str">
        <f t="shared" si="210"/>
        <v/>
      </c>
      <c r="AQ385" s="13" t="str">
        <f t="shared" si="210"/>
        <v/>
      </c>
      <c r="AR385" s="75" t="str">
        <f t="shared" si="210"/>
        <v/>
      </c>
      <c r="AS385" s="13" t="str">
        <f t="shared" si="210"/>
        <v/>
      </c>
      <c r="AT385" s="705"/>
      <c r="AU385" s="705"/>
      <c r="AV385" s="13"/>
      <c r="AW385" s="746" t="str">
        <f t="shared" si="211"/>
        <v/>
      </c>
      <c r="AX385" s="746"/>
      <c r="AY385" s="75" t="str">
        <f t="shared" si="211"/>
        <v/>
      </c>
      <c r="AZ385" s="13" t="str">
        <f t="shared" si="211"/>
        <v/>
      </c>
      <c r="BA385" s="75" t="str">
        <f t="shared" si="211"/>
        <v/>
      </c>
      <c r="BB385" s="13" t="str">
        <f t="shared" si="211"/>
        <v/>
      </c>
      <c r="BC385" s="705"/>
      <c r="BD385" s="705"/>
      <c r="BE385" s="746" t="str">
        <f t="shared" si="211"/>
        <v/>
      </c>
      <c r="BF385" s="746"/>
      <c r="BG385" s="13" t="s">
        <v>142</v>
      </c>
      <c r="BH385" s="884" t="str">
        <f>IF(BH115="","",BH115)</f>
        <v/>
      </c>
      <c r="BI385" s="884"/>
      <c r="BJ385" s="590"/>
      <c r="BO385" s="102"/>
      <c r="BP385" s="102"/>
      <c r="BQ385" s="102"/>
      <c r="BR385" s="102"/>
      <c r="BS385" s="102"/>
      <c r="BT385" s="102"/>
      <c r="BU385" s="102"/>
      <c r="BV385" s="102"/>
      <c r="BW385" s="102"/>
      <c r="BX385" s="102"/>
      <c r="BY385" s="94"/>
      <c r="BZ385" s="94"/>
      <c r="CA385" s="94"/>
      <c r="CB385" s="94"/>
      <c r="CC385" s="94"/>
      <c r="CD385" s="94"/>
      <c r="CE385" s="94"/>
      <c r="CF385" s="94"/>
      <c r="CG385" s="94"/>
      <c r="CH385" s="94"/>
      <c r="CI385" s="94"/>
      <c r="CJ385" s="94"/>
      <c r="CK385" s="94"/>
      <c r="CL385" s="94"/>
      <c r="CM385" s="94"/>
      <c r="CN385" s="94"/>
      <c r="CO385" s="94"/>
      <c r="CP385" s="94"/>
      <c r="CQ385" s="94"/>
      <c r="CR385" s="94"/>
      <c r="CS385" s="94"/>
      <c r="CT385" s="94"/>
      <c r="CU385" s="94"/>
      <c r="CV385" s="94"/>
      <c r="CW385" s="94"/>
      <c r="CX385" s="94"/>
      <c r="CY385" s="94"/>
      <c r="CZ385" s="94"/>
    </row>
    <row r="386" spans="1:104" ht="12.75" hidden="1">
      <c r="A386" s="74"/>
      <c r="B386" s="288" t="str">
        <f>IF(B116="","",B116)</f>
        <v/>
      </c>
      <c r="C386" s="9"/>
      <c r="D386" s="288" t="str">
        <f>IF(D116="","",D116)</f>
        <v/>
      </c>
      <c r="E386" s="274"/>
      <c r="F386" s="925" t="str">
        <f>IF(F116="","",F116)</f>
        <v/>
      </c>
      <c r="G386" s="925"/>
      <c r="H386" s="925"/>
      <c r="I386" s="925"/>
      <c r="J386" s="925"/>
      <c r="K386" s="925"/>
      <c r="L386" s="925"/>
      <c r="M386" s="925"/>
      <c r="N386" s="925"/>
      <c r="O386" s="925"/>
      <c r="P386" s="925"/>
      <c r="Q386" s="284"/>
      <c r="R386" s="889" t="str">
        <f>IF(R116="","",R116)</f>
        <v/>
      </c>
      <c r="S386" s="889"/>
      <c r="T386" s="889"/>
      <c r="U386" s="889"/>
      <c r="V386" s="289"/>
      <c r="W386" s="889" t="str">
        <f>IF(W116="","",W116)</f>
        <v/>
      </c>
      <c r="X386" s="889"/>
      <c r="Y386" s="889"/>
      <c r="Z386" s="889"/>
      <c r="AA386" s="889"/>
      <c r="AB386" s="889"/>
      <c r="AC386" s="289"/>
      <c r="AD386" s="885" t="str">
        <f>IF(AD116="","",AD116)</f>
        <v/>
      </c>
      <c r="AE386" s="885"/>
      <c r="AF386" s="885"/>
      <c r="AG386" s="885"/>
      <c r="AH386" s="9"/>
      <c r="AI386" s="288" t="str">
        <f t="shared" si="209"/>
        <v/>
      </c>
      <c r="AJ386" s="13" t="str">
        <f t="shared" si="209"/>
        <v/>
      </c>
      <c r="AK386" s="288" t="str">
        <f t="shared" si="209"/>
        <v/>
      </c>
      <c r="AL386" s="13" t="str">
        <f t="shared" si="209"/>
        <v/>
      </c>
      <c r="AM386" s="705"/>
      <c r="AN386" s="705"/>
      <c r="AO386" s="289"/>
      <c r="AP386" s="75" t="str">
        <f t="shared" si="210"/>
        <v/>
      </c>
      <c r="AQ386" s="13" t="str">
        <f t="shared" si="210"/>
        <v/>
      </c>
      <c r="AR386" s="75" t="str">
        <f t="shared" si="210"/>
        <v/>
      </c>
      <c r="AS386" s="13" t="str">
        <f t="shared" si="210"/>
        <v/>
      </c>
      <c r="AT386" s="705"/>
      <c r="AU386" s="705"/>
      <c r="AV386" s="13"/>
      <c r="AW386" s="746" t="str">
        <f t="shared" si="211"/>
        <v/>
      </c>
      <c r="AX386" s="746"/>
      <c r="AY386" s="75" t="str">
        <f t="shared" si="211"/>
        <v/>
      </c>
      <c r="AZ386" s="13" t="str">
        <f t="shared" si="211"/>
        <v/>
      </c>
      <c r="BA386" s="75" t="str">
        <f t="shared" si="211"/>
        <v/>
      </c>
      <c r="BB386" s="13" t="str">
        <f t="shared" si="211"/>
        <v/>
      </c>
      <c r="BC386" s="705"/>
      <c r="BD386" s="705"/>
      <c r="BE386" s="746" t="str">
        <f t="shared" si="211"/>
        <v/>
      </c>
      <c r="BF386" s="746"/>
      <c r="BG386" s="13" t="s">
        <v>142</v>
      </c>
      <c r="BH386" s="884" t="str">
        <f>IF(BH116="","",BH116)</f>
        <v/>
      </c>
      <c r="BI386" s="884"/>
      <c r="BJ386" s="590"/>
      <c r="BO386" s="102"/>
      <c r="BP386" s="102"/>
      <c r="BQ386" s="102"/>
      <c r="BR386" s="102"/>
      <c r="BS386" s="102"/>
      <c r="BT386" s="102"/>
      <c r="BU386" s="102"/>
      <c r="BV386" s="102"/>
      <c r="BW386" s="102"/>
      <c r="BX386" s="102"/>
      <c r="BY386" s="94"/>
      <c r="BZ386" s="94"/>
      <c r="CA386" s="94"/>
      <c r="CB386" s="94"/>
      <c r="CC386" s="94"/>
      <c r="CD386" s="94"/>
      <c r="CE386" s="94"/>
      <c r="CF386" s="94"/>
      <c r="CG386" s="94"/>
      <c r="CH386" s="94"/>
      <c r="CI386" s="94"/>
      <c r="CJ386" s="94"/>
      <c r="CK386" s="94"/>
      <c r="CL386" s="94"/>
      <c r="CM386" s="94"/>
      <c r="CN386" s="94"/>
      <c r="CO386" s="94"/>
      <c r="CP386" s="94"/>
      <c r="CQ386" s="94"/>
      <c r="CR386" s="94"/>
      <c r="CS386" s="94"/>
      <c r="CT386" s="94"/>
      <c r="CU386" s="94"/>
      <c r="CV386" s="94"/>
      <c r="CW386" s="94"/>
      <c r="CX386" s="94"/>
      <c r="CY386" s="94"/>
      <c r="CZ386" s="94"/>
    </row>
    <row r="387" spans="1:104" ht="12.75" hidden="1">
      <c r="A387" s="74"/>
      <c r="B387" s="288" t="str">
        <f>IF(B117="","",B117)</f>
        <v/>
      </c>
      <c r="C387" s="9"/>
      <c r="D387" s="288" t="str">
        <f>IF(D117="","",D117)</f>
        <v/>
      </c>
      <c r="E387" s="274"/>
      <c r="F387" s="925" t="str">
        <f>IF(F117="","",F117)</f>
        <v/>
      </c>
      <c r="G387" s="925"/>
      <c r="H387" s="925"/>
      <c r="I387" s="925"/>
      <c r="J387" s="925"/>
      <c r="K387" s="925"/>
      <c r="L387" s="925"/>
      <c r="M387" s="925"/>
      <c r="N387" s="925"/>
      <c r="O387" s="925"/>
      <c r="P387" s="925"/>
      <c r="Q387" s="284"/>
      <c r="R387" s="889" t="str">
        <f>IF(R117="","",R117)</f>
        <v/>
      </c>
      <c r="S387" s="889"/>
      <c r="T387" s="889"/>
      <c r="U387" s="889"/>
      <c r="V387" s="289"/>
      <c r="W387" s="889" t="str">
        <f>IF(W117="","",W117)</f>
        <v/>
      </c>
      <c r="X387" s="889"/>
      <c r="Y387" s="889"/>
      <c r="Z387" s="889"/>
      <c r="AA387" s="889"/>
      <c r="AB387" s="889"/>
      <c r="AC387" s="289"/>
      <c r="AD387" s="885" t="str">
        <f>IF(AD117="","",AD117)</f>
        <v/>
      </c>
      <c r="AE387" s="885"/>
      <c r="AF387" s="885"/>
      <c r="AG387" s="885"/>
      <c r="AH387" s="9"/>
      <c r="AI387" s="288" t="str">
        <f t="shared" si="209"/>
        <v/>
      </c>
      <c r="AJ387" s="13" t="str">
        <f t="shared" si="209"/>
        <v/>
      </c>
      <c r="AK387" s="288" t="str">
        <f t="shared" si="209"/>
        <v/>
      </c>
      <c r="AL387" s="13" t="str">
        <f t="shared" si="209"/>
        <v/>
      </c>
      <c r="AM387" s="705"/>
      <c r="AN387" s="705"/>
      <c r="AO387" s="289"/>
      <c r="AP387" s="75" t="str">
        <f t="shared" si="210"/>
        <v/>
      </c>
      <c r="AQ387" s="13" t="str">
        <f t="shared" si="210"/>
        <v/>
      </c>
      <c r="AR387" s="75" t="str">
        <f t="shared" si="210"/>
        <v/>
      </c>
      <c r="AS387" s="13" t="str">
        <f t="shared" si="210"/>
        <v/>
      </c>
      <c r="AT387" s="705"/>
      <c r="AU387" s="705"/>
      <c r="AV387" s="13"/>
      <c r="AW387" s="746" t="str">
        <f t="shared" si="211"/>
        <v/>
      </c>
      <c r="AX387" s="746"/>
      <c r="AY387" s="75" t="str">
        <f t="shared" si="211"/>
        <v/>
      </c>
      <c r="AZ387" s="13" t="str">
        <f t="shared" si="211"/>
        <v/>
      </c>
      <c r="BA387" s="75" t="str">
        <f t="shared" si="211"/>
        <v/>
      </c>
      <c r="BB387" s="13" t="str">
        <f t="shared" si="211"/>
        <v/>
      </c>
      <c r="BC387" s="705"/>
      <c r="BD387" s="705"/>
      <c r="BE387" s="746" t="str">
        <f t="shared" si="211"/>
        <v/>
      </c>
      <c r="BF387" s="746"/>
      <c r="BG387" s="13" t="s">
        <v>142</v>
      </c>
      <c r="BH387" s="884" t="str">
        <f>IF(BH117="","",BH117)</f>
        <v/>
      </c>
      <c r="BI387" s="884"/>
      <c r="BJ387" s="590"/>
      <c r="BO387" s="102"/>
      <c r="BP387" s="102"/>
      <c r="BQ387" s="102"/>
      <c r="BR387" s="102"/>
      <c r="BS387" s="102"/>
      <c r="BT387" s="102"/>
      <c r="BU387" s="102"/>
      <c r="BV387" s="102"/>
      <c r="BW387" s="102"/>
      <c r="BX387" s="102"/>
      <c r="BY387" s="94"/>
      <c r="BZ387" s="94"/>
      <c r="CA387" s="94"/>
      <c r="CB387" s="94"/>
      <c r="CC387" s="94"/>
      <c r="CD387" s="94"/>
      <c r="CE387" s="94"/>
      <c r="CF387" s="94"/>
      <c r="CG387" s="94"/>
      <c r="CH387" s="94"/>
      <c r="CI387" s="94"/>
      <c r="CJ387" s="94"/>
      <c r="CK387" s="94"/>
      <c r="CL387" s="94"/>
      <c r="CM387" s="94"/>
      <c r="CN387" s="94"/>
      <c r="CO387" s="94"/>
      <c r="CP387" s="94"/>
      <c r="CQ387" s="94"/>
      <c r="CR387" s="94"/>
      <c r="CS387" s="94"/>
      <c r="CT387" s="94"/>
      <c r="CU387" s="94"/>
      <c r="CV387" s="94"/>
      <c r="CW387" s="94"/>
      <c r="CX387" s="94"/>
      <c r="CY387" s="94"/>
      <c r="CZ387" s="94"/>
    </row>
    <row r="388" spans="1:104" ht="12.75" hidden="1" customHeight="1" thickBot="1">
      <c r="A388" s="76"/>
      <c r="B388" s="275"/>
      <c r="C388" s="275"/>
      <c r="D388" s="275"/>
      <c r="E388" s="275"/>
      <c r="F388" s="276"/>
      <c r="G388" s="276"/>
      <c r="H388" s="276"/>
      <c r="I388" s="276"/>
      <c r="J388" s="276"/>
      <c r="K388" s="276"/>
      <c r="L388" s="276"/>
      <c r="M388" s="276"/>
      <c r="N388" s="276"/>
      <c r="O388" s="276"/>
      <c r="P388" s="276"/>
      <c r="Q388" s="276"/>
      <c r="R388" s="276"/>
      <c r="S388" s="276"/>
      <c r="T388" s="276"/>
      <c r="U388" s="275"/>
      <c r="V388" s="275"/>
      <c r="W388" s="276"/>
      <c r="X388" s="276"/>
      <c r="Y388" s="276"/>
      <c r="Z388" s="276"/>
      <c r="AA388" s="276"/>
      <c r="AB388" s="275"/>
      <c r="AC388" s="275"/>
      <c r="AD388" s="275"/>
      <c r="AE388" s="275"/>
      <c r="AF388" s="275"/>
      <c r="AG388" s="275"/>
      <c r="AH388" s="275"/>
      <c r="AI388" s="275"/>
      <c r="AJ388" s="275"/>
      <c r="AK388" s="275"/>
      <c r="AL388" s="275"/>
      <c r="AM388" s="275"/>
      <c r="AN388" s="275"/>
      <c r="AO388" s="275"/>
      <c r="AP388" s="275"/>
      <c r="AQ388" s="275"/>
      <c r="AR388" s="275"/>
      <c r="AS388" s="275"/>
      <c r="AT388" s="275"/>
      <c r="AU388" s="275"/>
      <c r="AV388" s="275"/>
      <c r="AW388" s="275"/>
      <c r="AX388" s="275"/>
      <c r="AY388" s="275"/>
      <c r="AZ388" s="275"/>
      <c r="BA388" s="275"/>
      <c r="BB388" s="275"/>
      <c r="BC388" s="275"/>
      <c r="BD388" s="275"/>
      <c r="BE388" s="275"/>
      <c r="BF388" s="275"/>
      <c r="BG388" s="276"/>
      <c r="BH388" s="276"/>
      <c r="BI388" s="275"/>
      <c r="BJ388" s="78"/>
      <c r="BO388" s="102"/>
      <c r="BP388" s="102"/>
      <c r="BQ388" s="102"/>
      <c r="BR388" s="102"/>
      <c r="BS388" s="102"/>
      <c r="BT388" s="102"/>
      <c r="BU388" s="102"/>
      <c r="BV388" s="102"/>
      <c r="BW388" s="102"/>
      <c r="BX388" s="102"/>
      <c r="BY388" s="94"/>
      <c r="BZ388" s="94"/>
      <c r="CA388" s="94"/>
      <c r="CB388" s="94"/>
      <c r="CC388" s="94"/>
      <c r="CD388" s="94"/>
      <c r="CE388" s="94"/>
      <c r="CF388" s="94"/>
      <c r="CG388" s="94"/>
      <c r="CH388" s="94"/>
      <c r="CI388" s="94"/>
      <c r="CJ388" s="94"/>
      <c r="CK388" s="94"/>
      <c r="CL388" s="94"/>
      <c r="CM388" s="94"/>
      <c r="CN388" s="94"/>
      <c r="CO388" s="94"/>
      <c r="CP388" s="94"/>
      <c r="CQ388" s="94"/>
      <c r="CR388" s="94"/>
      <c r="CS388" s="94"/>
      <c r="CT388" s="94"/>
      <c r="CU388" s="94"/>
      <c r="CV388" s="94"/>
      <c r="CW388" s="94"/>
      <c r="CX388" s="94"/>
      <c r="CY388" s="94"/>
      <c r="CZ388" s="94"/>
    </row>
    <row r="389" spans="1:104" ht="12.75" hidden="1">
      <c r="B389" s="3"/>
      <c r="C389" s="3"/>
      <c r="D389" s="9"/>
      <c r="E389" s="9"/>
      <c r="F389" s="9"/>
      <c r="G389" s="9"/>
      <c r="H389" s="9"/>
      <c r="I389" s="9"/>
      <c r="J389" s="9"/>
      <c r="K389" s="9"/>
      <c r="L389" s="9"/>
      <c r="M389" s="9"/>
      <c r="N389" s="9"/>
      <c r="O389" s="9"/>
      <c r="P389" s="9"/>
      <c r="Q389" s="9"/>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79" t="str">
        <f>BF119</f>
        <v>A2 Incentive Total=</v>
      </c>
      <c r="BG389" s="13" t="s">
        <v>142</v>
      </c>
      <c r="BH389" s="884" t="str">
        <f>IF(BH119="","",BH119)</f>
        <v/>
      </c>
      <c r="BI389" s="884"/>
      <c r="BO389" s="102"/>
      <c r="BP389" s="102"/>
      <c r="BQ389" s="102"/>
      <c r="BR389" s="102"/>
      <c r="BS389" s="102"/>
      <c r="BT389" s="102"/>
      <c r="BU389" s="102"/>
      <c r="BV389" s="102"/>
      <c r="BW389" s="102"/>
      <c r="BX389" s="102"/>
      <c r="BY389" s="94"/>
      <c r="BZ389" s="94"/>
      <c r="CA389" s="94"/>
      <c r="CB389" s="94"/>
      <c r="CC389" s="94"/>
      <c r="CD389" s="94"/>
      <c r="CE389" s="94"/>
      <c r="CF389" s="94"/>
      <c r="CG389" s="94"/>
      <c r="CH389" s="94"/>
      <c r="CI389" s="94"/>
      <c r="CJ389" s="94"/>
      <c r="CK389" s="94"/>
      <c r="CL389" s="94"/>
      <c r="CM389" s="94"/>
      <c r="CN389" s="94"/>
      <c r="CO389" s="94"/>
      <c r="CP389" s="94"/>
      <c r="CQ389" s="94"/>
      <c r="CR389" s="94"/>
      <c r="CS389" s="94"/>
      <c r="CT389" s="94"/>
      <c r="CU389" s="94"/>
      <c r="CV389" s="94"/>
      <c r="CW389" s="94"/>
      <c r="CX389" s="94"/>
      <c r="CY389" s="94"/>
      <c r="CZ389" s="94"/>
    </row>
    <row r="390" spans="1:104" ht="12.75" hidden="1">
      <c r="B390" s="3"/>
      <c r="C390" s="3"/>
      <c r="D390" s="9"/>
      <c r="E390" s="9"/>
      <c r="F390" s="9"/>
      <c r="G390" s="9"/>
      <c r="H390" s="9"/>
      <c r="I390" s="9"/>
      <c r="J390" s="9"/>
      <c r="K390" s="9"/>
      <c r="L390" s="9"/>
      <c r="M390" s="9"/>
      <c r="N390" s="9"/>
      <c r="O390" s="9"/>
      <c r="P390" s="9"/>
      <c r="Q390" s="9"/>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79"/>
      <c r="BG390" s="3"/>
      <c r="BH390" s="268"/>
      <c r="BI390" s="268"/>
      <c r="BO390" s="102"/>
      <c r="BP390" s="102"/>
      <c r="BQ390" s="102"/>
      <c r="BR390" s="102"/>
      <c r="BS390" s="102"/>
      <c r="BT390" s="102"/>
      <c r="BU390" s="102"/>
      <c r="BV390" s="102"/>
      <c r="BW390" s="102"/>
      <c r="BX390" s="102"/>
      <c r="BY390" s="94"/>
      <c r="BZ390" s="94"/>
      <c r="CA390" s="94"/>
      <c r="CB390" s="94"/>
      <c r="CC390" s="94"/>
      <c r="CD390" s="94"/>
      <c r="CE390" s="94"/>
      <c r="CF390" s="94"/>
      <c r="CG390" s="94"/>
      <c r="CH390" s="94"/>
      <c r="CI390" s="94"/>
      <c r="CJ390" s="94"/>
      <c r="CK390" s="94"/>
      <c r="CL390" s="94"/>
      <c r="CM390" s="94"/>
      <c r="CN390" s="94"/>
      <c r="CO390" s="94"/>
      <c r="CP390" s="94"/>
      <c r="CQ390" s="94"/>
      <c r="CR390" s="94"/>
      <c r="CS390" s="94"/>
      <c r="CT390" s="94"/>
      <c r="CU390" s="94"/>
      <c r="CV390" s="94"/>
      <c r="CW390" s="94"/>
      <c r="CX390" s="94"/>
      <c r="CY390" s="94"/>
      <c r="CZ390" s="94"/>
    </row>
    <row r="391" spans="1:104" ht="16.5" thickBot="1">
      <c r="A391" s="80" t="str">
        <f>A121</f>
        <v>A3R- Efficient Chillers*</v>
      </c>
      <c r="BG391" s="77"/>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94"/>
      <c r="CJ391" s="94"/>
      <c r="CK391" s="94"/>
      <c r="CL391" s="94"/>
      <c r="CM391" s="94"/>
      <c r="CN391" s="94"/>
      <c r="CO391" s="94"/>
      <c r="CP391" s="94"/>
      <c r="CQ391" s="94"/>
      <c r="CR391" s="94"/>
      <c r="CS391" s="94"/>
      <c r="CT391" s="94"/>
      <c r="CU391" s="94"/>
      <c r="CV391" s="94"/>
      <c r="CW391" s="94"/>
      <c r="CX391" s="94"/>
      <c r="CY391" s="94"/>
      <c r="CZ391" s="94"/>
    </row>
    <row r="392" spans="1:104" ht="12.75" customHeight="1">
      <c r="A392" s="214"/>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591"/>
      <c r="AQ392" s="591"/>
      <c r="AR392" s="591"/>
      <c r="AS392" s="591"/>
      <c r="AT392" s="591"/>
      <c r="AU392" s="591"/>
      <c r="AV392" s="591"/>
      <c r="AW392" s="591"/>
      <c r="AX392" s="591"/>
      <c r="AY392" s="591"/>
      <c r="AZ392" s="591"/>
      <c r="BA392" s="591"/>
      <c r="BB392" s="591"/>
      <c r="BC392" s="591"/>
      <c r="BD392" s="591"/>
      <c r="BE392" s="591"/>
      <c r="BF392" s="21"/>
      <c r="BH392" s="888" t="str">
        <f>IF(BG122="","",BG122)</f>
        <v>Incentive
(tons x $60 or $110)</v>
      </c>
      <c r="BI392" s="888"/>
      <c r="BJ392" s="269"/>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94"/>
      <c r="CJ392" s="94"/>
      <c r="CK392" s="94"/>
      <c r="CL392" s="94"/>
      <c r="CM392" s="94"/>
      <c r="CN392" s="94"/>
      <c r="CO392" s="94"/>
      <c r="CP392" s="94"/>
      <c r="CQ392" s="94"/>
      <c r="CR392" s="94"/>
      <c r="CS392" s="94"/>
      <c r="CT392" s="94"/>
      <c r="CU392" s="94"/>
      <c r="CV392" s="94"/>
      <c r="CW392" s="94"/>
      <c r="CX392" s="94"/>
      <c r="CY392" s="94"/>
      <c r="CZ392" s="94"/>
    </row>
    <row r="393" spans="1:104" ht="12.75" customHeight="1">
      <c r="A393" s="74"/>
      <c r="AP393" s="847" t="s">
        <v>2655</v>
      </c>
      <c r="AQ393" s="847"/>
      <c r="AR393" s="847"/>
      <c r="AS393" s="847"/>
      <c r="AT393" s="847"/>
      <c r="AU393" s="847"/>
      <c r="AV393" s="847"/>
      <c r="AW393" s="847"/>
      <c r="AX393" s="847"/>
      <c r="AY393" s="847"/>
      <c r="AZ393" s="847"/>
      <c r="BA393" s="847"/>
      <c r="BB393" s="847"/>
      <c r="BC393" s="847"/>
      <c r="BD393" s="847"/>
      <c r="BE393" s="847"/>
      <c r="BG393" s="512"/>
      <c r="BH393" s="736"/>
      <c r="BI393" s="736"/>
      <c r="BJ393" s="227"/>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94"/>
      <c r="CJ393" s="94"/>
      <c r="CK393" s="94"/>
      <c r="CL393" s="94"/>
      <c r="CM393" s="94"/>
      <c r="CN393" s="94"/>
      <c r="CO393" s="94"/>
      <c r="CP393" s="94"/>
      <c r="CQ393" s="94"/>
      <c r="CR393" s="94"/>
      <c r="CS393" s="94"/>
      <c r="CT393" s="94"/>
      <c r="CU393" s="94"/>
      <c r="CV393" s="94"/>
      <c r="CW393" s="94"/>
      <c r="CX393" s="94"/>
      <c r="CY393" s="94"/>
      <c r="CZ393" s="94"/>
    </row>
    <row r="394" spans="1:104" ht="12.75" customHeight="1">
      <c r="A394" s="74"/>
      <c r="AO394" s="10"/>
      <c r="AP394" s="736" t="s">
        <v>2742</v>
      </c>
      <c r="AQ394" s="736"/>
      <c r="AR394" s="10"/>
      <c r="AS394" s="10"/>
      <c r="AT394" s="704"/>
      <c r="AU394" s="704"/>
      <c r="AV394" s="10"/>
      <c r="AW394" s="13"/>
      <c r="AY394" s="736" t="s">
        <v>2743</v>
      </c>
      <c r="AZ394" s="736"/>
      <c r="BA394" s="10"/>
      <c r="BB394" s="10"/>
      <c r="BC394" s="704"/>
      <c r="BD394" s="704"/>
      <c r="BE394" s="10"/>
      <c r="BF394" s="10"/>
      <c r="BG394" s="512"/>
      <c r="BH394" s="736"/>
      <c r="BI394" s="736"/>
      <c r="BJ394" s="227"/>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94"/>
      <c r="CJ394" s="94"/>
      <c r="CK394" s="94"/>
      <c r="CL394" s="94"/>
      <c r="CM394" s="94"/>
      <c r="CN394" s="94"/>
      <c r="CO394" s="94"/>
      <c r="CP394" s="94"/>
      <c r="CQ394" s="94"/>
      <c r="CR394" s="94"/>
      <c r="CS394" s="94"/>
      <c r="CT394" s="94"/>
      <c r="CU394" s="94"/>
      <c r="CV394" s="94"/>
      <c r="CW394" s="94"/>
      <c r="CX394" s="94"/>
      <c r="CY394" s="94"/>
      <c r="CZ394" s="94"/>
    </row>
    <row r="395" spans="1:104" ht="12.75" customHeight="1">
      <c r="A395" s="69"/>
      <c r="B395" s="13" t="s">
        <v>2661</v>
      </c>
      <c r="C395" s="412"/>
      <c r="D395" s="13" t="s">
        <v>2662</v>
      </c>
      <c r="E395" s="592"/>
      <c r="F395" s="246" t="s">
        <v>2744</v>
      </c>
      <c r="G395" s="246"/>
      <c r="H395" s="246"/>
      <c r="I395" s="246"/>
      <c r="J395" s="246"/>
      <c r="K395" s="246"/>
      <c r="L395" s="246"/>
      <c r="M395" s="246"/>
      <c r="N395" s="246"/>
      <c r="O395" s="246"/>
      <c r="P395" s="246"/>
      <c r="Q395" s="246"/>
      <c r="R395" s="246"/>
      <c r="S395" s="13"/>
      <c r="T395" s="13"/>
      <c r="U395" s="281"/>
      <c r="V395" s="281"/>
      <c r="W395" s="281"/>
      <c r="X395" s="281"/>
      <c r="Y395" s="281"/>
      <c r="Z395" s="281"/>
      <c r="AA395" s="281"/>
      <c r="AB395" s="281"/>
      <c r="AC395" s="281"/>
      <c r="AD395" s="246" t="s">
        <v>2664</v>
      </c>
      <c r="AE395" s="281"/>
      <c r="AF395" s="281"/>
      <c r="AG395" s="413"/>
      <c r="AH395" s="413"/>
      <c r="AI395" s="13" t="s">
        <v>2665</v>
      </c>
      <c r="AJ395" s="413"/>
      <c r="AK395" s="413"/>
      <c r="AL395" s="413"/>
      <c r="AM395" s="413"/>
      <c r="AN395" s="413"/>
      <c r="AO395" s="10"/>
      <c r="AP395" s="736"/>
      <c r="AQ395" s="736"/>
      <c r="AR395" s="10"/>
      <c r="AS395" s="10"/>
      <c r="AT395" s="704"/>
      <c r="AU395" s="704"/>
      <c r="AV395" s="10"/>
      <c r="AW395" s="13"/>
      <c r="AX395" s="10"/>
      <c r="AY395" s="736"/>
      <c r="AZ395" s="736"/>
      <c r="BA395" s="10"/>
      <c r="BB395" s="10"/>
      <c r="BC395" s="704"/>
      <c r="BD395" s="704"/>
      <c r="BE395" s="10"/>
      <c r="BF395" s="10"/>
      <c r="BG395" s="512"/>
      <c r="BH395" s="736"/>
      <c r="BI395" s="736"/>
      <c r="BJ395" s="270"/>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94"/>
      <c r="CJ395" s="94"/>
      <c r="CK395" s="94"/>
      <c r="CL395" s="94"/>
      <c r="CM395" s="94"/>
      <c r="CN395" s="94"/>
      <c r="CO395" s="94"/>
      <c r="CP395" s="94"/>
      <c r="CQ395" s="94"/>
      <c r="CR395" s="94"/>
      <c r="CS395" s="94"/>
      <c r="CT395" s="94"/>
      <c r="CU395" s="94"/>
      <c r="CV395" s="94"/>
      <c r="CW395" s="94"/>
      <c r="CX395" s="94"/>
      <c r="CY395" s="94"/>
      <c r="CZ395" s="94"/>
    </row>
    <row r="396" spans="1:104" ht="12.75">
      <c r="A396" s="74"/>
      <c r="B396" s="287" t="str">
        <f>IF(B126="","",B126)</f>
        <v/>
      </c>
      <c r="C396" s="9"/>
      <c r="D396" s="287" t="str">
        <f>IF(D126="","",D126)</f>
        <v/>
      </c>
      <c r="E396" s="3"/>
      <c r="F396" s="883" t="str">
        <f>IF(F126="","",F126)</f>
        <v/>
      </c>
      <c r="G396" s="883"/>
      <c r="H396" s="883"/>
      <c r="I396" s="883"/>
      <c r="J396" s="883"/>
      <c r="K396" s="883"/>
      <c r="L396" s="883"/>
      <c r="M396" s="883"/>
      <c r="N396" s="883"/>
      <c r="O396" s="883"/>
      <c r="P396" s="883"/>
      <c r="Q396" s="883"/>
      <c r="R396" s="883"/>
      <c r="S396" s="883"/>
      <c r="T396" s="284"/>
      <c r="U396" s="289"/>
      <c r="V396" s="289"/>
      <c r="W396" s="289"/>
      <c r="X396" s="289"/>
      <c r="Y396" s="289"/>
      <c r="Z396" s="289"/>
      <c r="AA396" s="289"/>
      <c r="AB396" s="289"/>
      <c r="AC396" s="289"/>
      <c r="AD396" s="883" t="str">
        <f>IF(AD126="","",AD126)</f>
        <v/>
      </c>
      <c r="AE396" s="883"/>
      <c r="AF396" s="883"/>
      <c r="AG396" s="883"/>
      <c r="AH396" s="71"/>
      <c r="AI396" s="287" t="str">
        <f t="shared" ref="AI396:AJ400" si="212">IF(AI126="","",AI126)</f>
        <v/>
      </c>
      <c r="AJ396" s="13" t="str">
        <f t="shared" si="212"/>
        <v/>
      </c>
      <c r="AK396" s="13"/>
      <c r="AL396" s="13"/>
      <c r="AM396" s="705"/>
      <c r="AN396" s="705"/>
      <c r="AO396" s="13"/>
      <c r="AP396" s="75" t="str">
        <f t="shared" ref="AP396:AR400" si="213">IF(AP126="","",AP126)</f>
        <v/>
      </c>
      <c r="AQ396" s="13" t="str">
        <f t="shared" si="213"/>
        <v/>
      </c>
      <c r="AR396" s="746" t="str">
        <f>IF(AR126="","",AR126)</f>
        <v/>
      </c>
      <c r="AS396" s="746"/>
      <c r="AT396" s="704"/>
      <c r="AU396" s="704"/>
      <c r="AV396" s="13"/>
      <c r="AY396" s="75" t="str">
        <f t="shared" ref="AY396:BA400" si="214">IF(AY126="","",AY126)</f>
        <v/>
      </c>
      <c r="AZ396" s="13" t="str">
        <f t="shared" si="214"/>
        <v/>
      </c>
      <c r="BA396" s="746" t="str">
        <f>IF(BA126="","",BA126)</f>
        <v/>
      </c>
      <c r="BB396" s="746"/>
      <c r="BC396" s="704"/>
      <c r="BD396" s="704"/>
      <c r="BG396" s="13" t="s">
        <v>142</v>
      </c>
      <c r="BH396" s="884" t="str">
        <f t="shared" ref="BH396:BI400" si="215">IF(BH126="","",BH126)</f>
        <v/>
      </c>
      <c r="BI396" s="884" t="str">
        <f t="shared" si="215"/>
        <v/>
      </c>
      <c r="BJ396" s="271"/>
      <c r="BM396" s="23">
        <f>COUNTIF(AR395:AR400,"Qualified")+COUNTIF(BA395:BA400,"Qualified")</f>
        <v>0</v>
      </c>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94"/>
      <c r="CJ396" s="94"/>
      <c r="CK396" s="94"/>
      <c r="CL396" s="94"/>
      <c r="CM396" s="94"/>
      <c r="CN396" s="94"/>
      <c r="CO396" s="94"/>
      <c r="CP396" s="94"/>
      <c r="CQ396" s="94"/>
      <c r="CR396" s="94"/>
      <c r="CS396" s="94"/>
      <c r="CT396" s="94"/>
      <c r="CU396" s="94"/>
      <c r="CV396" s="94"/>
      <c r="CW396" s="94"/>
      <c r="CX396" s="94"/>
      <c r="CY396" s="94"/>
      <c r="CZ396" s="94"/>
    </row>
    <row r="397" spans="1:104" ht="12.75" customHeight="1">
      <c r="A397" s="74"/>
      <c r="B397" s="288" t="str">
        <f>IF(B127="","",B127)</f>
        <v/>
      </c>
      <c r="C397" s="9"/>
      <c r="D397" s="288" t="str">
        <f>IF(D127="","",D127)</f>
        <v/>
      </c>
      <c r="E397" s="3"/>
      <c r="F397" s="925" t="str">
        <f>IF(F127="","",F127)</f>
        <v/>
      </c>
      <c r="G397" s="925"/>
      <c r="H397" s="925"/>
      <c r="I397" s="925"/>
      <c r="J397" s="925"/>
      <c r="K397" s="925"/>
      <c r="L397" s="925"/>
      <c r="M397" s="925"/>
      <c r="N397" s="925"/>
      <c r="O397" s="925"/>
      <c r="P397" s="925"/>
      <c r="Q397" s="925"/>
      <c r="R397" s="925"/>
      <c r="S397" s="925"/>
      <c r="T397" s="284"/>
      <c r="U397" s="289"/>
      <c r="V397" s="289"/>
      <c r="W397" s="289"/>
      <c r="X397" s="289"/>
      <c r="Y397" s="289"/>
      <c r="Z397" s="289"/>
      <c r="AA397" s="289"/>
      <c r="AB397" s="289"/>
      <c r="AC397" s="289"/>
      <c r="AD397" s="925" t="str">
        <f>IF(AD127="","",AD127)</f>
        <v/>
      </c>
      <c r="AE397" s="925"/>
      <c r="AF397" s="925"/>
      <c r="AG397" s="925"/>
      <c r="AH397" s="71"/>
      <c r="AI397" s="288" t="str">
        <f t="shared" si="212"/>
        <v/>
      </c>
      <c r="AJ397" s="13" t="str">
        <f t="shared" si="212"/>
        <v/>
      </c>
      <c r="AK397" s="13"/>
      <c r="AL397" s="13"/>
      <c r="AM397" s="705"/>
      <c r="AN397" s="705"/>
      <c r="AO397" s="13"/>
      <c r="AP397" s="75" t="str">
        <f t="shared" si="213"/>
        <v/>
      </c>
      <c r="AQ397" s="13" t="str">
        <f t="shared" si="213"/>
        <v/>
      </c>
      <c r="AR397" s="746" t="str">
        <f t="shared" si="213"/>
        <v/>
      </c>
      <c r="AS397" s="746"/>
      <c r="AT397" s="704"/>
      <c r="AU397" s="704"/>
      <c r="AV397" s="13"/>
      <c r="AY397" s="75" t="str">
        <f t="shared" si="214"/>
        <v/>
      </c>
      <c r="AZ397" s="13" t="str">
        <f t="shared" si="214"/>
        <v/>
      </c>
      <c r="BA397" s="746" t="str">
        <f t="shared" si="214"/>
        <v/>
      </c>
      <c r="BB397" s="746"/>
      <c r="BC397" s="704"/>
      <c r="BD397" s="704"/>
      <c r="BG397" s="13" t="s">
        <v>142</v>
      </c>
      <c r="BH397" s="884" t="str">
        <f t="shared" si="215"/>
        <v/>
      </c>
      <c r="BI397" s="884" t="str">
        <f t="shared" si="215"/>
        <v/>
      </c>
      <c r="BJ397" s="271"/>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94"/>
      <c r="CJ397" s="94"/>
      <c r="CK397" s="94"/>
      <c r="CL397" s="94"/>
      <c r="CM397" s="94"/>
      <c r="CN397" s="94"/>
      <c r="CO397" s="94"/>
      <c r="CP397" s="94"/>
      <c r="CQ397" s="94"/>
      <c r="CR397" s="94"/>
      <c r="CS397" s="94"/>
      <c r="CT397" s="94"/>
      <c r="CU397" s="94"/>
      <c r="CV397" s="94"/>
      <c r="CW397" s="94"/>
      <c r="CX397" s="94"/>
      <c r="CY397" s="94"/>
      <c r="CZ397" s="94"/>
    </row>
    <row r="398" spans="1:104" ht="12.75">
      <c r="A398" s="74"/>
      <c r="B398" s="288" t="str">
        <f>IF(B128="","",B128)</f>
        <v/>
      </c>
      <c r="C398" s="9"/>
      <c r="D398" s="288" t="str">
        <f>IF(D128="","",D128)</f>
        <v/>
      </c>
      <c r="E398" s="3"/>
      <c r="F398" s="925" t="str">
        <f>IF(F128="","",F128)</f>
        <v/>
      </c>
      <c r="G398" s="925"/>
      <c r="H398" s="925"/>
      <c r="I398" s="925"/>
      <c r="J398" s="925"/>
      <c r="K398" s="925"/>
      <c r="L398" s="925"/>
      <c r="M398" s="925"/>
      <c r="N398" s="925"/>
      <c r="O398" s="925"/>
      <c r="P398" s="925"/>
      <c r="Q398" s="925"/>
      <c r="R398" s="925"/>
      <c r="S398" s="925"/>
      <c r="T398" s="284"/>
      <c r="U398" s="289"/>
      <c r="V398" s="289"/>
      <c r="W398" s="289"/>
      <c r="X398" s="289"/>
      <c r="Y398" s="289"/>
      <c r="Z398" s="289"/>
      <c r="AA398" s="289"/>
      <c r="AB398" s="289"/>
      <c r="AC398" s="289"/>
      <c r="AD398" s="925" t="str">
        <f>IF(AD128="","",AD128)</f>
        <v/>
      </c>
      <c r="AE398" s="925"/>
      <c r="AF398" s="925"/>
      <c r="AG398" s="925"/>
      <c r="AH398" s="71"/>
      <c r="AI398" s="288" t="str">
        <f t="shared" si="212"/>
        <v/>
      </c>
      <c r="AJ398" s="13" t="str">
        <f t="shared" si="212"/>
        <v/>
      </c>
      <c r="AK398" s="13"/>
      <c r="AL398" s="13"/>
      <c r="AM398" s="705"/>
      <c r="AN398" s="705"/>
      <c r="AO398" s="13"/>
      <c r="AP398" s="75" t="str">
        <f t="shared" si="213"/>
        <v/>
      </c>
      <c r="AQ398" s="13" t="str">
        <f t="shared" si="213"/>
        <v/>
      </c>
      <c r="AR398" s="746" t="str">
        <f t="shared" si="213"/>
        <v/>
      </c>
      <c r="AS398" s="746"/>
      <c r="AT398" s="704"/>
      <c r="AU398" s="704"/>
      <c r="AV398" s="13"/>
      <c r="AY398" s="75" t="str">
        <f t="shared" si="214"/>
        <v/>
      </c>
      <c r="AZ398" s="13" t="str">
        <f t="shared" si="214"/>
        <v/>
      </c>
      <c r="BA398" s="746" t="str">
        <f t="shared" si="214"/>
        <v/>
      </c>
      <c r="BB398" s="746"/>
      <c r="BC398" s="704"/>
      <c r="BD398" s="704"/>
      <c r="BG398" s="13" t="s">
        <v>142</v>
      </c>
      <c r="BH398" s="884" t="str">
        <f t="shared" si="215"/>
        <v/>
      </c>
      <c r="BI398" s="884" t="str">
        <f t="shared" si="215"/>
        <v/>
      </c>
      <c r="BJ398" s="271"/>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94"/>
      <c r="CJ398" s="94"/>
      <c r="CK398" s="94"/>
      <c r="CL398" s="94"/>
      <c r="CM398" s="94"/>
      <c r="CN398" s="94"/>
      <c r="CO398" s="94"/>
      <c r="CP398" s="94"/>
      <c r="CQ398" s="94"/>
      <c r="CR398" s="94"/>
      <c r="CS398" s="94"/>
      <c r="CT398" s="94"/>
      <c r="CU398" s="94"/>
      <c r="CV398" s="94"/>
      <c r="CW398" s="94"/>
      <c r="CX398" s="94"/>
      <c r="CY398" s="94"/>
      <c r="CZ398" s="94"/>
    </row>
    <row r="399" spans="1:104" ht="12.75">
      <c r="A399" s="74"/>
      <c r="B399" s="288" t="str">
        <f>IF(B129="","",B129)</f>
        <v/>
      </c>
      <c r="C399" s="9"/>
      <c r="D399" s="288" t="str">
        <f>IF(D129="","",D129)</f>
        <v/>
      </c>
      <c r="E399" s="3"/>
      <c r="F399" s="925" t="str">
        <f>IF(F129="","",F129)</f>
        <v/>
      </c>
      <c r="G399" s="925"/>
      <c r="H399" s="925"/>
      <c r="I399" s="925"/>
      <c r="J399" s="925"/>
      <c r="K399" s="925"/>
      <c r="L399" s="925"/>
      <c r="M399" s="925"/>
      <c r="N399" s="925"/>
      <c r="O399" s="925"/>
      <c r="P399" s="925"/>
      <c r="Q399" s="925"/>
      <c r="R399" s="925"/>
      <c r="S399" s="925"/>
      <c r="T399" s="284"/>
      <c r="U399" s="289"/>
      <c r="V399" s="289"/>
      <c r="W399" s="289"/>
      <c r="X399" s="289"/>
      <c r="Y399" s="289"/>
      <c r="Z399" s="289"/>
      <c r="AA399" s="289"/>
      <c r="AB399" s="289"/>
      <c r="AC399" s="289"/>
      <c r="AD399" s="925" t="str">
        <f>IF(AD129="","",AD129)</f>
        <v/>
      </c>
      <c r="AE399" s="925"/>
      <c r="AF399" s="925"/>
      <c r="AG399" s="925"/>
      <c r="AH399" s="71"/>
      <c r="AI399" s="288" t="str">
        <f t="shared" si="212"/>
        <v/>
      </c>
      <c r="AJ399" s="13" t="str">
        <f t="shared" si="212"/>
        <v/>
      </c>
      <c r="AK399" s="13"/>
      <c r="AL399" s="13"/>
      <c r="AM399" s="705"/>
      <c r="AN399" s="705"/>
      <c r="AO399" s="13"/>
      <c r="AP399" s="75" t="str">
        <f t="shared" si="213"/>
        <v/>
      </c>
      <c r="AQ399" s="13" t="str">
        <f t="shared" si="213"/>
        <v/>
      </c>
      <c r="AR399" s="746" t="str">
        <f t="shared" si="213"/>
        <v/>
      </c>
      <c r="AS399" s="746"/>
      <c r="AT399" s="704"/>
      <c r="AU399" s="704"/>
      <c r="AV399" s="13"/>
      <c r="AY399" s="75" t="str">
        <f t="shared" si="214"/>
        <v/>
      </c>
      <c r="AZ399" s="13" t="str">
        <f t="shared" si="214"/>
        <v/>
      </c>
      <c r="BA399" s="746" t="str">
        <f t="shared" si="214"/>
        <v/>
      </c>
      <c r="BB399" s="746"/>
      <c r="BC399" s="704"/>
      <c r="BD399" s="704"/>
      <c r="BG399" s="13" t="s">
        <v>142</v>
      </c>
      <c r="BH399" s="884" t="str">
        <f t="shared" si="215"/>
        <v/>
      </c>
      <c r="BI399" s="884" t="str">
        <f t="shared" si="215"/>
        <v/>
      </c>
      <c r="BJ399" s="271"/>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94"/>
      <c r="CJ399" s="94"/>
      <c r="CK399" s="94"/>
      <c r="CL399" s="94"/>
      <c r="CM399" s="94"/>
      <c r="CN399" s="94"/>
      <c r="CO399" s="94"/>
      <c r="CP399" s="94"/>
      <c r="CQ399" s="94"/>
      <c r="CR399" s="94"/>
      <c r="CS399" s="94"/>
      <c r="CT399" s="94"/>
      <c r="CU399" s="94"/>
      <c r="CV399" s="94"/>
      <c r="CW399" s="94"/>
      <c r="CX399" s="94"/>
      <c r="CY399" s="94"/>
      <c r="CZ399" s="94"/>
    </row>
    <row r="400" spans="1:104" ht="12.75">
      <c r="A400" s="74"/>
      <c r="B400" s="288" t="str">
        <f>IF(B130="","",B130)</f>
        <v/>
      </c>
      <c r="C400" s="9"/>
      <c r="D400" s="288" t="str">
        <f>IF(D130="","",D130)</f>
        <v/>
      </c>
      <c r="E400" s="3"/>
      <c r="F400" s="925" t="str">
        <f>IF(F130="","",F130)</f>
        <v/>
      </c>
      <c r="G400" s="925"/>
      <c r="H400" s="925"/>
      <c r="I400" s="925"/>
      <c r="J400" s="925"/>
      <c r="K400" s="925"/>
      <c r="L400" s="925"/>
      <c r="M400" s="925"/>
      <c r="N400" s="925"/>
      <c r="O400" s="925"/>
      <c r="P400" s="925"/>
      <c r="Q400" s="925"/>
      <c r="R400" s="925"/>
      <c r="S400" s="925"/>
      <c r="T400" s="284"/>
      <c r="U400" s="289"/>
      <c r="V400" s="289"/>
      <c r="W400" s="289"/>
      <c r="X400" s="289"/>
      <c r="Y400" s="289"/>
      <c r="Z400" s="289"/>
      <c r="AA400" s="289"/>
      <c r="AB400" s="289"/>
      <c r="AC400" s="289"/>
      <c r="AD400" s="925" t="str">
        <f>IF(AD130="","",AD130)</f>
        <v/>
      </c>
      <c r="AE400" s="925"/>
      <c r="AF400" s="925"/>
      <c r="AG400" s="925"/>
      <c r="AH400" s="71"/>
      <c r="AI400" s="288" t="str">
        <f t="shared" si="212"/>
        <v/>
      </c>
      <c r="AJ400" s="13" t="str">
        <f t="shared" si="212"/>
        <v/>
      </c>
      <c r="AK400" s="13"/>
      <c r="AL400" s="13"/>
      <c r="AM400" s="705"/>
      <c r="AN400" s="705"/>
      <c r="AO400" s="13"/>
      <c r="AP400" s="75" t="str">
        <f t="shared" si="213"/>
        <v/>
      </c>
      <c r="AQ400" s="13" t="str">
        <f t="shared" si="213"/>
        <v/>
      </c>
      <c r="AR400" s="746" t="str">
        <f t="shared" si="213"/>
        <v/>
      </c>
      <c r="AS400" s="746"/>
      <c r="AT400" s="704"/>
      <c r="AU400" s="704"/>
      <c r="AV400" s="13"/>
      <c r="AY400" s="75" t="str">
        <f t="shared" si="214"/>
        <v/>
      </c>
      <c r="AZ400" s="13" t="str">
        <f t="shared" si="214"/>
        <v/>
      </c>
      <c r="BA400" s="746" t="str">
        <f t="shared" si="214"/>
        <v/>
      </c>
      <c r="BB400" s="746"/>
      <c r="BC400" s="704"/>
      <c r="BD400" s="704"/>
      <c r="BG400" s="13" t="s">
        <v>142</v>
      </c>
      <c r="BH400" s="884" t="str">
        <f t="shared" si="215"/>
        <v/>
      </c>
      <c r="BI400" s="884" t="str">
        <f t="shared" si="215"/>
        <v/>
      </c>
      <c r="BJ400" s="271"/>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94"/>
      <c r="CJ400" s="94"/>
      <c r="CK400" s="94"/>
      <c r="CL400" s="94"/>
      <c r="CM400" s="94"/>
      <c r="CN400" s="94"/>
      <c r="CO400" s="94"/>
      <c r="CP400" s="94"/>
      <c r="CQ400" s="94"/>
      <c r="CR400" s="94"/>
      <c r="CS400" s="94"/>
      <c r="CT400" s="94"/>
      <c r="CU400" s="94"/>
      <c r="CV400" s="94"/>
      <c r="CW400" s="94"/>
      <c r="CX400" s="94"/>
      <c r="CY400" s="94"/>
      <c r="CZ400" s="94"/>
    </row>
    <row r="401" spans="1:104" ht="12.75" customHeight="1" thickBot="1">
      <c r="A401" s="76"/>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75"/>
      <c r="AE401" s="275"/>
      <c r="AF401" s="275"/>
      <c r="AG401" s="275"/>
      <c r="AH401" s="275"/>
      <c r="AI401" s="275"/>
      <c r="AJ401" s="275"/>
      <c r="AK401" s="275"/>
      <c r="AL401" s="275"/>
      <c r="AM401" s="275"/>
      <c r="AN401" s="275"/>
      <c r="AO401" s="275"/>
      <c r="AP401" s="275"/>
      <c r="AQ401" s="275"/>
      <c r="AR401" s="275"/>
      <c r="AS401" s="275"/>
      <c r="AT401" s="275"/>
      <c r="AU401" s="275"/>
      <c r="AV401" s="275"/>
      <c r="AW401" s="275"/>
      <c r="AX401" s="275"/>
      <c r="AY401" s="275"/>
      <c r="AZ401" s="275"/>
      <c r="BA401" s="275"/>
      <c r="BB401" s="275"/>
      <c r="BC401" s="275"/>
      <c r="BD401" s="275"/>
      <c r="BE401" s="275"/>
      <c r="BF401" s="275"/>
      <c r="BG401" s="275"/>
      <c r="BH401" s="275"/>
      <c r="BI401" s="277"/>
      <c r="BJ401" s="593"/>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94"/>
      <c r="CJ401" s="94"/>
      <c r="CK401" s="94"/>
      <c r="CL401" s="94"/>
      <c r="CM401" s="94"/>
      <c r="CN401" s="94"/>
      <c r="CO401" s="94"/>
      <c r="CP401" s="94"/>
      <c r="CQ401" s="94"/>
      <c r="CR401" s="94"/>
      <c r="CS401" s="94"/>
      <c r="CT401" s="94"/>
      <c r="CU401" s="94"/>
      <c r="CV401" s="94"/>
      <c r="CW401" s="94"/>
      <c r="CX401" s="94"/>
      <c r="CY401" s="94"/>
      <c r="CZ401" s="94"/>
    </row>
    <row r="402" spans="1:104" ht="14.25">
      <c r="B402" s="278" t="str">
        <f>B132</f>
        <v>* Indicates some incentives are available in Idaho only. Visit idahopower.com/multifamily to learn more.</v>
      </c>
      <c r="C402" s="3"/>
      <c r="D402" s="3"/>
      <c r="E402" s="3"/>
      <c r="F402" s="3"/>
      <c r="G402" s="3"/>
      <c r="H402" s="3"/>
      <c r="I402" s="3"/>
      <c r="J402" s="3"/>
      <c r="K402" s="3"/>
      <c r="L402" s="3"/>
      <c r="M402" s="3"/>
      <c r="N402" s="3"/>
      <c r="O402" s="3"/>
      <c r="P402" s="3"/>
      <c r="Q402" s="9"/>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79" t="s">
        <v>2753</v>
      </c>
      <c r="BG402" s="13" t="s">
        <v>142</v>
      </c>
      <c r="BH402" s="927" t="str">
        <f>IF(BH132="","",BH132)</f>
        <v/>
      </c>
      <c r="BI402" s="927"/>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94"/>
      <c r="CJ402" s="94"/>
      <c r="CK402" s="94"/>
      <c r="CL402" s="94"/>
      <c r="CM402" s="94"/>
      <c r="CN402" s="94"/>
      <c r="CO402" s="94"/>
      <c r="CP402" s="94"/>
      <c r="CQ402" s="94"/>
      <c r="CR402" s="94"/>
      <c r="CS402" s="94"/>
      <c r="CT402" s="94"/>
      <c r="CU402" s="94"/>
      <c r="CV402" s="94"/>
      <c r="CW402" s="94"/>
      <c r="CX402" s="94"/>
      <c r="CY402" s="94"/>
      <c r="CZ402" s="94"/>
    </row>
    <row r="403" spans="1:104" ht="14.25">
      <c r="A403" s="15" t="str">
        <f>Version</f>
        <v>MF (11/23)</v>
      </c>
      <c r="B403" s="272"/>
      <c r="Q403" s="592"/>
      <c r="R403" s="592"/>
      <c r="S403" s="592"/>
      <c r="T403" s="592"/>
      <c r="U403" s="592"/>
      <c r="V403" s="592"/>
      <c r="W403" s="592"/>
      <c r="X403" s="592"/>
      <c r="Y403" s="592"/>
      <c r="Z403" s="592"/>
      <c r="AA403" s="592"/>
      <c r="AB403" s="592"/>
      <c r="AC403" s="592"/>
      <c r="AD403" s="592"/>
      <c r="AE403" s="592"/>
      <c r="AF403" s="592"/>
      <c r="AG403" s="592"/>
      <c r="AH403" s="592"/>
      <c r="AI403" s="592"/>
      <c r="AJ403" s="592"/>
      <c r="AK403" s="592"/>
      <c r="AL403" s="592"/>
      <c r="AM403" s="592"/>
      <c r="AN403" s="592"/>
      <c r="AO403" s="592"/>
      <c r="AP403" s="592"/>
      <c r="AQ403" s="592"/>
      <c r="AR403" s="592"/>
      <c r="AS403" s="592"/>
      <c r="AT403" s="592"/>
      <c r="AU403" s="592"/>
      <c r="AV403" s="592"/>
      <c r="AW403" s="592"/>
      <c r="AX403" s="592"/>
      <c r="AY403" s="592"/>
      <c r="AZ403" s="592"/>
      <c r="BA403" s="592"/>
      <c r="BB403" s="592"/>
      <c r="BC403" s="592"/>
      <c r="BD403" s="592"/>
      <c r="BE403" s="592"/>
      <c r="BF403" s="592"/>
      <c r="BG403" s="592"/>
      <c r="BH403" s="592"/>
      <c r="BI403" s="592"/>
      <c r="BJ403" s="59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94"/>
      <c r="CJ403" s="94"/>
      <c r="CK403" s="94"/>
      <c r="CL403" s="94"/>
      <c r="CM403" s="94"/>
      <c r="CN403" s="94"/>
      <c r="CO403" s="94"/>
      <c r="CP403" s="94"/>
      <c r="CQ403" s="94"/>
      <c r="CR403" s="94"/>
      <c r="CS403" s="94"/>
      <c r="CT403" s="94"/>
      <c r="CU403" s="94"/>
      <c r="CV403" s="94"/>
      <c r="CW403" s="94"/>
      <c r="CX403" s="94"/>
      <c r="CY403" s="94"/>
      <c r="CZ403" s="94"/>
    </row>
    <row r="404" spans="1:104" ht="12.75" customHeight="1">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94"/>
      <c r="CJ404" s="94"/>
      <c r="CK404" s="94"/>
      <c r="CL404" s="94"/>
      <c r="CM404" s="94"/>
      <c r="CN404" s="94"/>
      <c r="CO404" s="94"/>
      <c r="CP404" s="94"/>
      <c r="CQ404" s="94"/>
      <c r="CR404" s="94"/>
      <c r="CS404" s="94"/>
      <c r="CT404" s="94"/>
      <c r="CU404" s="94"/>
      <c r="CV404" s="94"/>
      <c r="CW404" s="94"/>
      <c r="CX404" s="94"/>
      <c r="CY404" s="94"/>
      <c r="CZ404" s="94"/>
    </row>
    <row r="405" spans="1:104" ht="12.75" customHeight="1">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94"/>
      <c r="CJ405" s="94"/>
      <c r="CK405" s="94"/>
      <c r="CL405" s="94"/>
      <c r="CM405" s="94"/>
      <c r="CN405" s="94"/>
      <c r="CO405" s="94"/>
      <c r="CP405" s="94"/>
      <c r="CQ405" s="94"/>
      <c r="CR405" s="94"/>
      <c r="CS405" s="94"/>
      <c r="CT405" s="94"/>
      <c r="CU405" s="94"/>
      <c r="CV405" s="94"/>
      <c r="CW405" s="94"/>
      <c r="CX405" s="94"/>
      <c r="CY405" s="94"/>
      <c r="CZ405" s="94"/>
    </row>
    <row r="406" spans="1:104" ht="12.75" customHeigh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94"/>
      <c r="CJ406" s="94"/>
      <c r="CK406" s="94"/>
      <c r="CL406" s="94"/>
      <c r="CM406" s="94"/>
      <c r="CN406" s="94"/>
      <c r="CO406" s="94"/>
      <c r="CP406" s="94"/>
      <c r="CQ406" s="94"/>
      <c r="CR406" s="94"/>
      <c r="CS406" s="94"/>
      <c r="CT406" s="94"/>
      <c r="CU406" s="94"/>
      <c r="CV406" s="94"/>
      <c r="CW406" s="94"/>
      <c r="CX406" s="94"/>
      <c r="CY406" s="94"/>
      <c r="CZ406" s="94"/>
    </row>
    <row r="407" spans="1:104" ht="12.75" customHeight="1">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94"/>
      <c r="CJ407" s="94"/>
      <c r="CK407" s="94"/>
      <c r="CL407" s="94"/>
      <c r="CM407" s="94"/>
      <c r="CN407" s="94"/>
      <c r="CO407" s="94"/>
      <c r="CP407" s="94"/>
      <c r="CQ407" s="94"/>
      <c r="CR407" s="94"/>
      <c r="CS407" s="94"/>
      <c r="CT407" s="94"/>
      <c r="CU407" s="94"/>
      <c r="CV407" s="94"/>
      <c r="CW407" s="94"/>
      <c r="CX407" s="94"/>
      <c r="CY407" s="94"/>
      <c r="CZ407" s="94"/>
    </row>
    <row r="408" spans="1:104" ht="12.75" customHeight="1">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94"/>
      <c r="CJ408" s="94"/>
      <c r="CK408" s="94"/>
      <c r="CL408" s="94"/>
      <c r="CM408" s="94"/>
      <c r="CN408" s="94"/>
      <c r="CO408" s="94"/>
      <c r="CP408" s="94"/>
      <c r="CQ408" s="94"/>
      <c r="CR408" s="94"/>
      <c r="CS408" s="94"/>
      <c r="CT408" s="94"/>
      <c r="CU408" s="94"/>
      <c r="CV408" s="94"/>
      <c r="CW408" s="94"/>
      <c r="CX408" s="94"/>
      <c r="CY408" s="94"/>
      <c r="CZ408" s="94"/>
    </row>
    <row r="409" spans="1:104" ht="12.75" customHeight="1">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94"/>
      <c r="CJ409" s="94"/>
      <c r="CK409" s="94"/>
      <c r="CL409" s="94"/>
      <c r="CM409" s="94"/>
      <c r="CN409" s="94"/>
      <c r="CO409" s="94"/>
      <c r="CP409" s="94"/>
      <c r="CQ409" s="94"/>
      <c r="CR409" s="94"/>
      <c r="CS409" s="94"/>
      <c r="CT409" s="94"/>
      <c r="CU409" s="94"/>
      <c r="CV409" s="94"/>
      <c r="CW409" s="94"/>
      <c r="CX409" s="94"/>
      <c r="CY409" s="94"/>
      <c r="CZ409" s="94"/>
    </row>
    <row r="410" spans="1:104" ht="12.75"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94"/>
      <c r="CJ410" s="94"/>
      <c r="CK410" s="94"/>
      <c r="CL410" s="94"/>
      <c r="CM410" s="94"/>
      <c r="CN410" s="94"/>
      <c r="CO410" s="94"/>
      <c r="CP410" s="94"/>
      <c r="CQ410" s="94"/>
      <c r="CR410" s="94"/>
      <c r="CS410" s="94"/>
      <c r="CT410" s="94"/>
      <c r="CU410" s="94"/>
      <c r="CV410" s="94"/>
      <c r="CW410" s="94"/>
      <c r="CX410" s="94"/>
      <c r="CY410" s="94"/>
      <c r="CZ410" s="94"/>
    </row>
    <row r="411" spans="1:104" ht="12.75" customHeight="1">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94"/>
      <c r="CJ411" s="94"/>
      <c r="CK411" s="94"/>
      <c r="CL411" s="94"/>
      <c r="CM411" s="94"/>
      <c r="CN411" s="94"/>
      <c r="CO411" s="94"/>
      <c r="CP411" s="94"/>
      <c r="CQ411" s="94"/>
      <c r="CR411" s="94"/>
      <c r="CS411" s="94"/>
      <c r="CT411" s="94"/>
      <c r="CU411" s="94"/>
      <c r="CV411" s="94"/>
      <c r="CW411" s="94"/>
      <c r="CX411" s="94"/>
      <c r="CY411" s="94"/>
      <c r="CZ411" s="94"/>
    </row>
    <row r="412" spans="1:104" ht="12.75"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94"/>
      <c r="CJ412" s="94"/>
      <c r="CK412" s="94"/>
      <c r="CL412" s="94"/>
      <c r="CM412" s="94"/>
      <c r="CN412" s="94"/>
      <c r="CO412" s="94"/>
      <c r="CP412" s="94"/>
      <c r="CQ412" s="94"/>
      <c r="CR412" s="94"/>
      <c r="CS412" s="94"/>
      <c r="CT412" s="94"/>
      <c r="CU412" s="94"/>
      <c r="CV412" s="94"/>
      <c r="CW412" s="94"/>
      <c r="CX412" s="94"/>
      <c r="CY412" s="94"/>
      <c r="CZ412" s="94"/>
    </row>
    <row r="413" spans="1:104" ht="12.75"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94"/>
      <c r="CJ413" s="94"/>
      <c r="CK413" s="94"/>
      <c r="CL413" s="94"/>
      <c r="CM413" s="94"/>
      <c r="CN413" s="94"/>
      <c r="CO413" s="94"/>
      <c r="CP413" s="94"/>
      <c r="CQ413" s="94"/>
      <c r="CR413" s="94"/>
      <c r="CS413" s="94"/>
      <c r="CT413" s="94"/>
      <c r="CU413" s="94"/>
      <c r="CV413" s="94"/>
      <c r="CW413" s="94"/>
      <c r="CX413" s="94"/>
      <c r="CY413" s="94"/>
      <c r="CZ413" s="94"/>
    </row>
    <row r="414" spans="1:104" ht="12.75" customHeight="1">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c r="CB414" s="102"/>
      <c r="CC414" s="102"/>
      <c r="CD414" s="102"/>
      <c r="CE414" s="102"/>
      <c r="CF414" s="102"/>
      <c r="CG414" s="102"/>
      <c r="CH414" s="102"/>
      <c r="CI414" s="94"/>
      <c r="CJ414" s="94"/>
      <c r="CK414" s="94"/>
      <c r="CL414" s="94"/>
      <c r="CM414" s="94"/>
      <c r="CN414" s="94"/>
      <c r="CO414" s="94"/>
      <c r="CP414" s="94"/>
      <c r="CQ414" s="94"/>
      <c r="CR414" s="94"/>
      <c r="CS414" s="94"/>
      <c r="CT414" s="94"/>
      <c r="CU414" s="94"/>
      <c r="CV414" s="94"/>
      <c r="CW414" s="94"/>
      <c r="CX414" s="94"/>
      <c r="CY414" s="94"/>
      <c r="CZ414" s="94"/>
    </row>
    <row r="415" spans="1:104" ht="12.75" customHeight="1">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94"/>
      <c r="CJ415" s="94"/>
      <c r="CK415" s="94"/>
      <c r="CL415" s="94"/>
      <c r="CM415" s="94"/>
      <c r="CN415" s="94"/>
      <c r="CO415" s="94"/>
      <c r="CP415" s="94"/>
      <c r="CQ415" s="94"/>
      <c r="CR415" s="94"/>
      <c r="CS415" s="94"/>
      <c r="CT415" s="94"/>
      <c r="CU415" s="94"/>
      <c r="CV415" s="94"/>
      <c r="CW415" s="94"/>
      <c r="CX415" s="94"/>
      <c r="CY415" s="94"/>
      <c r="CZ415" s="94"/>
    </row>
    <row r="416" spans="1:104" ht="12.75"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94"/>
      <c r="CJ416" s="94"/>
      <c r="CK416" s="94"/>
      <c r="CL416" s="94"/>
      <c r="CM416" s="94"/>
      <c r="CN416" s="94"/>
      <c r="CO416" s="94"/>
      <c r="CP416" s="94"/>
      <c r="CQ416" s="94"/>
      <c r="CR416" s="94"/>
      <c r="CS416" s="94"/>
      <c r="CT416" s="94"/>
      <c r="CU416" s="94"/>
      <c r="CV416" s="94"/>
      <c r="CW416" s="94"/>
      <c r="CX416" s="94"/>
      <c r="CY416" s="94"/>
      <c r="CZ416" s="94"/>
    </row>
    <row r="417" spans="1:104" ht="12.7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94"/>
      <c r="CJ417" s="94"/>
      <c r="CK417" s="94"/>
      <c r="CL417" s="94"/>
      <c r="CM417" s="94"/>
      <c r="CN417" s="94"/>
      <c r="CO417" s="94"/>
      <c r="CP417" s="94"/>
      <c r="CQ417" s="94"/>
      <c r="CR417" s="94"/>
      <c r="CS417" s="94"/>
      <c r="CT417" s="94"/>
      <c r="CU417" s="94"/>
      <c r="CV417" s="94"/>
      <c r="CW417" s="94"/>
      <c r="CX417" s="94"/>
      <c r="CY417" s="94"/>
      <c r="CZ417" s="94"/>
    </row>
    <row r="418" spans="1:104" ht="12.75" customHeight="1">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94"/>
      <c r="CJ418" s="94"/>
      <c r="CK418" s="94"/>
      <c r="CL418" s="94"/>
      <c r="CM418" s="94"/>
      <c r="CN418" s="94"/>
      <c r="CO418" s="94"/>
      <c r="CP418" s="94"/>
      <c r="CQ418" s="94"/>
      <c r="CR418" s="94"/>
      <c r="CS418" s="94"/>
      <c r="CT418" s="94"/>
      <c r="CU418" s="94"/>
      <c r="CV418" s="94"/>
      <c r="CW418" s="94"/>
      <c r="CX418" s="94"/>
      <c r="CY418" s="94"/>
      <c r="CZ418" s="94"/>
    </row>
    <row r="419" spans="1:104" ht="12.7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94"/>
      <c r="CJ419" s="94"/>
      <c r="CK419" s="94"/>
      <c r="CL419" s="94"/>
      <c r="CM419" s="94"/>
      <c r="CN419" s="94"/>
      <c r="CO419" s="94"/>
      <c r="CP419" s="94"/>
      <c r="CQ419" s="94"/>
      <c r="CR419" s="94"/>
      <c r="CS419" s="94"/>
      <c r="CT419" s="94"/>
      <c r="CU419" s="94"/>
      <c r="CV419" s="94"/>
      <c r="CW419" s="94"/>
      <c r="CX419" s="94"/>
      <c r="CY419" s="94"/>
      <c r="CZ419" s="94"/>
    </row>
    <row r="420" spans="1:104" ht="12.75" customHeight="1">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94"/>
      <c r="CJ420" s="94"/>
      <c r="CK420" s="94"/>
      <c r="CL420" s="94"/>
      <c r="CM420" s="94"/>
      <c r="CN420" s="94"/>
      <c r="CO420" s="94"/>
      <c r="CP420" s="94"/>
      <c r="CQ420" s="94"/>
      <c r="CR420" s="94"/>
      <c r="CS420" s="94"/>
      <c r="CT420" s="94"/>
      <c r="CU420" s="94"/>
      <c r="CV420" s="94"/>
      <c r="CW420" s="94"/>
      <c r="CX420" s="94"/>
      <c r="CY420" s="94"/>
      <c r="CZ420" s="94"/>
    </row>
    <row r="421" spans="1:104" ht="12.75"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94"/>
      <c r="CJ421" s="94"/>
      <c r="CK421" s="94"/>
      <c r="CL421" s="94"/>
      <c r="CM421" s="94"/>
      <c r="CN421" s="94"/>
      <c r="CO421" s="94"/>
      <c r="CP421" s="94"/>
      <c r="CQ421" s="94"/>
      <c r="CR421" s="94"/>
      <c r="CS421" s="94"/>
      <c r="CT421" s="94"/>
      <c r="CU421" s="94"/>
      <c r="CV421" s="94"/>
      <c r="CW421" s="94"/>
      <c r="CX421" s="94"/>
      <c r="CY421" s="94"/>
      <c r="CZ421" s="94"/>
    </row>
    <row r="422" spans="1:104" ht="12.7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94"/>
      <c r="CJ422" s="94"/>
      <c r="CK422" s="94"/>
      <c r="CL422" s="94"/>
      <c r="CM422" s="94"/>
      <c r="CN422" s="94"/>
      <c r="CO422" s="94"/>
      <c r="CP422" s="94"/>
      <c r="CQ422" s="94"/>
      <c r="CR422" s="94"/>
      <c r="CS422" s="94"/>
      <c r="CT422" s="94"/>
      <c r="CU422" s="94"/>
      <c r="CV422" s="94"/>
      <c r="CW422" s="94"/>
      <c r="CX422" s="94"/>
      <c r="CY422" s="94"/>
      <c r="CZ422" s="94"/>
    </row>
    <row r="423" spans="1:104" ht="12.75" customHeight="1">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94"/>
      <c r="CJ423" s="94"/>
      <c r="CK423" s="94"/>
      <c r="CL423" s="94"/>
      <c r="CM423" s="94"/>
      <c r="CN423" s="94"/>
      <c r="CO423" s="94"/>
      <c r="CP423" s="94"/>
      <c r="CQ423" s="94"/>
      <c r="CR423" s="94"/>
      <c r="CS423" s="94"/>
      <c r="CT423" s="94"/>
      <c r="CU423" s="94"/>
      <c r="CV423" s="94"/>
      <c r="CW423" s="94"/>
      <c r="CX423" s="94"/>
      <c r="CY423" s="94"/>
      <c r="CZ423" s="94"/>
    </row>
    <row r="424" spans="1:104" ht="12.7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94"/>
      <c r="CJ424" s="94"/>
      <c r="CK424" s="94"/>
      <c r="CL424" s="94"/>
      <c r="CM424" s="94"/>
      <c r="CN424" s="94"/>
      <c r="CO424" s="94"/>
      <c r="CP424" s="94"/>
      <c r="CQ424" s="94"/>
      <c r="CR424" s="94"/>
      <c r="CS424" s="94"/>
      <c r="CT424" s="94"/>
      <c r="CU424" s="94"/>
      <c r="CV424" s="94"/>
      <c r="CW424" s="94"/>
      <c r="CX424" s="94"/>
      <c r="CY424" s="94"/>
      <c r="CZ424" s="94"/>
    </row>
    <row r="425" spans="1:104" ht="12.7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c r="CB425" s="102"/>
      <c r="CC425" s="102"/>
      <c r="CD425" s="102"/>
      <c r="CE425" s="102"/>
      <c r="CF425" s="102"/>
      <c r="CG425" s="102"/>
      <c r="CH425" s="102"/>
      <c r="CI425" s="94"/>
      <c r="CJ425" s="94"/>
      <c r="CK425" s="94"/>
      <c r="CL425" s="94"/>
      <c r="CM425" s="94"/>
      <c r="CN425" s="94"/>
      <c r="CO425" s="94"/>
      <c r="CP425" s="94"/>
      <c r="CQ425" s="94"/>
      <c r="CR425" s="94"/>
      <c r="CS425" s="94"/>
      <c r="CT425" s="94"/>
      <c r="CU425" s="94"/>
      <c r="CV425" s="94"/>
      <c r="CW425" s="94"/>
      <c r="CX425" s="94"/>
      <c r="CY425" s="94"/>
      <c r="CZ425" s="94"/>
    </row>
    <row r="426" spans="1:104" ht="12.75" customHeight="1">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c r="CI426" s="94"/>
      <c r="CJ426" s="94"/>
      <c r="CK426" s="94"/>
      <c r="CL426" s="94"/>
      <c r="CM426" s="94"/>
      <c r="CN426" s="94"/>
      <c r="CO426" s="94"/>
      <c r="CP426" s="94"/>
      <c r="CQ426" s="94"/>
      <c r="CR426" s="94"/>
      <c r="CS426" s="94"/>
      <c r="CT426" s="94"/>
      <c r="CU426" s="94"/>
      <c r="CV426" s="94"/>
      <c r="CW426" s="94"/>
      <c r="CX426" s="94"/>
      <c r="CY426" s="94"/>
      <c r="CZ426" s="94"/>
    </row>
    <row r="427" spans="1:104" ht="12.7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c r="CC427" s="102"/>
      <c r="CD427" s="102"/>
      <c r="CE427" s="102"/>
      <c r="CF427" s="102"/>
      <c r="CG427" s="102"/>
      <c r="CH427" s="102"/>
      <c r="CI427" s="94"/>
      <c r="CJ427" s="94"/>
      <c r="CK427" s="94"/>
      <c r="CL427" s="94"/>
      <c r="CM427" s="94"/>
      <c r="CN427" s="94"/>
      <c r="CO427" s="94"/>
      <c r="CP427" s="94"/>
      <c r="CQ427" s="94"/>
      <c r="CR427" s="94"/>
      <c r="CS427" s="94"/>
      <c r="CT427" s="94"/>
      <c r="CU427" s="94"/>
      <c r="CV427" s="94"/>
      <c r="CW427" s="94"/>
      <c r="CX427" s="94"/>
      <c r="CY427" s="94"/>
      <c r="CZ427" s="94"/>
    </row>
    <row r="428" spans="1:104" ht="12.75" customHeight="1"/>
    <row r="429" spans="1:104" ht="12.75" customHeight="1"/>
    <row r="430" spans="1:104" ht="12.75" customHeight="1"/>
    <row r="431" spans="1:104" ht="12.75" customHeight="1"/>
    <row r="432" spans="1:104"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sheetData>
  <sheetProtection algorithmName="SHA-512" hashValue="hPxcgINva/H4hp3rSj/u7pjTXMc938R7zrE2lKvbDypu2XAqvCQ44fiiuLH9EEkXGJAFoYTbE4M3WL3dXJcg/g==" saltValue="rp1yzsrbEalZWP1RH1dC4w==" spinCount="100000" sheet="1" objects="1" scenarios="1"/>
  <dataConsolidate/>
  <mergeCells count="1106">
    <mergeCell ref="BH11:BI11"/>
    <mergeCell ref="F12:AA12"/>
    <mergeCell ref="AD12:AG12"/>
    <mergeCell ref="AW12:AX12"/>
    <mergeCell ref="BE12:BF12"/>
    <mergeCell ref="BH12:BI12"/>
    <mergeCell ref="AP9:AX9"/>
    <mergeCell ref="AY9:BF9"/>
    <mergeCell ref="AP10:AW10"/>
    <mergeCell ref="AY10:BE10"/>
    <mergeCell ref="F11:AA11"/>
    <mergeCell ref="AD11:AG11"/>
    <mergeCell ref="AW11:AX11"/>
    <mergeCell ref="BE11:BF11"/>
    <mergeCell ref="B1:T1"/>
    <mergeCell ref="BQ2:BX3"/>
    <mergeCell ref="CB2:CL3"/>
    <mergeCell ref="AY3:BI3"/>
    <mergeCell ref="AY4:BI4"/>
    <mergeCell ref="AP8:BF8"/>
    <mergeCell ref="BG8:BI10"/>
    <mergeCell ref="BQ8:BW8"/>
    <mergeCell ref="R9:U10"/>
    <mergeCell ref="W9:AB10"/>
    <mergeCell ref="AD6:AG6"/>
    <mergeCell ref="AD7:AG7"/>
    <mergeCell ref="F15:AA15"/>
    <mergeCell ref="AD15:AG15"/>
    <mergeCell ref="AW15:AX15"/>
    <mergeCell ref="BE15:BF15"/>
    <mergeCell ref="BH15:BI15"/>
    <mergeCell ref="F16:AA16"/>
    <mergeCell ref="AD16:AG16"/>
    <mergeCell ref="AW16:AX16"/>
    <mergeCell ref="BE16:BF16"/>
    <mergeCell ref="BH16:BI16"/>
    <mergeCell ref="F13:AA13"/>
    <mergeCell ref="AD13:AG13"/>
    <mergeCell ref="AW13:AX13"/>
    <mergeCell ref="BE13:BF13"/>
    <mergeCell ref="BH13:BI13"/>
    <mergeCell ref="F14:AA14"/>
    <mergeCell ref="AD14:AG14"/>
    <mergeCell ref="AW14:AX14"/>
    <mergeCell ref="BE14:BF14"/>
    <mergeCell ref="BH14:BI14"/>
    <mergeCell ref="F19:AA19"/>
    <mergeCell ref="AD19:AG19"/>
    <mergeCell ref="AW19:AX19"/>
    <mergeCell ref="BE19:BF19"/>
    <mergeCell ref="BH19:BI19"/>
    <mergeCell ref="F20:AA20"/>
    <mergeCell ref="AD20:AG20"/>
    <mergeCell ref="AW20:AX20"/>
    <mergeCell ref="BE20:BF20"/>
    <mergeCell ref="BH20:BI20"/>
    <mergeCell ref="F17:AA17"/>
    <mergeCell ref="AD17:AG17"/>
    <mergeCell ref="AW17:AX17"/>
    <mergeCell ref="BE17:BF17"/>
    <mergeCell ref="BH17:BI17"/>
    <mergeCell ref="F18:AA18"/>
    <mergeCell ref="AD18:AG18"/>
    <mergeCell ref="AW18:AX18"/>
    <mergeCell ref="BE18:BF18"/>
    <mergeCell ref="BH18:BI18"/>
    <mergeCell ref="CG25:CL26"/>
    <mergeCell ref="AP26:AW26"/>
    <mergeCell ref="AY26:BE26"/>
    <mergeCell ref="F27:U27"/>
    <mergeCell ref="W27:AB27"/>
    <mergeCell ref="AD27:AG27"/>
    <mergeCell ref="AW27:AX27"/>
    <mergeCell ref="BE27:BF27"/>
    <mergeCell ref="BH27:BI27"/>
    <mergeCell ref="CG27:CL27"/>
    <mergeCell ref="BH22:BI22"/>
    <mergeCell ref="AP24:BF24"/>
    <mergeCell ref="BG24:BI26"/>
    <mergeCell ref="BQ24:BW24"/>
    <mergeCell ref="W25:AB26"/>
    <mergeCell ref="AP25:AX25"/>
    <mergeCell ref="AY25:BF25"/>
    <mergeCell ref="CG30:CL30"/>
    <mergeCell ref="F31:U31"/>
    <mergeCell ref="W31:AB31"/>
    <mergeCell ref="AD31:AG31"/>
    <mergeCell ref="AW31:AX31"/>
    <mergeCell ref="BE31:BF31"/>
    <mergeCell ref="BH31:BI31"/>
    <mergeCell ref="CG31:CL31"/>
    <mergeCell ref="F30:U30"/>
    <mergeCell ref="W30:AB30"/>
    <mergeCell ref="AD30:AG30"/>
    <mergeCell ref="AW30:AX30"/>
    <mergeCell ref="BE30:BF30"/>
    <mergeCell ref="BH30:BI30"/>
    <mergeCell ref="CG28:CL28"/>
    <mergeCell ref="F29:U29"/>
    <mergeCell ref="W29:AB29"/>
    <mergeCell ref="AD29:AG29"/>
    <mergeCell ref="AW29:AX29"/>
    <mergeCell ref="BE29:BF29"/>
    <mergeCell ref="BH29:BI29"/>
    <mergeCell ref="CG29:CL29"/>
    <mergeCell ref="F28:U28"/>
    <mergeCell ref="W28:AB28"/>
    <mergeCell ref="AD28:AG28"/>
    <mergeCell ref="AW28:AX28"/>
    <mergeCell ref="BE28:BF28"/>
    <mergeCell ref="BH28:BI28"/>
    <mergeCell ref="CG34:CL34"/>
    <mergeCell ref="F35:U35"/>
    <mergeCell ref="W35:AB35"/>
    <mergeCell ref="AD35:AG35"/>
    <mergeCell ref="AW35:AX35"/>
    <mergeCell ref="BE35:BF35"/>
    <mergeCell ref="BH35:BI35"/>
    <mergeCell ref="CG35:CL35"/>
    <mergeCell ref="F34:U34"/>
    <mergeCell ref="W34:AB34"/>
    <mergeCell ref="AD34:AG34"/>
    <mergeCell ref="AW34:AX34"/>
    <mergeCell ref="BE34:BF34"/>
    <mergeCell ref="BH34:BI34"/>
    <mergeCell ref="CG32:CL32"/>
    <mergeCell ref="F33:U33"/>
    <mergeCell ref="W33:AB33"/>
    <mergeCell ref="AD33:AG33"/>
    <mergeCell ref="AW33:AX33"/>
    <mergeCell ref="BE33:BF33"/>
    <mergeCell ref="BH33:BI33"/>
    <mergeCell ref="CG33:CL33"/>
    <mergeCell ref="F32:U32"/>
    <mergeCell ref="W32:AB32"/>
    <mergeCell ref="AD32:AG32"/>
    <mergeCell ref="AW32:AX32"/>
    <mergeCell ref="BE32:BF32"/>
    <mergeCell ref="BH32:BI32"/>
    <mergeCell ref="F43:AA43"/>
    <mergeCell ref="AD43:AG43"/>
    <mergeCell ref="AW43:AX43"/>
    <mergeCell ref="BE43:BF43"/>
    <mergeCell ref="BH43:BI43"/>
    <mergeCell ref="F44:AA44"/>
    <mergeCell ref="AD44:AG44"/>
    <mergeCell ref="AW44:AX44"/>
    <mergeCell ref="BE44:BF44"/>
    <mergeCell ref="BH44:BI44"/>
    <mergeCell ref="CG36:CL36"/>
    <mergeCell ref="BH38:BI38"/>
    <mergeCell ref="AP40:BF40"/>
    <mergeCell ref="BG40:BI42"/>
    <mergeCell ref="BQ40:BW40"/>
    <mergeCell ref="W41:AB42"/>
    <mergeCell ref="AP41:AX41"/>
    <mergeCell ref="AY41:BF41"/>
    <mergeCell ref="AP42:AW42"/>
    <mergeCell ref="AY42:BE42"/>
    <mergeCell ref="F36:U36"/>
    <mergeCell ref="W36:AB36"/>
    <mergeCell ref="AD36:AG36"/>
    <mergeCell ref="AW36:AX36"/>
    <mergeCell ref="BE36:BF36"/>
    <mergeCell ref="BH36:BI36"/>
    <mergeCell ref="F47:AA47"/>
    <mergeCell ref="AD47:AG47"/>
    <mergeCell ref="AW47:AX47"/>
    <mergeCell ref="BE47:BF47"/>
    <mergeCell ref="BH47:BI47"/>
    <mergeCell ref="F48:AA48"/>
    <mergeCell ref="AD48:AG48"/>
    <mergeCell ref="AW48:AX48"/>
    <mergeCell ref="BE48:BF48"/>
    <mergeCell ref="BH48:BI48"/>
    <mergeCell ref="F45:AA45"/>
    <mergeCell ref="AD45:AG45"/>
    <mergeCell ref="AW45:AX45"/>
    <mergeCell ref="BE45:BF45"/>
    <mergeCell ref="BH45:BI45"/>
    <mergeCell ref="F46:AA46"/>
    <mergeCell ref="AD46:AG46"/>
    <mergeCell ref="AW46:AX46"/>
    <mergeCell ref="BE46:BF46"/>
    <mergeCell ref="BH46:BI46"/>
    <mergeCell ref="F51:AA51"/>
    <mergeCell ref="AD51:AG51"/>
    <mergeCell ref="AW51:AX51"/>
    <mergeCell ref="BE51:BF51"/>
    <mergeCell ref="BH51:BI51"/>
    <mergeCell ref="F52:AA52"/>
    <mergeCell ref="AD52:AG52"/>
    <mergeCell ref="AW52:AX52"/>
    <mergeCell ref="BE52:BF52"/>
    <mergeCell ref="BH52:BI52"/>
    <mergeCell ref="F49:AA49"/>
    <mergeCell ref="AD49:AG49"/>
    <mergeCell ref="AW49:AX49"/>
    <mergeCell ref="BE49:BF49"/>
    <mergeCell ref="BH49:BI49"/>
    <mergeCell ref="F50:AA50"/>
    <mergeCell ref="AD50:AG50"/>
    <mergeCell ref="AW50:AX50"/>
    <mergeCell ref="BE50:BF50"/>
    <mergeCell ref="BH50:BI50"/>
    <mergeCell ref="F59:AA59"/>
    <mergeCell ref="AD59:AG59"/>
    <mergeCell ref="AW59:AX59"/>
    <mergeCell ref="BE59:BF59"/>
    <mergeCell ref="BH59:BI59"/>
    <mergeCell ref="F60:AA60"/>
    <mergeCell ref="AD60:AG60"/>
    <mergeCell ref="AW60:AX60"/>
    <mergeCell ref="BE60:BF60"/>
    <mergeCell ref="BH60:BI60"/>
    <mergeCell ref="BH54:BI54"/>
    <mergeCell ref="AP56:BF56"/>
    <mergeCell ref="BG56:BI58"/>
    <mergeCell ref="BQ56:BW56"/>
    <mergeCell ref="W57:AB58"/>
    <mergeCell ref="AP57:AX57"/>
    <mergeCell ref="AY57:BF57"/>
    <mergeCell ref="AP58:AW58"/>
    <mergeCell ref="AY58:BE58"/>
    <mergeCell ref="F63:AA63"/>
    <mergeCell ref="AD63:AG63"/>
    <mergeCell ref="AW63:AX63"/>
    <mergeCell ref="BE63:BF63"/>
    <mergeCell ref="BH63:BI63"/>
    <mergeCell ref="F64:AA64"/>
    <mergeCell ref="AD64:AG64"/>
    <mergeCell ref="AW64:AX64"/>
    <mergeCell ref="BE64:BF64"/>
    <mergeCell ref="BH64:BI64"/>
    <mergeCell ref="F61:AA61"/>
    <mergeCell ref="AD61:AG61"/>
    <mergeCell ref="AW61:AX61"/>
    <mergeCell ref="BE61:BF61"/>
    <mergeCell ref="BH61:BI61"/>
    <mergeCell ref="F62:AA62"/>
    <mergeCell ref="AD62:AG62"/>
    <mergeCell ref="AW62:AX62"/>
    <mergeCell ref="BE62:BF62"/>
    <mergeCell ref="BH62:BI62"/>
    <mergeCell ref="F67:AA67"/>
    <mergeCell ref="AD67:AG67"/>
    <mergeCell ref="AW67:AX67"/>
    <mergeCell ref="BE67:BF67"/>
    <mergeCell ref="BH67:BI67"/>
    <mergeCell ref="F68:AA68"/>
    <mergeCell ref="AD68:AG68"/>
    <mergeCell ref="AW68:AX68"/>
    <mergeCell ref="BE68:BF68"/>
    <mergeCell ref="BH68:BI68"/>
    <mergeCell ref="F65:AA65"/>
    <mergeCell ref="AD65:AG65"/>
    <mergeCell ref="AW65:AX65"/>
    <mergeCell ref="BE65:BF65"/>
    <mergeCell ref="BH65:BI65"/>
    <mergeCell ref="F66:AA66"/>
    <mergeCell ref="AD66:AG66"/>
    <mergeCell ref="AW66:AX66"/>
    <mergeCell ref="BE66:BF66"/>
    <mergeCell ref="BH66:BI66"/>
    <mergeCell ref="CB76:CE77"/>
    <mergeCell ref="CG76:CL77"/>
    <mergeCell ref="AP77:AW77"/>
    <mergeCell ref="AY77:BE77"/>
    <mergeCell ref="F78:P78"/>
    <mergeCell ref="R78:U78"/>
    <mergeCell ref="W78:AB78"/>
    <mergeCell ref="AD78:AG78"/>
    <mergeCell ref="AW78:AX78"/>
    <mergeCell ref="BE78:BF78"/>
    <mergeCell ref="BH70:BI70"/>
    <mergeCell ref="AP75:BF75"/>
    <mergeCell ref="BG75:BI77"/>
    <mergeCell ref="BQ75:BW75"/>
    <mergeCell ref="R76:U77"/>
    <mergeCell ref="W76:AB77"/>
    <mergeCell ref="AP76:AX76"/>
    <mergeCell ref="AY76:BF76"/>
    <mergeCell ref="AD73:AG73"/>
    <mergeCell ref="AD74:AG74"/>
    <mergeCell ref="CB79:CE79"/>
    <mergeCell ref="CG79:CL79"/>
    <mergeCell ref="F80:P80"/>
    <mergeCell ref="R80:U80"/>
    <mergeCell ref="W80:AB80"/>
    <mergeCell ref="AD80:AG80"/>
    <mergeCell ref="AW80:AX80"/>
    <mergeCell ref="BE80:BF80"/>
    <mergeCell ref="BH80:BI80"/>
    <mergeCell ref="CB80:CE80"/>
    <mergeCell ref="BH78:BI78"/>
    <mergeCell ref="CB78:CE78"/>
    <mergeCell ref="CG78:CL78"/>
    <mergeCell ref="R79:U79"/>
    <mergeCell ref="W79:AB79"/>
    <mergeCell ref="AD79:AG79"/>
    <mergeCell ref="AW79:AX79"/>
    <mergeCell ref="BE79:BF79"/>
    <mergeCell ref="BH79:BI79"/>
    <mergeCell ref="F79:P79"/>
    <mergeCell ref="BH82:BI82"/>
    <mergeCell ref="CB82:CE82"/>
    <mergeCell ref="CG82:CL82"/>
    <mergeCell ref="F83:P83"/>
    <mergeCell ref="R83:U83"/>
    <mergeCell ref="W83:AB83"/>
    <mergeCell ref="AD83:AG83"/>
    <mergeCell ref="AW83:AX83"/>
    <mergeCell ref="BE83:BF83"/>
    <mergeCell ref="BH83:BI83"/>
    <mergeCell ref="F82:P82"/>
    <mergeCell ref="R82:U82"/>
    <mergeCell ref="W82:AB82"/>
    <mergeCell ref="AD82:AG82"/>
    <mergeCell ref="AW82:AX82"/>
    <mergeCell ref="BE82:BF82"/>
    <mergeCell ref="CG80:CL80"/>
    <mergeCell ref="F81:P81"/>
    <mergeCell ref="R81:U81"/>
    <mergeCell ref="W81:AB81"/>
    <mergeCell ref="AD81:AG81"/>
    <mergeCell ref="AW81:AX81"/>
    <mergeCell ref="BE81:BF81"/>
    <mergeCell ref="BH81:BI81"/>
    <mergeCell ref="CB81:CE81"/>
    <mergeCell ref="CG81:CL81"/>
    <mergeCell ref="CG84:CL84"/>
    <mergeCell ref="F85:P85"/>
    <mergeCell ref="R85:U85"/>
    <mergeCell ref="W85:AB85"/>
    <mergeCell ref="AD85:AG85"/>
    <mergeCell ref="AW85:AX85"/>
    <mergeCell ref="BE85:BF85"/>
    <mergeCell ref="BH85:BI85"/>
    <mergeCell ref="CB85:CE85"/>
    <mergeCell ref="CG85:CL85"/>
    <mergeCell ref="CB83:CE83"/>
    <mergeCell ref="CG83:CL83"/>
    <mergeCell ref="F84:P84"/>
    <mergeCell ref="R84:U84"/>
    <mergeCell ref="W84:AB84"/>
    <mergeCell ref="AD84:AG84"/>
    <mergeCell ref="AW84:AX84"/>
    <mergeCell ref="BE84:BF84"/>
    <mergeCell ref="BH84:BI84"/>
    <mergeCell ref="CB84:CE84"/>
    <mergeCell ref="CB87:CE87"/>
    <mergeCell ref="CG87:CL87"/>
    <mergeCell ref="F88:P88"/>
    <mergeCell ref="R88:U88"/>
    <mergeCell ref="W88:AB88"/>
    <mergeCell ref="AD88:AG88"/>
    <mergeCell ref="AW88:AX88"/>
    <mergeCell ref="BE88:BF88"/>
    <mergeCell ref="BH88:BI88"/>
    <mergeCell ref="CB88:CE88"/>
    <mergeCell ref="BH86:BI86"/>
    <mergeCell ref="CB86:CE86"/>
    <mergeCell ref="CG86:CL86"/>
    <mergeCell ref="F87:P87"/>
    <mergeCell ref="R87:U87"/>
    <mergeCell ref="W87:AB87"/>
    <mergeCell ref="AD87:AG87"/>
    <mergeCell ref="AW87:AX87"/>
    <mergeCell ref="BE87:BF87"/>
    <mergeCell ref="BH87:BI87"/>
    <mergeCell ref="F86:P86"/>
    <mergeCell ref="R86:U86"/>
    <mergeCell ref="W86:AB86"/>
    <mergeCell ref="AD86:AG86"/>
    <mergeCell ref="AW86:AX86"/>
    <mergeCell ref="BE86:BF86"/>
    <mergeCell ref="BH90:BI90"/>
    <mergeCell ref="CB90:CE90"/>
    <mergeCell ref="CG90:CL90"/>
    <mergeCell ref="F91:P91"/>
    <mergeCell ref="R91:U91"/>
    <mergeCell ref="W91:AB91"/>
    <mergeCell ref="AD91:AG91"/>
    <mergeCell ref="AW91:AX91"/>
    <mergeCell ref="BE91:BF91"/>
    <mergeCell ref="BH91:BI91"/>
    <mergeCell ref="F90:P90"/>
    <mergeCell ref="R90:U90"/>
    <mergeCell ref="W90:AB90"/>
    <mergeCell ref="AD90:AG90"/>
    <mergeCell ref="AW90:AX90"/>
    <mergeCell ref="BE90:BF90"/>
    <mergeCell ref="CG88:CL88"/>
    <mergeCell ref="F89:P89"/>
    <mergeCell ref="R89:U89"/>
    <mergeCell ref="W89:AB89"/>
    <mergeCell ref="AD89:AG89"/>
    <mergeCell ref="AW89:AX89"/>
    <mergeCell ref="BE89:BF89"/>
    <mergeCell ref="BH89:BI89"/>
    <mergeCell ref="CB89:CE89"/>
    <mergeCell ref="CG89:CL89"/>
    <mergeCell ref="CG92:CL92"/>
    <mergeCell ref="BQ93:BW93"/>
    <mergeCell ref="AP94:BF94"/>
    <mergeCell ref="BG94:BI96"/>
    <mergeCell ref="BQ94:BW94"/>
    <mergeCell ref="R95:U96"/>
    <mergeCell ref="W95:AB96"/>
    <mergeCell ref="AP95:AX95"/>
    <mergeCell ref="AY95:BF95"/>
    <mergeCell ref="CB95:CE96"/>
    <mergeCell ref="CB91:CE91"/>
    <mergeCell ref="CG91:CL91"/>
    <mergeCell ref="F92:P92"/>
    <mergeCell ref="R92:U92"/>
    <mergeCell ref="W92:AB92"/>
    <mergeCell ref="AD92:AG92"/>
    <mergeCell ref="AW92:AX92"/>
    <mergeCell ref="BE92:BF92"/>
    <mergeCell ref="BH92:BI92"/>
    <mergeCell ref="CB92:CE92"/>
    <mergeCell ref="CB97:CE97"/>
    <mergeCell ref="CG97:CL97"/>
    <mergeCell ref="F98:P98"/>
    <mergeCell ref="R98:U98"/>
    <mergeCell ref="W98:AB98"/>
    <mergeCell ref="AD98:AG98"/>
    <mergeCell ref="AW98:AX98"/>
    <mergeCell ref="BE98:BF98"/>
    <mergeCell ref="BH98:BI98"/>
    <mergeCell ref="CB98:CE98"/>
    <mergeCell ref="CG95:CL96"/>
    <mergeCell ref="AP96:AW96"/>
    <mergeCell ref="AY96:BE96"/>
    <mergeCell ref="F97:P97"/>
    <mergeCell ref="R97:U97"/>
    <mergeCell ref="W97:AB97"/>
    <mergeCell ref="AD97:AG97"/>
    <mergeCell ref="AW97:AX97"/>
    <mergeCell ref="BE97:BF97"/>
    <mergeCell ref="BH97:BI97"/>
    <mergeCell ref="BH100:BI100"/>
    <mergeCell ref="CB100:CE100"/>
    <mergeCell ref="CG100:CL100"/>
    <mergeCell ref="F101:P101"/>
    <mergeCell ref="R101:U101"/>
    <mergeCell ref="W101:AB101"/>
    <mergeCell ref="AD101:AG101"/>
    <mergeCell ref="AW101:AX101"/>
    <mergeCell ref="BE101:BF101"/>
    <mergeCell ref="BH101:BI101"/>
    <mergeCell ref="F100:P100"/>
    <mergeCell ref="R100:U100"/>
    <mergeCell ref="W100:AB100"/>
    <mergeCell ref="AD100:AG100"/>
    <mergeCell ref="AW100:AX100"/>
    <mergeCell ref="BE100:BF100"/>
    <mergeCell ref="CG98:CL98"/>
    <mergeCell ref="F99:P99"/>
    <mergeCell ref="R99:U99"/>
    <mergeCell ref="W99:AB99"/>
    <mergeCell ref="AD99:AG99"/>
    <mergeCell ref="AW99:AX99"/>
    <mergeCell ref="BE99:BF99"/>
    <mergeCell ref="BH99:BI99"/>
    <mergeCell ref="CB99:CE99"/>
    <mergeCell ref="CG99:CL99"/>
    <mergeCell ref="CG102:CL102"/>
    <mergeCell ref="F103:P103"/>
    <mergeCell ref="R103:U103"/>
    <mergeCell ref="W103:AB103"/>
    <mergeCell ref="AD103:AG103"/>
    <mergeCell ref="AW103:AX103"/>
    <mergeCell ref="BE103:BF103"/>
    <mergeCell ref="BH103:BI103"/>
    <mergeCell ref="CB103:CE103"/>
    <mergeCell ref="CG103:CL103"/>
    <mergeCell ref="CB101:CE101"/>
    <mergeCell ref="CG101:CL101"/>
    <mergeCell ref="F102:P102"/>
    <mergeCell ref="R102:U102"/>
    <mergeCell ref="W102:AB102"/>
    <mergeCell ref="AD102:AG102"/>
    <mergeCell ref="AW102:AX102"/>
    <mergeCell ref="BE102:BF102"/>
    <mergeCell ref="BH102:BI102"/>
    <mergeCell ref="CB102:CE102"/>
    <mergeCell ref="CB105:CE105"/>
    <mergeCell ref="CG105:CL105"/>
    <mergeCell ref="F106:P106"/>
    <mergeCell ref="R106:U106"/>
    <mergeCell ref="W106:AB106"/>
    <mergeCell ref="AD106:AG106"/>
    <mergeCell ref="AW106:AX106"/>
    <mergeCell ref="BE106:BF106"/>
    <mergeCell ref="BH106:BI106"/>
    <mergeCell ref="CB106:CE106"/>
    <mergeCell ref="BH104:BI104"/>
    <mergeCell ref="CB104:CE104"/>
    <mergeCell ref="CG104:CL104"/>
    <mergeCell ref="F105:P105"/>
    <mergeCell ref="R105:U105"/>
    <mergeCell ref="W105:AB105"/>
    <mergeCell ref="AD105:AG105"/>
    <mergeCell ref="AW105:AX105"/>
    <mergeCell ref="BE105:BF105"/>
    <mergeCell ref="BH105:BI105"/>
    <mergeCell ref="F104:P104"/>
    <mergeCell ref="R104:U104"/>
    <mergeCell ref="W104:AB104"/>
    <mergeCell ref="AD104:AG104"/>
    <mergeCell ref="AW104:AX104"/>
    <mergeCell ref="BE104:BF104"/>
    <mergeCell ref="CG111:CL112"/>
    <mergeCell ref="AP112:AW112"/>
    <mergeCell ref="AY112:BF112"/>
    <mergeCell ref="F113:P113"/>
    <mergeCell ref="R113:U113"/>
    <mergeCell ref="W113:AB113"/>
    <mergeCell ref="AD113:AG113"/>
    <mergeCell ref="AW113:AX113"/>
    <mergeCell ref="BE113:BF113"/>
    <mergeCell ref="BH113:BI113"/>
    <mergeCell ref="CG106:CL106"/>
    <mergeCell ref="BH108:BI108"/>
    <mergeCell ref="AP110:BF110"/>
    <mergeCell ref="BG110:BI112"/>
    <mergeCell ref="BQ110:BW110"/>
    <mergeCell ref="R111:U112"/>
    <mergeCell ref="W111:AB112"/>
    <mergeCell ref="AP111:AX111"/>
    <mergeCell ref="AY111:BF111"/>
    <mergeCell ref="CB111:CE112"/>
    <mergeCell ref="CG114:CL114"/>
    <mergeCell ref="F115:P115"/>
    <mergeCell ref="R115:U115"/>
    <mergeCell ref="W115:AB115"/>
    <mergeCell ref="AD115:AG115"/>
    <mergeCell ref="AW115:AX115"/>
    <mergeCell ref="BE115:BF115"/>
    <mergeCell ref="BH115:BI115"/>
    <mergeCell ref="CB115:CE115"/>
    <mergeCell ref="CG115:CL115"/>
    <mergeCell ref="CB113:CE113"/>
    <mergeCell ref="CG113:CL113"/>
    <mergeCell ref="F114:P114"/>
    <mergeCell ref="R114:U114"/>
    <mergeCell ref="W114:AB114"/>
    <mergeCell ref="AD114:AG114"/>
    <mergeCell ref="AW114:AX114"/>
    <mergeCell ref="BE114:BF114"/>
    <mergeCell ref="BH114:BI114"/>
    <mergeCell ref="CB114:CE114"/>
    <mergeCell ref="CB117:CE117"/>
    <mergeCell ref="CG117:CL117"/>
    <mergeCell ref="BH119:BI119"/>
    <mergeCell ref="AP122:BF122"/>
    <mergeCell ref="BG122:BI125"/>
    <mergeCell ref="AP123:AX123"/>
    <mergeCell ref="AY123:BF123"/>
    <mergeCell ref="BQ123:BW123"/>
    <mergeCell ref="AO124:AQ125"/>
    <mergeCell ref="AX124:AZ125"/>
    <mergeCell ref="BH116:BI116"/>
    <mergeCell ref="CB116:CE116"/>
    <mergeCell ref="CG116:CL116"/>
    <mergeCell ref="F117:P117"/>
    <mergeCell ref="R117:U117"/>
    <mergeCell ref="W117:AB117"/>
    <mergeCell ref="AD117:AG117"/>
    <mergeCell ref="AW117:AX117"/>
    <mergeCell ref="BE117:BF117"/>
    <mergeCell ref="BH117:BI117"/>
    <mergeCell ref="F116:P116"/>
    <mergeCell ref="R116:U116"/>
    <mergeCell ref="W116:AB116"/>
    <mergeCell ref="AD116:AG116"/>
    <mergeCell ref="AW116:AX116"/>
    <mergeCell ref="BE116:BF116"/>
    <mergeCell ref="F128:S128"/>
    <mergeCell ref="AD128:AG128"/>
    <mergeCell ref="AR128:AS128"/>
    <mergeCell ref="BA128:BB128"/>
    <mergeCell ref="BH128:BI128"/>
    <mergeCell ref="F129:S129"/>
    <mergeCell ref="AD129:AG129"/>
    <mergeCell ref="AR129:AS129"/>
    <mergeCell ref="BA129:BB129"/>
    <mergeCell ref="BH129:BI129"/>
    <mergeCell ref="F126:S126"/>
    <mergeCell ref="AD126:AG126"/>
    <mergeCell ref="AR126:AS126"/>
    <mergeCell ref="BA126:BB126"/>
    <mergeCell ref="BH126:BI126"/>
    <mergeCell ref="F127:S127"/>
    <mergeCell ref="AD127:AG127"/>
    <mergeCell ref="AR127:AS127"/>
    <mergeCell ref="BA127:BB127"/>
    <mergeCell ref="BH127:BI127"/>
    <mergeCell ref="F281:AA281"/>
    <mergeCell ref="AD281:AG281"/>
    <mergeCell ref="AW281:AX281"/>
    <mergeCell ref="BH281:BI281"/>
    <mergeCell ref="F282:AA282"/>
    <mergeCell ref="AD282:AG282"/>
    <mergeCell ref="AW282:AX282"/>
    <mergeCell ref="BH282:BI282"/>
    <mergeCell ref="B271:T271"/>
    <mergeCell ref="AY273:BI273"/>
    <mergeCell ref="AY274:BI274"/>
    <mergeCell ref="AP278:BF278"/>
    <mergeCell ref="BH278:BI280"/>
    <mergeCell ref="AP279:AX279"/>
    <mergeCell ref="AP280:AW280"/>
    <mergeCell ref="AD277:AG277"/>
    <mergeCell ref="F130:S130"/>
    <mergeCell ref="AD130:AG130"/>
    <mergeCell ref="AR130:AS130"/>
    <mergeCell ref="BA130:BB130"/>
    <mergeCell ref="BH130:BI130"/>
    <mergeCell ref="BH132:BI132"/>
    <mergeCell ref="AD276:AG276"/>
    <mergeCell ref="F287:AA287"/>
    <mergeCell ref="AD287:AG287"/>
    <mergeCell ref="AW287:AX287"/>
    <mergeCell ref="BH287:BI287"/>
    <mergeCell ref="F288:AA288"/>
    <mergeCell ref="AD288:AG288"/>
    <mergeCell ref="AW288:AX288"/>
    <mergeCell ref="BH288:BI288"/>
    <mergeCell ref="F285:AA285"/>
    <mergeCell ref="AD285:AG285"/>
    <mergeCell ref="AW285:AX285"/>
    <mergeCell ref="BH285:BI285"/>
    <mergeCell ref="F286:AA286"/>
    <mergeCell ref="AD286:AG286"/>
    <mergeCell ref="AW286:AX286"/>
    <mergeCell ref="BH286:BI286"/>
    <mergeCell ref="F283:AA283"/>
    <mergeCell ref="AD283:AG283"/>
    <mergeCell ref="AW283:AX283"/>
    <mergeCell ref="BH283:BI283"/>
    <mergeCell ref="F284:AA284"/>
    <mergeCell ref="AD284:AG284"/>
    <mergeCell ref="AW284:AX284"/>
    <mergeCell ref="BH284:BI284"/>
    <mergeCell ref="F297:U297"/>
    <mergeCell ref="W297:AB297"/>
    <mergeCell ref="AD297:AG297"/>
    <mergeCell ref="AW297:AX297"/>
    <mergeCell ref="BE297:BF297"/>
    <mergeCell ref="BH297:BI297"/>
    <mergeCell ref="BH292:BI292"/>
    <mergeCell ref="AP294:BF294"/>
    <mergeCell ref="BH294:BI296"/>
    <mergeCell ref="W295:AB296"/>
    <mergeCell ref="AP295:AX295"/>
    <mergeCell ref="AY295:BG295"/>
    <mergeCell ref="AP296:AW296"/>
    <mergeCell ref="AY296:BF296"/>
    <mergeCell ref="F289:AA289"/>
    <mergeCell ref="AD289:AG289"/>
    <mergeCell ref="AW289:AX289"/>
    <mergeCell ref="BH289:BI289"/>
    <mergeCell ref="F290:AA290"/>
    <mergeCell ref="AD290:AG290"/>
    <mergeCell ref="AW290:AX290"/>
    <mergeCell ref="BH290:BI290"/>
    <mergeCell ref="F300:U300"/>
    <mergeCell ref="W300:AB300"/>
    <mergeCell ref="AD300:AG300"/>
    <mergeCell ref="AW300:AX300"/>
    <mergeCell ref="BE300:BF300"/>
    <mergeCell ref="BH300:BI300"/>
    <mergeCell ref="F299:U299"/>
    <mergeCell ref="W299:AB299"/>
    <mergeCell ref="AD299:AG299"/>
    <mergeCell ref="AW299:AX299"/>
    <mergeCell ref="BE299:BF299"/>
    <mergeCell ref="BH299:BI299"/>
    <mergeCell ref="F298:U298"/>
    <mergeCell ref="W298:AB298"/>
    <mergeCell ref="AD298:AG298"/>
    <mergeCell ref="AW298:AX298"/>
    <mergeCell ref="BE298:BF298"/>
    <mergeCell ref="BH298:BI298"/>
    <mergeCell ref="F303:U303"/>
    <mergeCell ref="W303:AB303"/>
    <mergeCell ref="AD303:AG303"/>
    <mergeCell ref="AW303:AX303"/>
    <mergeCell ref="BE303:BF303"/>
    <mergeCell ref="BH303:BI303"/>
    <mergeCell ref="F302:U302"/>
    <mergeCell ref="W302:AB302"/>
    <mergeCell ref="AD302:AG302"/>
    <mergeCell ref="AW302:AX302"/>
    <mergeCell ref="BE302:BF302"/>
    <mergeCell ref="BH302:BI302"/>
    <mergeCell ref="F301:U301"/>
    <mergeCell ref="W301:AB301"/>
    <mergeCell ref="AD301:AG301"/>
    <mergeCell ref="AW301:AX301"/>
    <mergeCell ref="BE301:BF301"/>
    <mergeCell ref="BH301:BI301"/>
    <mergeCell ref="F306:U306"/>
    <mergeCell ref="W306:AB306"/>
    <mergeCell ref="AD306:AG306"/>
    <mergeCell ref="AW306:AX306"/>
    <mergeCell ref="BE306:BF306"/>
    <mergeCell ref="BH306:BI306"/>
    <mergeCell ref="F305:U305"/>
    <mergeCell ref="W305:AB305"/>
    <mergeCell ref="AD305:AG305"/>
    <mergeCell ref="AW305:AX305"/>
    <mergeCell ref="BE305:BF305"/>
    <mergeCell ref="BH305:BI305"/>
    <mergeCell ref="F304:U304"/>
    <mergeCell ref="W304:AB304"/>
    <mergeCell ref="AD304:AG304"/>
    <mergeCell ref="AW304:AX304"/>
    <mergeCell ref="BE304:BF304"/>
    <mergeCell ref="BH304:BI304"/>
    <mergeCell ref="F313:AA313"/>
    <mergeCell ref="AD313:AG313"/>
    <mergeCell ref="AW313:AX313"/>
    <mergeCell ref="BE313:BF313"/>
    <mergeCell ref="BH313:BI313"/>
    <mergeCell ref="F314:AA314"/>
    <mergeCell ref="AD314:AG314"/>
    <mergeCell ref="AW314:AX314"/>
    <mergeCell ref="BE314:BF314"/>
    <mergeCell ref="BH314:BI314"/>
    <mergeCell ref="BH308:BI308"/>
    <mergeCell ref="AP310:BF310"/>
    <mergeCell ref="BH310:BI312"/>
    <mergeCell ref="AP311:AX311"/>
    <mergeCell ref="AY311:BG311"/>
    <mergeCell ref="AP312:AW312"/>
    <mergeCell ref="AY312:BF312"/>
    <mergeCell ref="F317:AA317"/>
    <mergeCell ref="AD317:AG317"/>
    <mergeCell ref="AW317:AX317"/>
    <mergeCell ref="BE317:BF317"/>
    <mergeCell ref="BH317:BI317"/>
    <mergeCell ref="F318:AA318"/>
    <mergeCell ref="AD318:AG318"/>
    <mergeCell ref="AW318:AX318"/>
    <mergeCell ref="BE318:BF318"/>
    <mergeCell ref="BH318:BI318"/>
    <mergeCell ref="F315:AA315"/>
    <mergeCell ref="AD315:AG315"/>
    <mergeCell ref="AW315:AX315"/>
    <mergeCell ref="BE315:BF315"/>
    <mergeCell ref="BH315:BI315"/>
    <mergeCell ref="F316:AA316"/>
    <mergeCell ref="AD316:AG316"/>
    <mergeCell ref="AW316:AX316"/>
    <mergeCell ref="BE316:BF316"/>
    <mergeCell ref="BH316:BI316"/>
    <mergeCell ref="F321:AA321"/>
    <mergeCell ref="AD321:AG321"/>
    <mergeCell ref="AW321:AX321"/>
    <mergeCell ref="BE321:BF321"/>
    <mergeCell ref="BH321:BI321"/>
    <mergeCell ref="F322:AA322"/>
    <mergeCell ref="AD322:AG322"/>
    <mergeCell ref="AW322:AX322"/>
    <mergeCell ref="BE322:BF322"/>
    <mergeCell ref="BH322:BI322"/>
    <mergeCell ref="F319:AA319"/>
    <mergeCell ref="AD319:AG319"/>
    <mergeCell ref="AW319:AX319"/>
    <mergeCell ref="BE319:BF319"/>
    <mergeCell ref="BH319:BI319"/>
    <mergeCell ref="F320:AA320"/>
    <mergeCell ref="AD320:AG320"/>
    <mergeCell ref="AW320:AX320"/>
    <mergeCell ref="BE320:BF320"/>
    <mergeCell ref="BH320:BI320"/>
    <mergeCell ref="F329:AA329"/>
    <mergeCell ref="AD329:AG329"/>
    <mergeCell ref="AW329:AX329"/>
    <mergeCell ref="BE329:BF329"/>
    <mergeCell ref="BH329:BI329"/>
    <mergeCell ref="F330:AA330"/>
    <mergeCell ref="AD330:AG330"/>
    <mergeCell ref="AW330:AX330"/>
    <mergeCell ref="BE330:BF330"/>
    <mergeCell ref="BH330:BI330"/>
    <mergeCell ref="BH324:BI324"/>
    <mergeCell ref="AP326:BF326"/>
    <mergeCell ref="BH326:BI328"/>
    <mergeCell ref="AP327:AX327"/>
    <mergeCell ref="AY327:BG327"/>
    <mergeCell ref="AP328:AW328"/>
    <mergeCell ref="AY328:BF328"/>
    <mergeCell ref="F333:AA333"/>
    <mergeCell ref="AD333:AG333"/>
    <mergeCell ref="AW333:AX333"/>
    <mergeCell ref="BE333:BF333"/>
    <mergeCell ref="BH333:BI333"/>
    <mergeCell ref="F334:AA334"/>
    <mergeCell ref="AD334:AG334"/>
    <mergeCell ref="AW334:AX334"/>
    <mergeCell ref="BE334:BF334"/>
    <mergeCell ref="BH334:BI334"/>
    <mergeCell ref="F331:AA331"/>
    <mergeCell ref="AD331:AG331"/>
    <mergeCell ref="AW331:AX331"/>
    <mergeCell ref="BE331:BF331"/>
    <mergeCell ref="BH331:BI331"/>
    <mergeCell ref="F332:AA332"/>
    <mergeCell ref="AD332:AG332"/>
    <mergeCell ref="AW332:AX332"/>
    <mergeCell ref="BE332:BF332"/>
    <mergeCell ref="BH332:BI332"/>
    <mergeCell ref="F337:AA337"/>
    <mergeCell ref="AD337:AG337"/>
    <mergeCell ref="AW337:AX337"/>
    <mergeCell ref="BE337:BF337"/>
    <mergeCell ref="BH337:BI337"/>
    <mergeCell ref="F338:AA338"/>
    <mergeCell ref="AD338:AG338"/>
    <mergeCell ref="AW338:AX338"/>
    <mergeCell ref="BE338:BF338"/>
    <mergeCell ref="BH338:BI338"/>
    <mergeCell ref="F335:AA335"/>
    <mergeCell ref="AD335:AG335"/>
    <mergeCell ref="AW335:AX335"/>
    <mergeCell ref="BE335:BF335"/>
    <mergeCell ref="BH335:BI335"/>
    <mergeCell ref="F336:AA336"/>
    <mergeCell ref="AD336:AG336"/>
    <mergeCell ref="AW336:AX336"/>
    <mergeCell ref="BE336:BF336"/>
    <mergeCell ref="BH336:BI336"/>
    <mergeCell ref="BH348:BI348"/>
    <mergeCell ref="F349:P349"/>
    <mergeCell ref="R349:U349"/>
    <mergeCell ref="W349:AB349"/>
    <mergeCell ref="AD349:AG349"/>
    <mergeCell ref="AW349:AX349"/>
    <mergeCell ref="BE349:BF349"/>
    <mergeCell ref="BH349:BI349"/>
    <mergeCell ref="F348:P348"/>
    <mergeCell ref="R348:U348"/>
    <mergeCell ref="W348:AB348"/>
    <mergeCell ref="AD348:AG348"/>
    <mergeCell ref="AW348:AX348"/>
    <mergeCell ref="BE348:BF348"/>
    <mergeCell ref="BH340:BI340"/>
    <mergeCell ref="AP345:BF345"/>
    <mergeCell ref="BH345:BI347"/>
    <mergeCell ref="R346:U347"/>
    <mergeCell ref="W346:AB347"/>
    <mergeCell ref="AP346:AX346"/>
    <mergeCell ref="AY346:BG346"/>
    <mergeCell ref="AP347:AW347"/>
    <mergeCell ref="AY347:BF347"/>
    <mergeCell ref="AD343:AG343"/>
    <mergeCell ref="AD344:AG344"/>
    <mergeCell ref="BH352:BI352"/>
    <mergeCell ref="F353:P353"/>
    <mergeCell ref="R353:U353"/>
    <mergeCell ref="W353:AB353"/>
    <mergeCell ref="AD353:AG353"/>
    <mergeCell ref="AW353:AX353"/>
    <mergeCell ref="BE353:BF353"/>
    <mergeCell ref="BH353:BI353"/>
    <mergeCell ref="F352:P352"/>
    <mergeCell ref="R352:U352"/>
    <mergeCell ref="W352:AB352"/>
    <mergeCell ref="AD352:AG352"/>
    <mergeCell ref="AW352:AX352"/>
    <mergeCell ref="BE352:BF352"/>
    <mergeCell ref="BH350:BI350"/>
    <mergeCell ref="F351:P351"/>
    <mergeCell ref="R351:U351"/>
    <mergeCell ref="W351:AB351"/>
    <mergeCell ref="AD351:AG351"/>
    <mergeCell ref="AW351:AX351"/>
    <mergeCell ref="BE351:BF351"/>
    <mergeCell ref="BH351:BI351"/>
    <mergeCell ref="F350:P350"/>
    <mergeCell ref="R350:U350"/>
    <mergeCell ref="W350:AB350"/>
    <mergeCell ref="AD350:AG350"/>
    <mergeCell ref="AW350:AX350"/>
    <mergeCell ref="BE350:BF350"/>
    <mergeCell ref="BH356:BI356"/>
    <mergeCell ref="F357:P357"/>
    <mergeCell ref="R357:U357"/>
    <mergeCell ref="W357:AB357"/>
    <mergeCell ref="AD357:AG357"/>
    <mergeCell ref="AW357:AX357"/>
    <mergeCell ref="BE357:BF357"/>
    <mergeCell ref="BH357:BI357"/>
    <mergeCell ref="F356:P356"/>
    <mergeCell ref="R356:U356"/>
    <mergeCell ref="W356:AB356"/>
    <mergeCell ref="AD356:AG356"/>
    <mergeCell ref="AW356:AX356"/>
    <mergeCell ref="BE356:BF356"/>
    <mergeCell ref="BH354:BI354"/>
    <mergeCell ref="F355:P355"/>
    <mergeCell ref="R355:U355"/>
    <mergeCell ref="W355:AB355"/>
    <mergeCell ref="AD355:AG355"/>
    <mergeCell ref="AW355:AX355"/>
    <mergeCell ref="BE355:BF355"/>
    <mergeCell ref="BH355:BI355"/>
    <mergeCell ref="F354:P354"/>
    <mergeCell ref="R354:U354"/>
    <mergeCell ref="W354:AB354"/>
    <mergeCell ref="AD354:AG354"/>
    <mergeCell ref="AW354:AX354"/>
    <mergeCell ref="BE354:BF354"/>
    <mergeCell ref="BH360:BI360"/>
    <mergeCell ref="F361:P361"/>
    <mergeCell ref="R361:U361"/>
    <mergeCell ref="W361:AB361"/>
    <mergeCell ref="AD361:AG361"/>
    <mergeCell ref="AW361:AX361"/>
    <mergeCell ref="BE361:BF361"/>
    <mergeCell ref="BH361:BI361"/>
    <mergeCell ref="F360:P360"/>
    <mergeCell ref="R360:U360"/>
    <mergeCell ref="W360:AB360"/>
    <mergeCell ref="AD360:AG360"/>
    <mergeCell ref="AW360:AX360"/>
    <mergeCell ref="BE360:BF360"/>
    <mergeCell ref="BH358:BI358"/>
    <mergeCell ref="F359:P359"/>
    <mergeCell ref="R359:U359"/>
    <mergeCell ref="W359:AB359"/>
    <mergeCell ref="AD359:AG359"/>
    <mergeCell ref="AW359:AX359"/>
    <mergeCell ref="BE359:BF359"/>
    <mergeCell ref="BH359:BI359"/>
    <mergeCell ref="F358:P358"/>
    <mergeCell ref="R358:U358"/>
    <mergeCell ref="W358:AB358"/>
    <mergeCell ref="AD358:AG358"/>
    <mergeCell ref="AW358:AX358"/>
    <mergeCell ref="BE358:BF358"/>
    <mergeCell ref="BH367:BI367"/>
    <mergeCell ref="F368:P368"/>
    <mergeCell ref="R368:U368"/>
    <mergeCell ref="W368:AB368"/>
    <mergeCell ref="AD368:AG368"/>
    <mergeCell ref="AW368:AX368"/>
    <mergeCell ref="BE368:BF368"/>
    <mergeCell ref="BH368:BI368"/>
    <mergeCell ref="F367:P367"/>
    <mergeCell ref="R367:U367"/>
    <mergeCell ref="W367:AB367"/>
    <mergeCell ref="AD367:AG367"/>
    <mergeCell ref="AW367:AX367"/>
    <mergeCell ref="BE367:BF367"/>
    <mergeCell ref="BH362:BI362"/>
    <mergeCell ref="AP364:BF364"/>
    <mergeCell ref="BH364:BI366"/>
    <mergeCell ref="R365:U366"/>
    <mergeCell ref="W365:AB366"/>
    <mergeCell ref="AP365:AX365"/>
    <mergeCell ref="AY365:BF365"/>
    <mergeCell ref="AP366:AW366"/>
    <mergeCell ref="AY366:BE366"/>
    <mergeCell ref="F362:P362"/>
    <mergeCell ref="R362:U362"/>
    <mergeCell ref="W362:AB362"/>
    <mergeCell ref="AD362:AG362"/>
    <mergeCell ref="AW362:AX362"/>
    <mergeCell ref="BE362:BF362"/>
    <mergeCell ref="BH371:BI371"/>
    <mergeCell ref="F372:P372"/>
    <mergeCell ref="R372:U372"/>
    <mergeCell ref="W372:AB372"/>
    <mergeCell ref="AD372:AG372"/>
    <mergeCell ref="AW372:AX372"/>
    <mergeCell ref="BE372:BF372"/>
    <mergeCell ref="BH372:BI372"/>
    <mergeCell ref="F371:P371"/>
    <mergeCell ref="R371:U371"/>
    <mergeCell ref="W371:AB371"/>
    <mergeCell ref="AD371:AG371"/>
    <mergeCell ref="AW371:AX371"/>
    <mergeCell ref="BE371:BF371"/>
    <mergeCell ref="BH369:BI369"/>
    <mergeCell ref="F370:P370"/>
    <mergeCell ref="R370:U370"/>
    <mergeCell ref="W370:AB370"/>
    <mergeCell ref="AD370:AG370"/>
    <mergeCell ref="AW370:AX370"/>
    <mergeCell ref="BE370:BF370"/>
    <mergeCell ref="BH370:BI370"/>
    <mergeCell ref="F369:P369"/>
    <mergeCell ref="R369:U369"/>
    <mergeCell ref="W369:AB369"/>
    <mergeCell ref="AD369:AG369"/>
    <mergeCell ref="AW369:AX369"/>
    <mergeCell ref="BE369:BF369"/>
    <mergeCell ref="BH375:BI375"/>
    <mergeCell ref="F376:P376"/>
    <mergeCell ref="R376:U376"/>
    <mergeCell ref="W376:AB376"/>
    <mergeCell ref="AD376:AG376"/>
    <mergeCell ref="AW376:AX376"/>
    <mergeCell ref="BE376:BF376"/>
    <mergeCell ref="BH376:BI376"/>
    <mergeCell ref="F375:P375"/>
    <mergeCell ref="R375:U375"/>
    <mergeCell ref="W375:AB375"/>
    <mergeCell ref="AD375:AG375"/>
    <mergeCell ref="AW375:AX375"/>
    <mergeCell ref="BE375:BF375"/>
    <mergeCell ref="BH373:BI373"/>
    <mergeCell ref="F374:P374"/>
    <mergeCell ref="R374:U374"/>
    <mergeCell ref="W374:AB374"/>
    <mergeCell ref="AD374:AG374"/>
    <mergeCell ref="AW374:AX374"/>
    <mergeCell ref="BE374:BF374"/>
    <mergeCell ref="BH374:BI374"/>
    <mergeCell ref="F373:P373"/>
    <mergeCell ref="R373:U373"/>
    <mergeCell ref="W373:AB373"/>
    <mergeCell ref="AD373:AG373"/>
    <mergeCell ref="AW373:AX373"/>
    <mergeCell ref="BE373:BF373"/>
    <mergeCell ref="BH383:BI383"/>
    <mergeCell ref="F384:P384"/>
    <mergeCell ref="R384:U384"/>
    <mergeCell ref="W384:AB384"/>
    <mergeCell ref="AD384:AG384"/>
    <mergeCell ref="AW384:AX384"/>
    <mergeCell ref="BE384:BF384"/>
    <mergeCell ref="BH384:BI384"/>
    <mergeCell ref="F383:P383"/>
    <mergeCell ref="R383:U383"/>
    <mergeCell ref="W383:AB383"/>
    <mergeCell ref="AD383:AG383"/>
    <mergeCell ref="AW383:AX383"/>
    <mergeCell ref="BE383:BF383"/>
    <mergeCell ref="BH378:BI378"/>
    <mergeCell ref="AP380:BF380"/>
    <mergeCell ref="BH380:BI382"/>
    <mergeCell ref="R381:U382"/>
    <mergeCell ref="W381:AB382"/>
    <mergeCell ref="AP381:AX381"/>
    <mergeCell ref="AY381:BG381"/>
    <mergeCell ref="AP382:AW382"/>
    <mergeCell ref="AY382:BF382"/>
    <mergeCell ref="BH387:BI387"/>
    <mergeCell ref="BH389:BI389"/>
    <mergeCell ref="BH392:BI395"/>
    <mergeCell ref="AP393:BE393"/>
    <mergeCell ref="AP394:AQ395"/>
    <mergeCell ref="AY394:AZ395"/>
    <mergeCell ref="F387:P387"/>
    <mergeCell ref="R387:U387"/>
    <mergeCell ref="W387:AB387"/>
    <mergeCell ref="AD387:AG387"/>
    <mergeCell ref="AW387:AX387"/>
    <mergeCell ref="BE387:BF387"/>
    <mergeCell ref="BH385:BI385"/>
    <mergeCell ref="F386:P386"/>
    <mergeCell ref="R386:U386"/>
    <mergeCell ref="W386:AB386"/>
    <mergeCell ref="AD386:AG386"/>
    <mergeCell ref="AW386:AX386"/>
    <mergeCell ref="BE386:BF386"/>
    <mergeCell ref="BH386:BI386"/>
    <mergeCell ref="F385:P385"/>
    <mergeCell ref="R385:U385"/>
    <mergeCell ref="W385:AB385"/>
    <mergeCell ref="AD385:AG385"/>
    <mergeCell ref="AW385:AX385"/>
    <mergeCell ref="BE385:BF385"/>
    <mergeCell ref="F400:S400"/>
    <mergeCell ref="AD400:AG400"/>
    <mergeCell ref="AR400:AS400"/>
    <mergeCell ref="BA400:BB400"/>
    <mergeCell ref="BH400:BI400"/>
    <mergeCell ref="BH402:BI402"/>
    <mergeCell ref="F398:S398"/>
    <mergeCell ref="AD398:AG398"/>
    <mergeCell ref="AR398:AS398"/>
    <mergeCell ref="BA398:BB398"/>
    <mergeCell ref="BH398:BI398"/>
    <mergeCell ref="F399:S399"/>
    <mergeCell ref="AD399:AG399"/>
    <mergeCell ref="AR399:AS399"/>
    <mergeCell ref="BA399:BB399"/>
    <mergeCell ref="BH399:BI399"/>
    <mergeCell ref="F396:S396"/>
    <mergeCell ref="AD396:AG396"/>
    <mergeCell ref="AR396:AS396"/>
    <mergeCell ref="BA396:BB396"/>
    <mergeCell ref="BH396:BI396"/>
    <mergeCell ref="F397:S397"/>
    <mergeCell ref="AD397:AG397"/>
    <mergeCell ref="AR397:AS397"/>
    <mergeCell ref="BA397:BB397"/>
    <mergeCell ref="BH397:BI397"/>
  </mergeCells>
  <conditionalFormatting sqref="BJ126:BJ130 AR126:AR130 BA126:BA130 BE78:BE92">
    <cfRule type="cellIs" dxfId="170" priority="276" stopIfTrue="1" operator="equal">
      <formula>"Not Qualified"</formula>
    </cfRule>
  </conditionalFormatting>
  <conditionalFormatting sqref="AW113:AW117">
    <cfRule type="cellIs" dxfId="169" priority="275" stopIfTrue="1" operator="equal">
      <formula>"Not Qualified"</formula>
    </cfRule>
  </conditionalFormatting>
  <conditionalFormatting sqref="BE113:BE117">
    <cfRule type="cellIs" dxfId="168" priority="274" stopIfTrue="1" operator="equal">
      <formula>"Not Qualified"</formula>
    </cfRule>
  </conditionalFormatting>
  <conditionalFormatting sqref="A391:BJ395 A401:BJ401 A396:AV400 BG396:BJ400 AY396:BD400 B345:BI352 B365:AO366 AY365:BG366">
    <cfRule type="expression" dxfId="167" priority="273">
      <formula>$BR$1="OR"</formula>
    </cfRule>
  </conditionalFormatting>
  <conditionalFormatting sqref="A121:BJ125 B126:AI130 AY126:AZ130 AK126:AQ130 BG126:BI130 B97:Q106 BG97:BI106 AK97:AK106 AO97:AU106 V97:V106 AC97:AI106 A75:BI77 A78:Q92 AC78:BI92">
    <cfRule type="expression" dxfId="166" priority="246" stopIfTrue="1">
      <formula>$BR$1="OR"</formula>
    </cfRule>
  </conditionalFormatting>
  <conditionalFormatting sqref="B126:B130 D126:D130 F126:S130 AD126:AG130 AI126:AI130">
    <cfRule type="expression" dxfId="165" priority="245">
      <formula>AND($BR$1="OR",B126&lt;&gt;"")</formula>
    </cfRule>
  </conditionalFormatting>
  <conditionalFormatting sqref="AW126:AX130">
    <cfRule type="expression" dxfId="164" priority="270" stopIfTrue="1">
      <formula>$BR$1="OR"</formula>
    </cfRule>
  </conditionalFormatting>
  <conditionalFormatting sqref="AW97:AW106">
    <cfRule type="cellIs" dxfId="163" priority="269" stopIfTrue="1" operator="equal">
      <formula>"Not Qualified"</formula>
    </cfRule>
  </conditionalFormatting>
  <conditionalFormatting sqref="BE78:BF92">
    <cfRule type="cellIs" dxfId="162" priority="268" operator="equal">
      <formula>"ID Only*"</formula>
    </cfRule>
  </conditionalFormatting>
  <conditionalFormatting sqref="AW113:AX117">
    <cfRule type="cellIs" dxfId="161" priority="262" operator="equal">
      <formula>"ID Only*"</formula>
    </cfRule>
  </conditionalFormatting>
  <conditionalFormatting sqref="BE113:BF117">
    <cfRule type="cellIs" dxfId="160" priority="266" operator="equal">
      <formula>"ID Only*"</formula>
    </cfRule>
  </conditionalFormatting>
  <conditionalFormatting sqref="A94:BF96">
    <cfRule type="expression" dxfId="159" priority="191" stopIfTrue="1">
      <formula>$BR$1="OR"</formula>
    </cfRule>
  </conditionalFormatting>
  <conditionalFormatting sqref="AY95:BF95">
    <cfRule type="expression" dxfId="158" priority="264">
      <formula>$BR$1="OR"</formula>
    </cfRule>
  </conditionalFormatting>
  <conditionalFormatting sqref="AW97:AX106">
    <cfRule type="cellIs" dxfId="157" priority="259" operator="equal">
      <formula>"ID Only*"</formula>
    </cfRule>
    <cfRule type="cellIs" dxfId="156" priority="265" operator="equal">
      <formula>"Ineligible"</formula>
    </cfRule>
  </conditionalFormatting>
  <conditionalFormatting sqref="AW113:AX117">
    <cfRule type="cellIs" dxfId="155" priority="267" operator="equal">
      <formula>"Ineligible"</formula>
    </cfRule>
  </conditionalFormatting>
  <conditionalFormatting sqref="B113:B117 D113:D117 F113:P117 AD113:AG117 AI113:AI117 AK113:AK117 CB113:CE117 CG113:CL117 R113:U117 W113:AB117">
    <cfRule type="expression" dxfId="154" priority="231">
      <formula>AND($BR$1="OR",B113&lt;&gt;"",OR($F113="Air Conditioning VRF, Air Cooled",$F113="Heat Pump VRF, Water Cooled"))</formula>
    </cfRule>
  </conditionalFormatting>
  <conditionalFormatting sqref="BG113:BG117 AK113:AU117 AY113:BD117 CB113:CL117 AL97:AN106 B113:AI117">
    <cfRule type="expression" dxfId="153" priority="232" stopIfTrue="1">
      <formula>AND($BR$1="OR",OR($F97="Air Conditioning VRF, Air Cooled",$F97="Heat Pump VRF, Water Cooled"))</formula>
    </cfRule>
  </conditionalFormatting>
  <conditionalFormatting sqref="AR126:AU130 BA126:BD130">
    <cfRule type="cellIs" dxfId="152" priority="258" operator="equal">
      <formula>"ID Only*"</formula>
    </cfRule>
  </conditionalFormatting>
  <conditionalFormatting sqref="B78:B92 B97:B106 B113:B117 B11:B20 B27:B36">
    <cfRule type="expression" dxfId="151" priority="254" stopIfTrue="1">
      <formula>$AW11="Ineligible"</formula>
    </cfRule>
    <cfRule type="expression" dxfId="150" priority="263">
      <formula>AND(OR($D11&gt;0,$F11&lt;&gt;"",$R11&lt;&gt;"",$W11&lt;&gt;"",$AD11&lt;&gt;"",$AI11&gt;0,$AK11&gt;0),$B11="")</formula>
    </cfRule>
  </conditionalFormatting>
  <conditionalFormatting sqref="D78:D92 D97:D106 D113:D117 D11:D20 D27:D36">
    <cfRule type="expression" dxfId="149" priority="253" stopIfTrue="1">
      <formula>$AW11="Ineligible"</formula>
    </cfRule>
    <cfRule type="expression" dxfId="148" priority="261">
      <formula>AND(OR($B11&gt;0,$F11&lt;&gt;"",$R11&lt;&gt;"",$W11&lt;&gt;"",$AD11&lt;&gt;"",$AI11&gt;0,$AK11&gt;0),$D11="")</formula>
    </cfRule>
  </conditionalFormatting>
  <conditionalFormatting sqref="F78:P92 F97:P106 F113:P117 F11:P20 F27:P36">
    <cfRule type="expression" dxfId="147" priority="250" stopIfTrue="1">
      <formula>$AW11="Ineligible"</formula>
    </cfRule>
    <cfRule type="expression" dxfId="146" priority="260">
      <formula>AND(OR($B11&gt;0,$D11&gt;0,$R11&lt;&gt;"",$W11&lt;&gt;"",$AD11&lt;&gt;"",$AI11&gt;0,$AK11&gt;0),$F11="")</formula>
    </cfRule>
  </conditionalFormatting>
  <conditionalFormatting sqref="AD78:AG92 AD97:AG106 AD113:AG117 AD11:AG20 AD27:AG36">
    <cfRule type="expression" dxfId="145" priority="234" stopIfTrue="1">
      <formula>$AW11="Ineligible"</formula>
    </cfRule>
    <cfRule type="expression" dxfId="144" priority="257">
      <formula>AND(OR($B11&gt;0,$D11&gt;0,$F11&lt;&gt;"",$R11&lt;&gt;"",$W11&lt;&gt;"",$AI11&gt;0,$AK11&gt;0),$AD11="")</formula>
    </cfRule>
  </conditionalFormatting>
  <conditionalFormatting sqref="AI78:AI92 AI97:AI106 AI113:AI117 AI27:AI36">
    <cfRule type="expression" dxfId="143" priority="233" stopIfTrue="1">
      <formula>$AW27="Ineligible"</formula>
    </cfRule>
    <cfRule type="expression" dxfId="142" priority="256">
      <formula>AND(OR($B27&gt;0,$D27&gt;0,$F27&lt;&gt;"",$R27&lt;&gt;"",$W27&lt;&gt;"",$AD27&lt;&gt;"",$AK27&gt;0),$AI27="")</formula>
    </cfRule>
  </conditionalFormatting>
  <conditionalFormatting sqref="AK78:AK92 AK97:AK106 AK113:AK117 AK27:AK36">
    <cfRule type="expression" dxfId="141" priority="252" stopIfTrue="1">
      <formula>$AW27="Ineligible"</formula>
    </cfRule>
    <cfRule type="expression" dxfId="140" priority="255">
      <formula>AND(OR($B27&gt;0,$D27&gt;0,$F27&lt;&gt;"",$R27&lt;&gt;"",$W27&lt;&gt;"",$AD27&lt;&gt;"",$AI27&gt;0),$AK27="")</formula>
    </cfRule>
  </conditionalFormatting>
  <conditionalFormatting sqref="B126:B130">
    <cfRule type="expression" dxfId="139" priority="272">
      <formula>AND(OR($D126&gt;0,$F126&lt;&gt;"",$AD126&lt;&gt;"",$AI126&gt;0),B126="")</formula>
    </cfRule>
  </conditionalFormatting>
  <conditionalFormatting sqref="D126:D130">
    <cfRule type="expression" dxfId="138" priority="271">
      <formula>AND(OR($B126&gt;0,$F126&lt;&gt;"",$AD126&lt;&gt;"",$AI126&gt;0),D126="")</formula>
    </cfRule>
  </conditionalFormatting>
  <conditionalFormatting sqref="F126:S130">
    <cfRule type="expression" dxfId="137" priority="249">
      <formula>AND(OR($B126&gt;0,$D126&gt;0,$AD126&lt;&gt;"",$AI126&gt;0),$F126="")</formula>
    </cfRule>
  </conditionalFormatting>
  <conditionalFormatting sqref="AD126:AG130">
    <cfRule type="expression" dxfId="136" priority="248">
      <formula>AND(OR($B126&gt;0,$D126&gt;0,$F126&lt;&gt;"",,$AI126&gt;0),$AD126="")</formula>
    </cfRule>
  </conditionalFormatting>
  <conditionalFormatting sqref="AI126:AI130">
    <cfRule type="expression" dxfId="135" priority="247">
      <formula>AND(OR($B126&gt;0,$D126&gt;0,$F126&lt;&gt;"",$AD126&lt;&gt;""),$AI126="")</formula>
    </cfRule>
  </conditionalFormatting>
  <conditionalFormatting sqref="AP112:AW112">
    <cfRule type="expression" dxfId="134" priority="244" stopIfTrue="1">
      <formula>$BR$1="OR"</formula>
    </cfRule>
  </conditionalFormatting>
  <conditionalFormatting sqref="AY112:BF112">
    <cfRule type="expression" dxfId="133" priority="243" stopIfTrue="1">
      <formula>$BR$1="OR"</formula>
    </cfRule>
  </conditionalFormatting>
  <conditionalFormatting sqref="A365">
    <cfRule type="expression" dxfId="132" priority="242">
      <formula>$BR$1="OR"</formula>
    </cfRule>
  </conditionalFormatting>
  <conditionalFormatting sqref="B364:BG364">
    <cfRule type="expression" dxfId="131" priority="241">
      <formula>$BR$1="OR"</formula>
    </cfRule>
  </conditionalFormatting>
  <conditionalFormatting sqref="B367:BI376">
    <cfRule type="expression" dxfId="130" priority="240">
      <formula>$BR$1="OR"</formula>
    </cfRule>
  </conditionalFormatting>
  <conditionalFormatting sqref="BG378">
    <cfRule type="expression" dxfId="129" priority="239">
      <formula>$BR$1="OR"</formula>
    </cfRule>
  </conditionalFormatting>
  <conditionalFormatting sqref="BG389">
    <cfRule type="expression" dxfId="128" priority="238">
      <formula>$BR$1="OR"</formula>
    </cfRule>
  </conditionalFormatting>
  <conditionalFormatting sqref="BG402">
    <cfRule type="expression" dxfId="127" priority="237">
      <formula>$BR$1="OR"</formula>
    </cfRule>
  </conditionalFormatting>
  <conditionalFormatting sqref="AK78:AK92">
    <cfRule type="expression" dxfId="126" priority="251" stopIfTrue="1">
      <formula>OR($F78="Package Terminal Air Conditioners (PTAC)",$F78="Package Terminal Heat Pump (PTHP)")</formula>
    </cfRule>
  </conditionalFormatting>
  <conditionalFormatting sqref="AK97:AK106 AK113:AK117">
    <cfRule type="expression" dxfId="125" priority="230" stopIfTrue="1">
      <formula>$AR97="N/A"</formula>
    </cfRule>
  </conditionalFormatting>
  <conditionalFormatting sqref="AK111">
    <cfRule type="expression" dxfId="124" priority="236" stopIfTrue="1">
      <formula>$BR$1="OR"</formula>
    </cfRule>
  </conditionalFormatting>
  <conditionalFormatting sqref="CB94:CL96">
    <cfRule type="expression" dxfId="123" priority="235" stopIfTrue="1">
      <formula>$BR$1="OR"</formula>
    </cfRule>
  </conditionalFormatting>
  <conditionalFormatting sqref="CB97:CE106 CG97:CL106">
    <cfRule type="cellIs" dxfId="122" priority="205" stopIfTrue="1" operator="equal">
      <formula>""</formula>
    </cfRule>
    <cfRule type="cellIs" dxfId="121" priority="206" stopIfTrue="1" operator="equal">
      <formula>"N/A"</formula>
    </cfRule>
  </conditionalFormatting>
  <conditionalFormatting sqref="CB97:CB106 CG97:CG106">
    <cfRule type="expression" dxfId="120" priority="204" stopIfTrue="1">
      <formula>ISBLANK(CB97)=TRUE</formula>
    </cfRule>
  </conditionalFormatting>
  <conditionalFormatting sqref="CB97:CL106">
    <cfRule type="expression" dxfId="119" priority="199" stopIfTrue="1">
      <formula>$BR$1="OR"</formula>
    </cfRule>
  </conditionalFormatting>
  <conditionalFormatting sqref="CB97:CE106">
    <cfRule type="expression" dxfId="118" priority="201" stopIfTrue="1">
      <formula>$AW97="Ineligible"</formula>
    </cfRule>
    <cfRule type="expression" dxfId="117" priority="203">
      <formula>AND(OR($B97&gt;0,$D97&gt;0,$F97&lt;&gt;"",,$W97&lt;&gt;"",$AD97&lt;&gt;"",$AI97&gt;0,$AK97&gt;0),OR($R97="",$R97="Please Select"))</formula>
    </cfRule>
  </conditionalFormatting>
  <conditionalFormatting sqref="CG97:CL106">
    <cfRule type="expression" dxfId="116" priority="200" stopIfTrue="1">
      <formula>$AW97="Ineligible"</formula>
    </cfRule>
    <cfRule type="expression" dxfId="115" priority="202">
      <formula>AND(OR($B97&gt;0,$D97&gt;0,$F97&lt;&gt;"",$R97&lt;&gt;"",$AD97&lt;&gt;"",$AI97&gt;0,$AK97&gt;0),OR($W97="",$W97="Please Select"))</formula>
    </cfRule>
  </conditionalFormatting>
  <conditionalFormatting sqref="CB113:CE117">
    <cfRule type="expression" dxfId="114" priority="193" stopIfTrue="1">
      <formula>$AW113="Ineligible"</formula>
    </cfRule>
    <cfRule type="expression" dxfId="113" priority="195">
      <formula>AND(OR($B113&gt;0,$D113&gt;0,$F113&lt;&gt;"",,$W113&lt;&gt;"",$AD113&lt;&gt;"",$AI113&gt;0,$AK113&gt;0),OR($R113="",$R113="Please Select"))</formula>
    </cfRule>
  </conditionalFormatting>
  <conditionalFormatting sqref="CG113:CL117">
    <cfRule type="expression" dxfId="112" priority="192" stopIfTrue="1">
      <formula>$AW113="Ineligible"</formula>
    </cfRule>
    <cfRule type="expression" dxfId="111" priority="194">
      <formula>AND(OR($B113&gt;0,$D113&gt;0,$F113&lt;&gt;"",$R113&lt;&gt;"",$AD113&lt;&gt;"",$AI113&gt;0,$AK113&gt;0),OR($W113="",$W113="Please Select"))</formula>
    </cfRule>
  </conditionalFormatting>
  <conditionalFormatting sqref="CB113:CE117 CG113:CL117">
    <cfRule type="expression" dxfId="110" priority="196" stopIfTrue="1">
      <formula>ISBLANK(CB113)=TRUE</formula>
    </cfRule>
    <cfRule type="cellIs" dxfId="109" priority="197" stopIfTrue="1" operator="equal">
      <formula>""</formula>
    </cfRule>
    <cfRule type="cellIs" dxfId="108" priority="198" stopIfTrue="1" operator="equal">
      <formula>"N/A"</formula>
    </cfRule>
  </conditionalFormatting>
  <conditionalFormatting sqref="AI97:AI106 AI113:AI117">
    <cfRule type="expression" dxfId="107" priority="229">
      <formula>$AP97="N/A"</formula>
    </cfRule>
  </conditionalFormatting>
  <conditionalFormatting sqref="R97:U106">
    <cfRule type="cellIs" dxfId="106" priority="161" stopIfTrue="1" operator="equal">
      <formula>""</formula>
    </cfRule>
    <cfRule type="cellIs" dxfId="105" priority="162" stopIfTrue="1" operator="equal">
      <formula>"N/A"</formula>
    </cfRule>
  </conditionalFormatting>
  <conditionalFormatting sqref="R97:R106">
    <cfRule type="expression" dxfId="104" priority="160" stopIfTrue="1">
      <formula>ISBLANK(R97)=TRUE</formula>
    </cfRule>
  </conditionalFormatting>
  <conditionalFormatting sqref="R97:U106">
    <cfRule type="expression" dxfId="103" priority="157" stopIfTrue="1">
      <formula>$BR$1="OR"</formula>
    </cfRule>
  </conditionalFormatting>
  <conditionalFormatting sqref="R97:U106">
    <cfRule type="expression" dxfId="102" priority="158" stopIfTrue="1">
      <formula>$AW97="Ineligible"</formula>
    </cfRule>
    <cfRule type="expression" dxfId="101" priority="159">
      <formula>AND(OR($B97&gt;0,$D97&gt;0,$F97&lt;&gt;"",,$W97&lt;&gt;"",$AD97&lt;&gt;"",$AI97&gt;0,$AK97&gt;0),OR($R97="",$R97="Please Select"))</formula>
    </cfRule>
  </conditionalFormatting>
  <conditionalFormatting sqref="W97:AB106">
    <cfRule type="cellIs" dxfId="100" priority="155" stopIfTrue="1" operator="equal">
      <formula>""</formula>
    </cfRule>
    <cfRule type="cellIs" dxfId="99" priority="156" stopIfTrue="1" operator="equal">
      <formula>"N/A"</formula>
    </cfRule>
  </conditionalFormatting>
  <conditionalFormatting sqref="W97:W106">
    <cfRule type="expression" dxfId="98" priority="154" stopIfTrue="1">
      <formula>ISBLANK(W97)=TRUE</formula>
    </cfRule>
  </conditionalFormatting>
  <conditionalFormatting sqref="W97:AB106">
    <cfRule type="expression" dxfId="97" priority="151" stopIfTrue="1">
      <formula>$BR$1="OR"</formula>
    </cfRule>
  </conditionalFormatting>
  <conditionalFormatting sqref="W97:AB106">
    <cfRule type="expression" dxfId="96" priority="152" stopIfTrue="1">
      <formula>$AW97="Ineligible"</formula>
    </cfRule>
    <cfRule type="expression" dxfId="95" priority="153">
      <formula>AND(OR($B97&gt;0,$D97&gt;0,$F97&lt;&gt;"",$R97&lt;&gt;"",$AD97&lt;&gt;"",$AI97&gt;0,$AK97&gt;0),OR($W97="",$W97="Please Select"))</formula>
    </cfRule>
  </conditionalFormatting>
  <conditionalFormatting sqref="R113:U117">
    <cfRule type="expression" dxfId="94" priority="146" stopIfTrue="1">
      <formula>$AW113="Ineligible"</formula>
    </cfRule>
    <cfRule type="expression" dxfId="93" priority="147">
      <formula>AND(OR($B113&gt;0,$D113&gt;0,$F113&lt;&gt;"",,$W113&lt;&gt;"",$AD113&lt;&gt;"",$AI113&gt;0,$AK113&gt;0),OR($R113="",$R113="Please Select"))</formula>
    </cfRule>
  </conditionalFormatting>
  <conditionalFormatting sqref="R113:U117">
    <cfRule type="expression" dxfId="92" priority="148" stopIfTrue="1">
      <formula>ISBLANK(R113)=TRUE</formula>
    </cfRule>
    <cfRule type="cellIs" dxfId="91" priority="149" stopIfTrue="1" operator="equal">
      <formula>""</formula>
    </cfRule>
    <cfRule type="cellIs" dxfId="90" priority="150" stopIfTrue="1" operator="equal">
      <formula>"N/A"</formula>
    </cfRule>
  </conditionalFormatting>
  <conditionalFormatting sqref="W113:AB117">
    <cfRule type="expression" dxfId="89" priority="141" stopIfTrue="1">
      <formula>$AW113="Ineligible"</formula>
    </cfRule>
    <cfRule type="expression" dxfId="88" priority="142">
      <formula>AND(OR($B113&gt;0,$D113&gt;0,$F113&lt;&gt;"",$R113&lt;&gt;"",$AD113&lt;&gt;"",$AI113&gt;0,$AK113&gt;0),OR($W113="",$W113="Please Select"))</formula>
    </cfRule>
  </conditionalFormatting>
  <conditionalFormatting sqref="W113:AB117">
    <cfRule type="expression" dxfId="87" priority="143" stopIfTrue="1">
      <formula>ISBLANK(W113)=TRUE</formula>
    </cfRule>
    <cfRule type="cellIs" dxfId="86" priority="144" stopIfTrue="1" operator="equal">
      <formula>""</formula>
    </cfRule>
    <cfRule type="cellIs" dxfId="85" priority="145" stopIfTrue="1" operator="equal">
      <formula>"N/A"</formula>
    </cfRule>
  </conditionalFormatting>
  <conditionalFormatting sqref="AI11:AI20">
    <cfRule type="expression" dxfId="84" priority="140" stopIfTrue="1">
      <formula>$AW11="Ineligible"</formula>
    </cfRule>
    <cfRule type="expression" dxfId="83" priority="277">
      <formula>AND(OR($B11&gt;0,$D11&gt;0,$F11&gt;0,$AD11&lt;&gt;"",$AK11&gt;0),$AI11="")</formula>
    </cfRule>
  </conditionalFormatting>
  <conditionalFormatting sqref="AK11:AK20">
    <cfRule type="expression" dxfId="82" priority="139" stopIfTrue="1">
      <formula>$AW11="Ineligible"</formula>
    </cfRule>
    <cfRule type="expression" dxfId="81" priority="278">
      <formula>AND(OR($B11&gt;0,$D11&gt;0,$F11&lt;&gt;"",$AD11&lt;&gt;"",$AI11&gt;0),$AK11="")</formula>
    </cfRule>
  </conditionalFormatting>
  <conditionalFormatting sqref="CG27:CG36 W27:W36">
    <cfRule type="expression" dxfId="80" priority="138" stopIfTrue="1">
      <formula>ISBLANK(W27)=TRUE</formula>
    </cfRule>
  </conditionalFormatting>
  <conditionalFormatting sqref="B132">
    <cfRule type="expression" dxfId="79" priority="132">
      <formula>$BR$1="OR"</formula>
    </cfRule>
  </conditionalFormatting>
  <conditionalFormatting sqref="AW11:AW20 BE11:BE20 BE27:BE36 BE43:BE52 AW43:AW52 AD59:AG68 BE59:BE68 AW59:AW68 AW78:AW92 AW27:AW36">
    <cfRule type="cellIs" dxfId="78" priority="3" stopIfTrue="1" operator="equal">
      <formula>"Not Qualified"</formula>
    </cfRule>
  </conditionalFormatting>
  <conditionalFormatting sqref="BE11:BF20 BE27:BF36 AW43:AX52 AW59:AX68 BE59:BF68 AW78:AX92 BE78:BF92 AW27:AX36">
    <cfRule type="cellIs" dxfId="77" priority="129" operator="equal">
      <formula>"ID Only*"</formula>
    </cfRule>
  </conditionalFormatting>
  <conditionalFormatting sqref="AW11:AX20 AW78:AX92 AW27:AX36">
    <cfRule type="cellIs" dxfId="76" priority="130" operator="equal">
      <formula>"Ineligible"</formula>
    </cfRule>
  </conditionalFormatting>
  <conditionalFormatting sqref="B78:B92 D78:D92 F78:P92 AD78:AG92 AI78:AI92 AK78:AK92 CB78:CE92 R78:U92">
    <cfRule type="expression" dxfId="75" priority="122" stopIfTrue="1">
      <formula>AND($BR$1="OR",B78&lt;&gt;"")</formula>
    </cfRule>
  </conditionalFormatting>
  <conditionalFormatting sqref="CG27:CL36 W27:AB36">
    <cfRule type="cellIs" dxfId="74" priority="136" stopIfTrue="1" operator="equal">
      <formula>""</formula>
    </cfRule>
    <cfRule type="cellIs" dxfId="73" priority="137" stopIfTrue="1" operator="equal">
      <formula>"N/A"</formula>
    </cfRule>
  </conditionalFormatting>
  <conditionalFormatting sqref="F43:P52 AI43:AI52 AD43:AG52 D43:D52 B43:B52 B59:B68 D59:D68 F59:P68 AI59:AI68 CG27:CL36 W27:AB36">
    <cfRule type="expression" dxfId="72" priority="2" stopIfTrue="1">
      <formula>$AW27="Ineligible"</formula>
    </cfRule>
  </conditionalFormatting>
  <conditionalFormatting sqref="AB7 AB277">
    <cfRule type="expression" dxfId="71" priority="126">
      <formula>$AD$6="Electric"</formula>
    </cfRule>
  </conditionalFormatting>
  <conditionalFormatting sqref="AD7:AG7 AD277:AG277">
    <cfRule type="expression" dxfId="70" priority="125">
      <formula>$AD$6="Electric"</formula>
    </cfRule>
  </conditionalFormatting>
  <conditionalFormatting sqref="AI7">
    <cfRule type="expression" dxfId="69" priority="124">
      <formula>$AD$6="Electric"</formula>
    </cfRule>
  </conditionalFormatting>
  <conditionalFormatting sqref="CB78:CL92">
    <cfRule type="expression" dxfId="68" priority="97" stopIfTrue="1">
      <formula>$BR$1="OR"</formula>
    </cfRule>
  </conditionalFormatting>
  <conditionalFormatting sqref="CB92:CE92">
    <cfRule type="cellIs" dxfId="67" priority="95" stopIfTrue="1" operator="equal">
      <formula>""</formula>
    </cfRule>
    <cfRule type="cellIs" dxfId="66" priority="96" stopIfTrue="1" operator="equal">
      <formula>"N/A"</formula>
    </cfRule>
  </conditionalFormatting>
  <conditionalFormatting sqref="CB92">
    <cfRule type="expression" dxfId="65" priority="94" stopIfTrue="1">
      <formula>ISBLANK(CB92)=TRUE</formula>
    </cfRule>
  </conditionalFormatting>
  <conditionalFormatting sqref="CB92:CE92">
    <cfRule type="cellIs" dxfId="64" priority="92" stopIfTrue="1" operator="equal">
      <formula>""</formula>
    </cfRule>
    <cfRule type="cellIs" dxfId="63" priority="93" stopIfTrue="1" operator="equal">
      <formula>"N/A"</formula>
    </cfRule>
  </conditionalFormatting>
  <conditionalFormatting sqref="CB92">
    <cfRule type="expression" dxfId="62" priority="91" stopIfTrue="1">
      <formula>ISBLANK(CB92)=TRUE</formula>
    </cfRule>
  </conditionalFormatting>
  <conditionalFormatting sqref="CB92:CE92">
    <cfRule type="cellIs" dxfId="61" priority="89" stopIfTrue="1" operator="equal">
      <formula>""</formula>
    </cfRule>
    <cfRule type="cellIs" dxfId="60" priority="90" stopIfTrue="1" operator="equal">
      <formula>"N/A"</formula>
    </cfRule>
  </conditionalFormatting>
  <conditionalFormatting sqref="CB92">
    <cfRule type="expression" dxfId="59" priority="88" stopIfTrue="1">
      <formula>ISBLANK(CB92)=TRUE</formula>
    </cfRule>
  </conditionalFormatting>
  <conditionalFormatting sqref="CB78:CE92">
    <cfRule type="expression" dxfId="58" priority="76" stopIfTrue="1">
      <formula>$AW78="Ineligible"</formula>
    </cfRule>
    <cfRule type="expression" dxfId="57" priority="84">
      <formula>AND(OR($B78&gt;0,$D78&gt;0,$F78&lt;&gt;"",,$W78&lt;&gt;"",$AD78&lt;&gt;"",$AI78&gt;0,$AK78&gt;0),OR($R78="",$R78="Please Select"))</formula>
    </cfRule>
  </conditionalFormatting>
  <conditionalFormatting sqref="CB78:CE92">
    <cfRule type="expression" dxfId="56" priority="85" stopIfTrue="1">
      <formula>ISBLANK(CB78)=TRUE</formula>
    </cfRule>
    <cfRule type="cellIs" dxfId="55" priority="86" stopIfTrue="1" operator="equal">
      <formula>""</formula>
    </cfRule>
    <cfRule type="cellIs" dxfId="54" priority="87" stopIfTrue="1" operator="equal">
      <formula>"N/A"</formula>
    </cfRule>
  </conditionalFormatting>
  <conditionalFormatting sqref="CG92">
    <cfRule type="expression" dxfId="53" priority="82" stopIfTrue="1">
      <formula>ISBLANK(CG92)=TRUE</formula>
    </cfRule>
  </conditionalFormatting>
  <conditionalFormatting sqref="CG78:CL92">
    <cfRule type="expression" dxfId="52" priority="75" stopIfTrue="1">
      <formula>$AW78="Ineligible"</formula>
    </cfRule>
    <cfRule type="expression" dxfId="51" priority="79">
      <formula>AND(OR($B78&gt;0,$D78&gt;0,$F78&lt;&gt;"",$R78&lt;&gt;"",$AD78&lt;&gt;"",$AI78&gt;0,$AK78&gt;0),OR($W78="",$W78="Please Select"))</formula>
    </cfRule>
    <cfRule type="expression" dxfId="50" priority="80" stopIfTrue="1">
      <formula>ISBLANK(CG78)=TRUE</formula>
    </cfRule>
    <cfRule type="cellIs" dxfId="49" priority="81" stopIfTrue="1" operator="equal">
      <formula>""</formula>
    </cfRule>
    <cfRule type="cellIs" dxfId="48" priority="83" stopIfTrue="1" operator="equal">
      <formula>"N/A"</formula>
    </cfRule>
  </conditionalFormatting>
  <conditionalFormatting sqref="CG78:CL92">
    <cfRule type="expression" dxfId="47" priority="74" stopIfTrue="1">
      <formula>AND($BR$1="OR",CG78&lt;&gt;"")</formula>
    </cfRule>
  </conditionalFormatting>
  <conditionalFormatting sqref="CG78:CL92 CB78:CE92 R78:U92">
    <cfRule type="expression" dxfId="46" priority="77" stopIfTrue="1">
      <formula>$BR$1="OR"</formula>
    </cfRule>
    <cfRule type="expression" dxfId="45" priority="78" stopIfTrue="1">
      <formula>OR($F78="Package Terminal Air Conditioners (PTAC)",$F78="Package Terminal Heat Pump (PTHP)")</formula>
    </cfRule>
  </conditionalFormatting>
  <conditionalFormatting sqref="AB74 AB344">
    <cfRule type="expression" dxfId="44" priority="49">
      <formula>$AD$73="Electric"</formula>
    </cfRule>
  </conditionalFormatting>
  <conditionalFormatting sqref="AD74:AG74 AD344:AG344">
    <cfRule type="expression" dxfId="43" priority="48">
      <formula>$AD$73="Electric"</formula>
    </cfRule>
  </conditionalFormatting>
  <conditionalFormatting sqref="R78:AB92">
    <cfRule type="expression" dxfId="42" priority="46" stopIfTrue="1">
      <formula>$BR$1="OR"</formula>
    </cfRule>
  </conditionalFormatting>
  <conditionalFormatting sqref="R92:U92">
    <cfRule type="cellIs" dxfId="41" priority="44" stopIfTrue="1" operator="equal">
      <formula>""</formula>
    </cfRule>
    <cfRule type="cellIs" dxfId="40" priority="45" stopIfTrue="1" operator="equal">
      <formula>"N/A"</formula>
    </cfRule>
  </conditionalFormatting>
  <conditionalFormatting sqref="R92">
    <cfRule type="expression" dxfId="39" priority="43" stopIfTrue="1">
      <formula>ISBLANK(R92)=TRUE</formula>
    </cfRule>
  </conditionalFormatting>
  <conditionalFormatting sqref="R92:U92">
    <cfRule type="cellIs" dxfId="38" priority="41" stopIfTrue="1" operator="equal">
      <formula>""</formula>
    </cfRule>
    <cfRule type="cellIs" dxfId="37" priority="42" stopIfTrue="1" operator="equal">
      <formula>"N/A"</formula>
    </cfRule>
  </conditionalFormatting>
  <conditionalFormatting sqref="R92">
    <cfRule type="expression" dxfId="36" priority="40" stopIfTrue="1">
      <formula>ISBLANK(R92)=TRUE</formula>
    </cfRule>
  </conditionalFormatting>
  <conditionalFormatting sqref="R92:U92">
    <cfRule type="cellIs" dxfId="35" priority="38" stopIfTrue="1" operator="equal">
      <formula>""</formula>
    </cfRule>
    <cfRule type="cellIs" dxfId="34" priority="39" stopIfTrue="1" operator="equal">
      <formula>"N/A"</formula>
    </cfRule>
  </conditionalFormatting>
  <conditionalFormatting sqref="R92">
    <cfRule type="expression" dxfId="33" priority="37" stopIfTrue="1">
      <formula>ISBLANK(R92)=TRUE</formula>
    </cfRule>
  </conditionalFormatting>
  <conditionalFormatting sqref="R78:U92">
    <cfRule type="expression" dxfId="32" priority="25" stopIfTrue="1">
      <formula>$AW78="Ineligible"</formula>
    </cfRule>
    <cfRule type="expression" dxfId="31" priority="33">
      <formula>AND(OR($B78&gt;0,$D78&gt;0,$F78&lt;&gt;"",,$W78&lt;&gt;"",$AD78&lt;&gt;"",$AI78&gt;0,$AK78&gt;0),OR($R78="",$R78="Please Select"))</formula>
    </cfRule>
  </conditionalFormatting>
  <conditionalFormatting sqref="R78:U92">
    <cfRule type="expression" dxfId="30" priority="34" stopIfTrue="1">
      <formula>ISBLANK(R78)=TRUE</formula>
    </cfRule>
    <cfRule type="cellIs" dxfId="29" priority="35" stopIfTrue="1" operator="equal">
      <formula>""</formula>
    </cfRule>
    <cfRule type="cellIs" dxfId="28" priority="36" stopIfTrue="1" operator="equal">
      <formula>"N/A"</formula>
    </cfRule>
  </conditionalFormatting>
  <conditionalFormatting sqref="W92">
    <cfRule type="expression" dxfId="27" priority="31" stopIfTrue="1">
      <formula>ISBLANK(W92)=TRUE</formula>
    </cfRule>
  </conditionalFormatting>
  <conditionalFormatting sqref="W78:AB92">
    <cfRule type="expression" dxfId="26" priority="24" stopIfTrue="1">
      <formula>$AW78="Ineligible"</formula>
    </cfRule>
    <cfRule type="expression" dxfId="25" priority="28">
      <formula>AND(OR($B78&gt;0,$D78&gt;0,$F78&lt;&gt;"",$R78&lt;&gt;"",$AD78&lt;&gt;"",$AI78&gt;0,$AK78&gt;0),OR($W78="",$W78="Please Select"))</formula>
    </cfRule>
    <cfRule type="expression" dxfId="24" priority="29" stopIfTrue="1">
      <formula>ISBLANK(W78)=TRUE</formula>
    </cfRule>
    <cfRule type="cellIs" dxfId="23" priority="30" stopIfTrue="1" operator="equal">
      <formula>""</formula>
    </cfRule>
    <cfRule type="cellIs" dxfId="22" priority="32" stopIfTrue="1" operator="equal">
      <formula>"N/A"</formula>
    </cfRule>
  </conditionalFormatting>
  <conditionalFormatting sqref="W78:AB92">
    <cfRule type="expression" dxfId="21" priority="23" stopIfTrue="1">
      <formula>AND($BR$1="OR",W78&lt;&gt;"")</formula>
    </cfRule>
  </conditionalFormatting>
  <conditionalFormatting sqref="W78:AB92">
    <cfRule type="expression" dxfId="20" priority="26" stopIfTrue="1">
      <formula>$BR$1="OR"</formula>
    </cfRule>
    <cfRule type="expression" dxfId="19" priority="27" stopIfTrue="1">
      <formula>OR($F78="Package Terminal Air Conditioners (PTAC)",$F78="Package Terminal Heat Pump (PTHP)")</formula>
    </cfRule>
  </conditionalFormatting>
  <conditionalFormatting sqref="B43:B52">
    <cfRule type="expression" dxfId="18" priority="134">
      <formula>AND(OR($B43&gt;0,$D43&gt;0,$F43&lt;&gt;"",$AD43&lt;&gt;"",$AI43&gt;0),$B43="")</formula>
    </cfRule>
  </conditionalFormatting>
  <conditionalFormatting sqref="D43:D52">
    <cfRule type="expression" dxfId="17" priority="22">
      <formula>AND(OR($B43&gt;0,$D43&gt;0,$F43&lt;&gt;"",$AD43&lt;&gt;"",$AI43&gt;0),$D43="")</formula>
    </cfRule>
  </conditionalFormatting>
  <conditionalFormatting sqref="F43:AA52">
    <cfRule type="expression" dxfId="16" priority="21">
      <formula>AND(OR($B43&gt;0,$D43&gt;0,$F43&lt;&gt;"",$AD43&lt;&gt;"",$AI43&gt;0),$F43="")</formula>
    </cfRule>
  </conditionalFormatting>
  <conditionalFormatting sqref="AD43:AG52">
    <cfRule type="expression" dxfId="15" priority="20">
      <formula>AND(OR($B43&gt;0,$D43&gt;0,$F43&lt;&gt;"",$AD43&lt;&gt;"",$AI43&gt;0),$AD43="")</formula>
    </cfRule>
  </conditionalFormatting>
  <conditionalFormatting sqref="AI43:AI52">
    <cfRule type="expression" dxfId="14" priority="19">
      <formula>AND(OR($B43&gt;0,$D43&gt;0,$F43&lt;&gt;"",$AD43&lt;&gt;"",$AI43&gt;0),$AI43="")</formula>
    </cfRule>
  </conditionalFormatting>
  <conditionalFormatting sqref="AM27:AM36">
    <cfRule type="expression" dxfId="13" priority="15">
      <formula>AND(OR($B27&gt;0,$D27&gt;0,$F27&lt;&gt;"",$R27&lt;&gt;"",$W27&lt;&gt;"",$AD27&lt;&gt;"",$AI27&gt;0),$AM27="")</formula>
    </cfRule>
  </conditionalFormatting>
  <conditionalFormatting sqref="AM27:AM36">
    <cfRule type="expression" dxfId="12" priority="14" stopIfTrue="1">
      <formula>$BT$1&lt;&gt;"Electric"</formula>
    </cfRule>
  </conditionalFormatting>
  <conditionalFormatting sqref="AT27:AT36">
    <cfRule type="expression" dxfId="11" priority="13">
      <formula>$BT$1="Electric"</formula>
    </cfRule>
  </conditionalFormatting>
  <conditionalFormatting sqref="BC27:BC36">
    <cfRule type="expression" dxfId="10" priority="12">
      <formula>$BT$1="Electric"</formula>
    </cfRule>
  </conditionalFormatting>
  <conditionalFormatting sqref="AK59:AK68">
    <cfRule type="expression" dxfId="9" priority="9">
      <formula>AND(OR($B59&gt;0,$D59&gt;0,$F59&lt;&gt;"",$AD59&lt;&gt;"",$AI59&gt;0,$AK59&gt;0),$AK59="")</formula>
    </cfRule>
  </conditionalFormatting>
  <conditionalFormatting sqref="AK59:AK68">
    <cfRule type="expression" dxfId="8" priority="10" stopIfTrue="1">
      <formula>$AW59="Ineligible"</formula>
    </cfRule>
  </conditionalFormatting>
  <conditionalFormatting sqref="AK59:AK68">
    <cfRule type="expression" dxfId="7" priority="11" stopIfTrue="1">
      <formula>$BT$1&lt;&gt;"Electric"</formula>
    </cfRule>
  </conditionalFormatting>
  <conditionalFormatting sqref="AR59:AR68">
    <cfRule type="expression" dxfId="6" priority="8">
      <formula>$BT$1="Electric"</formula>
    </cfRule>
  </conditionalFormatting>
  <conditionalFormatting sqref="BA59:BA68">
    <cfRule type="expression" dxfId="5" priority="7">
      <formula>$BT$1="Electric"</formula>
    </cfRule>
  </conditionalFormatting>
  <conditionalFormatting sqref="B59:B68">
    <cfRule type="expression" dxfId="4" priority="18">
      <formula>AND(OR($B59&gt;0,$D59&gt;0,$F59&lt;&gt;"",$AD59&lt;&gt;"",$AI59&gt;0,$AK59&gt;0),$B59="")</formula>
    </cfRule>
  </conditionalFormatting>
  <conditionalFormatting sqref="D59:D68">
    <cfRule type="expression" dxfId="3" priority="6">
      <formula>AND(OR($B59&gt;0,$D59&gt;0,$F59&lt;&gt;"",$AD59&lt;&gt;"",$AI59&gt;0,$AK59&gt;0),$D59="")</formula>
    </cfRule>
  </conditionalFormatting>
  <conditionalFormatting sqref="F59:AA68">
    <cfRule type="expression" dxfId="2" priority="5">
      <formula>AND(OR($B59&gt;0,$D59&gt;0,$F59&lt;&gt;"",$AD59&lt;&gt;"",$AI59&gt;0,$AK59&gt;0),$F59="")</formula>
    </cfRule>
  </conditionalFormatting>
  <conditionalFormatting sqref="AD59:AG68">
    <cfRule type="expression" dxfId="1" priority="131">
      <formula>AND(OR($B59&gt;0,$D59&gt;0,$F59&lt;&gt;"",$AD59&lt;&gt;"",$AI59&gt;0,$AK59&gt;0),$AD59="")</formula>
    </cfRule>
  </conditionalFormatting>
  <conditionalFormatting sqref="AI59:AI68">
    <cfRule type="expression" dxfId="0" priority="4">
      <formula>AND(OR($B59&gt;0,$D59&gt;0,$F59&lt;&gt;"",$AD59&lt;&gt;"",$AI59&gt;0,$AK59&gt;0),$AI59="")</formula>
    </cfRule>
  </conditionalFormatting>
  <dataValidations count="88">
    <dataValidation type="decimal" allowBlank="1" showInputMessage="1" showErrorMessage="1" errorTitle="Stop" error="Enter the unit cooling tons as a number. Only units less than 5 tons are eligible for incentive." prompt="Air Source Heat Pumps - CEE Tier 1 and Tier 2 - Only units less than 5 tons qualify." sqref="D27:D36" xr:uid="{69692234-EA94-4C40-AAA7-B1560B1B0302}">
      <formula1>0.5</formula1>
      <formula2>4.99</formula2>
    </dataValidation>
    <dataValidation type="decimal" allowBlank="1" showInputMessage="1" showErrorMessage="1" errorTitle="Stop" error="Enter the unit cooling tons as a number. Only units less than 5 tons are eligible for incentive." prompt="Ductless Mini-Split - ENERGY STAR - Only units less than 5 tons qualify." sqref="D11:D20" xr:uid="{1B26AD21-71B0-4C84-97F7-F71D3635073D}">
      <formula1>0.5</formula1>
      <formula2>4.99</formula2>
    </dataValidation>
    <dataValidation type="decimal" allowBlank="1" showInputMessage="1" errorTitle="Stop" sqref="D59:D68" xr:uid="{8D351C22-1E0A-4D90-995C-D05DF7E81815}">
      <formula1>0.5</formula1>
      <formula2>5</formula2>
    </dataValidation>
    <dataValidation type="decimal" allowBlank="1" showInputMessage="1" showErrorMessage="1" errorTitle="Stop" error="Enter the unit cooling tons as a number." sqref="D43:D52" xr:uid="{D88DEDE0-0CC3-4672-AF6B-09F93C5EA79C}">
      <formula1>0.5</formula1>
      <formula2>5</formula2>
    </dataValidation>
    <dataValidation allowBlank="1" showInputMessage="1" showErrorMessage="1" prompt="Air-Cooled AC/HP VRF CEE Tier 1 - All sizes qualify._x000a_Air-Cooled AC/HP VRF CEE Tier 2 - Only units 5 tons or less qualify._x000a_Water-Cooled HP VRF - Only units 11 tons or less qualify." sqref="D113:D117" xr:uid="{D7A6DA24-8454-4E30-8911-3172333FBB0C}"/>
    <dataValidation type="list" allowBlank="1" showInputMessage="1" showErrorMessage="1" sqref="CG106:CL106 W106:AB106" xr:uid="{707EEF2C-45AA-4581-9AEF-921FC7F692B9}">
      <formula1>SplitorSingle25</formula1>
    </dataValidation>
    <dataValidation type="list" allowBlank="1" showInputMessage="1" showErrorMessage="1" sqref="CG105:CL105 W105:AB105" xr:uid="{E7DDA15C-83BB-42D8-8F59-3EA0A665AF28}">
      <formula1>SplitorSingle24</formula1>
    </dataValidation>
    <dataValidation type="list" allowBlank="1" showInputMessage="1" showErrorMessage="1" sqref="CG104:CL104 W104:AB104" xr:uid="{CC839C53-78F1-4E8D-AF61-6862839ADE3B}">
      <formula1>SplitorSingle23</formula1>
    </dataValidation>
    <dataValidation type="list" allowBlank="1" showInputMessage="1" showErrorMessage="1" sqref="CG103:CL103 W103:AB103" xr:uid="{6390300A-027E-411D-982B-7446A95F645A}">
      <formula1>SplitorSingle22</formula1>
    </dataValidation>
    <dataValidation type="list" allowBlank="1" showInputMessage="1" showErrorMessage="1" sqref="CG102:CL102 W102:AB102" xr:uid="{B988854A-E5A8-46A5-9B81-9A5C5059B39C}">
      <formula1>SplitorSingle21</formula1>
    </dataValidation>
    <dataValidation type="list" allowBlank="1" showInputMessage="1" showErrorMessage="1" sqref="CG101:CL101 W101:AB101" xr:uid="{24B3A6C3-0817-44C7-9BC5-A7C204042191}">
      <formula1>SplitorSingle20</formula1>
    </dataValidation>
    <dataValidation type="list" allowBlank="1" showInputMessage="1" showErrorMessage="1" sqref="CG100:CL100 W100:AB100" xr:uid="{2EC0943A-D94D-42B1-99C1-A4ED3D6A7F88}">
      <formula1>SplitorSingle19</formula1>
    </dataValidation>
    <dataValidation type="list" allowBlank="1" showInputMessage="1" showErrorMessage="1" sqref="CG99:CL99 W99:AB99" xr:uid="{C8FA20B8-2B95-404E-955D-E23CAAD3DE23}">
      <formula1>SplitorSingle18</formula1>
    </dataValidation>
    <dataValidation type="list" allowBlank="1" showInputMessage="1" showErrorMessage="1" sqref="CG98:CL98 W98:AB98" xr:uid="{303AF382-9673-499A-9A63-A965BC679A11}">
      <formula1>SplitorSingle17</formula1>
    </dataValidation>
    <dataValidation type="list" allowBlank="1" showInputMessage="1" showErrorMessage="1" sqref="CG97:CL97 W97:AB97" xr:uid="{9DAAF150-76BA-46E5-9446-E64F45A949DC}">
      <formula1>SplitorSingle16</formula1>
    </dataValidation>
    <dataValidation type="list" allowBlank="1" showInputMessage="1" showErrorMessage="1" sqref="CB106:CE106 R106:U106" xr:uid="{609E904E-418D-405A-A5C7-A0C7B7E03195}">
      <formula1>ResistanceType25</formula1>
    </dataValidation>
    <dataValidation type="list" allowBlank="1" showInputMessage="1" showErrorMessage="1" sqref="CB105:CE105 R105:U105" xr:uid="{4DB72F18-25D7-4F0F-9B36-09B9736807D0}">
      <formula1>ResistanceType24</formula1>
    </dataValidation>
    <dataValidation type="list" allowBlank="1" showInputMessage="1" showErrorMessage="1" sqref="CB104:CE104 R104:U104" xr:uid="{09D0FBBB-5A2A-4C30-822B-F8780543765F}">
      <formula1>ResistanceType23</formula1>
    </dataValidation>
    <dataValidation type="list" allowBlank="1" showInputMessage="1" showErrorMessage="1" sqref="CB103:CE103 R103:U103" xr:uid="{89B1536D-1657-481E-A02E-DC394EDE7A23}">
      <formula1>ResistanceType22</formula1>
    </dataValidation>
    <dataValidation type="list" allowBlank="1" showInputMessage="1" showErrorMessage="1" sqref="CB102:CE102 R102:U102" xr:uid="{78F300EA-E3EA-4BB0-9A72-A18FB5567697}">
      <formula1>ResistanceType21</formula1>
    </dataValidation>
    <dataValidation type="list" allowBlank="1" showInputMessage="1" showErrorMessage="1" sqref="CB101:CE101 R101:U101" xr:uid="{CCA45EAE-CF18-4307-AD58-28F74E7EBE6B}">
      <formula1>ResistanceType20</formula1>
    </dataValidation>
    <dataValidation type="list" allowBlank="1" showInputMessage="1" showErrorMessage="1" sqref="CB100:CE100 R100:U100" xr:uid="{C41B1675-4DF7-4CF3-BDCF-AF7FC9D8D38C}">
      <formula1>ResistanceType19</formula1>
    </dataValidation>
    <dataValidation type="list" allowBlank="1" showInputMessage="1" showErrorMessage="1" sqref="CB99:CE99 R99:U99" xr:uid="{0A89C73E-4ED0-4C98-AFC4-086757662AE6}">
      <formula1>ResistanceType18</formula1>
    </dataValidation>
    <dataValidation type="list" allowBlank="1" showInputMessage="1" showErrorMessage="1" sqref="CB98:CE98 R98:U98" xr:uid="{E9C4F000-0952-4431-9EC8-7A787C6DCD32}">
      <formula1>ResistanceType17</formula1>
    </dataValidation>
    <dataValidation type="list" allowBlank="1" showInputMessage="1" showErrorMessage="1" sqref="CB97:CE97 R97:U97" xr:uid="{E3E9BF53-BB13-42A2-B60E-52F80CE16DD9}">
      <formula1>ResistanceType16</formula1>
    </dataValidation>
    <dataValidation type="list" allowBlank="1" showInputMessage="1" showErrorMessage="1" errorTitle="Stop" error="Select a value from the drop-down menu." sqref="F97:P106" xr:uid="{EED92691-9011-46A9-9DEF-EB42F5653320}">
      <formula1>ACEquipmentTypeWater</formula1>
    </dataValidation>
    <dataValidation type="decimal" allowBlank="1" showInputMessage="1" showErrorMessage="1" errorTitle="Stop" error="Enter the unit cooling tons as a number. Only units 5 tons or less are eligible for incentive." prompt="Air Conditioners - All sizes qualify._x000a_Heat Pumps - Only units 11 tons or less qualify." sqref="D97:D106" xr:uid="{B75B4FB2-82B9-496E-A840-8CE87F9B88F9}">
      <formula1>0.5</formula1>
      <formula2>2000</formula2>
    </dataValidation>
    <dataValidation type="decimal" allowBlank="1" showInputMessage="1" showErrorMessage="1" errorTitle="Stop" error="Enter the unit cooling tons as a number. Only units 5 tons or less are eligible for incentive." prompt="Air Conditioners - All sizes qualify._x000a_Heat Pumps - CEE Tier 1 - Only units less than 64 tons qualify._x000a_Heat Pumps - CEE Tier 2 - Only units 5 tons or less qualify." sqref="D78:D92" xr:uid="{5F8D6DCE-E4A1-439A-9E61-CA22AECE9C11}">
      <formula1>0.5</formula1>
      <formula2>2000</formula2>
    </dataValidation>
    <dataValidation type="list" allowBlank="1" showInputMessage="1" showErrorMessage="1" sqref="CB115:CE115 R115:U115" xr:uid="{6312A466-479F-4B7D-A77F-1D76F3AA394F}">
      <formula1>ResistanceTypeA203</formula1>
    </dataValidation>
    <dataValidation type="list" allowBlank="1" showInputMessage="1" showErrorMessage="1" sqref="CB114:CE114 R114:U114" xr:uid="{15C8F398-0B96-4ED5-A097-F3E916F75E9B}">
      <formula1>ResistanceTypeA202</formula1>
    </dataValidation>
    <dataValidation type="list" allowBlank="1" showInputMessage="1" showErrorMessage="1" sqref="CB113:CE113 R113:U113" xr:uid="{3EAE540D-90EC-49FE-8BE5-4C06DF280816}">
      <formula1>ResistanceTypeA201</formula1>
    </dataValidation>
    <dataValidation type="list" allowBlank="1" showInputMessage="1" showErrorMessage="1" sqref="CG117:CL117 W117:AB117" xr:uid="{9D903D6B-764A-4B13-B5EE-D508C3DC6982}">
      <formula1>Subcategory05</formula1>
    </dataValidation>
    <dataValidation type="list" allowBlank="1" showInputMessage="1" showErrorMessage="1" sqref="CG116:CL116 W116:AB116" xr:uid="{B8C495D4-DE62-4D2C-9883-19051385EAA7}">
      <formula1>Subcategory04</formula1>
    </dataValidation>
    <dataValidation type="list" allowBlank="1" showInputMessage="1" showErrorMessage="1" sqref="CG115:CL115 W115:AB115" xr:uid="{FBE5F826-93D3-4650-85FD-34B86B853813}">
      <formula1>Subcategory03</formula1>
    </dataValidation>
    <dataValidation type="list" allowBlank="1" showInputMessage="1" showErrorMessage="1" sqref="CG114:CL114 W114:AB114" xr:uid="{34FE8985-001C-4ADD-8AC7-695E09DC9E0B}">
      <formula1>Subcategory02</formula1>
    </dataValidation>
    <dataValidation type="list" allowBlank="1" showInputMessage="1" showErrorMessage="1" sqref="CG113:CL113 W113:AB113" xr:uid="{26E70C67-7232-47E0-9637-43B6EDA64161}">
      <formula1>Subcategory01</formula1>
    </dataValidation>
    <dataValidation type="list" allowBlank="1" showInputMessage="1" showErrorMessage="1" sqref="CB37:CE37 R93:U93 R53:U54 CB23:CE23 R37:U38 R69:U71 CB93:CE93" xr:uid="{1F6E402F-1EF4-4FDB-99A7-127408AB34C5}">
      <formula1>ResistanceType15</formula1>
    </dataValidation>
    <dataValidation type="list" allowBlank="1" showInputMessage="1" showErrorMessage="1" sqref="CB116:CE116 R116:U116" xr:uid="{33E0C619-A7FF-4B84-8F7F-C9195576DD3B}">
      <formula1>ResistanceTypeA204</formula1>
    </dataValidation>
    <dataValidation type="list" allowBlank="1" showInputMessage="1" showErrorMessage="1" sqref="CB117:CE117 R117:U117" xr:uid="{42D28546-3FA8-4B18-AA24-00801929EC81}">
      <formula1>ResistanceTypeA205</formula1>
    </dataValidation>
    <dataValidation type="list" allowBlank="1" showInputMessage="1" showErrorMessage="1" errorTitle="Stop" error="Select a value from the drop-down menu." sqref="F113:F117" xr:uid="{4550DC2C-BE6E-4C27-9075-1F86BA5AA58F}">
      <formula1>VRFType</formula1>
    </dataValidation>
    <dataValidation type="list" allowBlank="1" showInputMessage="1" showErrorMessage="1" errorTitle="Stop" error="Select a value from the drop-down menu." sqref="F78:F93 F21:F23 F37:F39 F53:F55 F69:F71" xr:uid="{7ECF4B6C-604C-4C4F-B2ED-706F426CB2F7}">
      <formula1>ACEquipmentType</formula1>
    </dataValidation>
    <dataValidation type="list" allowBlank="1" showInputMessage="1" showErrorMessage="1" sqref="CG37:CL37 W93:AB93 X53:AB54 CG23:CL23 X37:AB38 X69:AB71 CG93:CL93" xr:uid="{EC2DAEA7-3900-47DB-BA73-4009920672B4}">
      <formula1>SplitorSingle15</formula1>
    </dataValidation>
    <dataValidation type="whole" allowBlank="1" showErrorMessage="1" errorTitle="Stop" error="Enter the quantity of units as a number." sqref="B113:B117 B126:B130 B78:B93 B97:B106 B11:B23 B27:B39 B43:B55 B59:B71" xr:uid="{30A77709-A2E9-459D-A184-E804CD0D4811}">
      <formula1>0</formula1>
      <formula2>100</formula2>
    </dataValidation>
    <dataValidation type="decimal" allowBlank="1" showErrorMessage="1" errorTitle="Stop" error="Enter the unit cooling tons as a number." sqref="E113:E117 D126:D130 E78:E93 E97:E106 E11:E23 E27:E39 E43:E55 E59:E71" xr:uid="{D340ACC7-B213-435B-A8B8-B267A26DDA2E}">
      <formula1>0.5</formula1>
      <formula2>999</formula2>
    </dataValidation>
    <dataValidation type="list" allowBlank="1" showInputMessage="1" showErrorMessage="1" errorTitle="Stop" error="Select a value from the drop-down menu." sqref="G127:R130 F126:F130" xr:uid="{FF9C531B-6686-494F-AD71-1970172A9B89}">
      <formula1>ChillerType</formula1>
    </dataValidation>
    <dataValidation type="decimal" allowBlank="1" showErrorMessage="1" errorTitle="Stop" error="Enter the efficiency as a number." sqref="AI113:AI117 AK113:AK117 AI78:AI93 AI126:AI130 AK78:AK93 AK97:AK106 AI97:AI106 AK11:AK23 AI11:AI23 AK59:AK71 AI27:AI39 AK27:AK39 AK53:AK55 AI43:AI55 AI59:AI71 AM27:AM36" xr:uid="{98918E29-61B6-486C-8312-F27F0A59C484}">
      <formula1>0.01</formula1>
      <formula2>50</formula2>
    </dataValidation>
    <dataValidation type="list" allowBlank="1" showInputMessage="1" showErrorMessage="1" sqref="AD7:AG7 AD74:AG74" xr:uid="{56D9C4CE-5696-49E7-A289-B43FF1D9ACBE}">
      <formula1>HeatingSystem</formula1>
    </dataValidation>
    <dataValidation type="list" allowBlank="1" showInputMessage="1" showErrorMessage="1" sqref="AD6:AG6 AD73:AG73" xr:uid="{065B1174-6D0E-4179-9F55-DAE2C027C530}">
      <formula1>HeatingFuel</formula1>
    </dataValidation>
    <dataValidation type="list" allowBlank="1" showInputMessage="1" showErrorMessage="1" sqref="CG27:CL27 W27:AB27" xr:uid="{16157850-A11D-4882-9B2A-48C14447F7F2}">
      <formula1>MFRSplitorSingle01</formula1>
    </dataValidation>
    <dataValidation type="list" allowBlank="1" showInputMessage="1" showErrorMessage="1" sqref="CG28:CL28 W28:AB28" xr:uid="{0E181C27-40E7-4FF2-8591-E5CDBAC95D79}">
      <formula1>MFRSplitorSingle02</formula1>
    </dataValidation>
    <dataValidation type="list" allowBlank="1" showInputMessage="1" showErrorMessage="1" sqref="CG29:CL29 W29:AB29" xr:uid="{3F4E2ACD-FB64-43E3-8200-A4A32F27D080}">
      <formula1>MFRSplitorSingle03</formula1>
    </dataValidation>
    <dataValidation type="list" allowBlank="1" showInputMessage="1" showErrorMessage="1" sqref="CG30:CL30 W30:AB30" xr:uid="{E791F8C6-5CB8-4E68-A32F-C273C45610F5}">
      <formula1>MFRSplitorSingle04</formula1>
    </dataValidation>
    <dataValidation type="list" allowBlank="1" showInputMessage="1" showErrorMessage="1" sqref="CG31:CL31 W31:AB31" xr:uid="{466E404E-D441-4EAD-AC2A-11EBA291A5EB}">
      <formula1>MFRSplitorSingle05</formula1>
    </dataValidation>
    <dataValidation type="list" allowBlank="1" showInputMessage="1" showErrorMessage="1" sqref="CG32:CL32 W32:AB32" xr:uid="{2FFE1EDC-5121-4A27-BA69-4247427FFDAD}">
      <formula1>MFRSplitorSingle06</formula1>
    </dataValidation>
    <dataValidation type="list" allowBlank="1" showInputMessage="1" showErrorMessage="1" sqref="CG33:CL33 W33:AB33" xr:uid="{01FF576F-0E51-4752-9A0A-C88B31068962}">
      <formula1>MFRSplitorSingle07</formula1>
    </dataValidation>
    <dataValidation type="list" allowBlank="1" showInputMessage="1" showErrorMessage="1" sqref="CG34:CL34 W34:AB34" xr:uid="{806E851B-9838-4C8E-85EC-84E2E0A37550}">
      <formula1>MFRSplitorSingle08</formula1>
    </dataValidation>
    <dataValidation type="list" allowBlank="1" showInputMessage="1" showErrorMessage="1" sqref="CG35:CL35 W35:AB35" xr:uid="{557D4393-A5DC-4D35-BF7E-BCFFD39C4721}">
      <formula1>MFRSplitorSingle09</formula1>
    </dataValidation>
    <dataValidation type="list" allowBlank="1" showInputMessage="1" showErrorMessage="1" sqref="CG36:CL36 W36:AB36" xr:uid="{2F4AF429-7312-4456-8611-C6E631BC9E13}">
      <formula1>MFRSplitorSingle10</formula1>
    </dataValidation>
    <dataValidation type="list" allowBlank="1" showInputMessage="1" showErrorMessage="1" sqref="CG78:CL78 W78:AB78" xr:uid="{DD5D2A2E-E1EB-48A9-BB22-013C11A07821}">
      <formula1>RSplitorSingle01</formula1>
    </dataValidation>
    <dataValidation type="list" allowBlank="1" showInputMessage="1" showErrorMessage="1" sqref="CG79:CL79 W79:AB79" xr:uid="{6E7812C7-BF82-454C-86FF-471AAA921682}">
      <formula1>RSplitorSingle02</formula1>
    </dataValidation>
    <dataValidation type="list" allowBlank="1" showInputMessage="1" showErrorMessage="1" sqref="CG80:CL80 W80:AB80" xr:uid="{5388F3A1-119F-4D24-B209-783A1961C96D}">
      <formula1>RSplitorSingle03</formula1>
    </dataValidation>
    <dataValidation type="list" allowBlank="1" showInputMessage="1" showErrorMessage="1" sqref="CG81:CL81 W81:AB81" xr:uid="{13DB8ADE-584E-4CD2-B303-08FBB92C43C6}">
      <formula1>RSplitorSingle04</formula1>
    </dataValidation>
    <dataValidation type="list" allowBlank="1" showInputMessage="1" showErrorMessage="1" sqref="CG82:CL82 W82:AB82" xr:uid="{EEA64971-B82D-4099-BBF1-AE59288DDC61}">
      <formula1>RSplitorSingle05</formula1>
    </dataValidation>
    <dataValidation type="list" allowBlank="1" showInputMessage="1" showErrorMessage="1" sqref="CG83:CL83 W83:AB83" xr:uid="{CD217531-C3F9-4C8B-B5E8-5EBF230ECA4A}">
      <formula1>RSplitorSingle06</formula1>
    </dataValidation>
    <dataValidation type="list" allowBlank="1" showInputMessage="1" showErrorMessage="1" sqref="CG84:CL84 W84:AB84" xr:uid="{8126A3D8-C711-406D-9DCE-45CD78E173FD}">
      <formula1>RSplitorSingle07</formula1>
    </dataValidation>
    <dataValidation type="list" allowBlank="1" showInputMessage="1" showErrorMessage="1" sqref="CG85:CL85 W85:AB85" xr:uid="{0FD11526-CB52-46EC-9755-01E6ECF514AB}">
      <formula1>RSplitorSingle08</formula1>
    </dataValidation>
    <dataValidation type="list" allowBlank="1" showInputMessage="1" showErrorMessage="1" sqref="CG86:CL86 W86:AB86" xr:uid="{FF14F780-BEF4-46B6-9749-2A6C3EE5C6A4}">
      <formula1>RSplitorSingle09</formula1>
    </dataValidation>
    <dataValidation type="list" allowBlank="1" showInputMessage="1" showErrorMessage="1" sqref="CG87:CL87 W87:AB87" xr:uid="{D0705EF0-28A6-48D8-A568-297F0D22416B}">
      <formula1>RSplitorSingle10</formula1>
    </dataValidation>
    <dataValidation type="list" allowBlank="1" showInputMessage="1" showErrorMessage="1" sqref="CG88:CL88 W88:AB88" xr:uid="{2707F8D7-0FF2-4F31-8B26-C1F2FE770DD0}">
      <formula1>RSplitorSingle11</formula1>
    </dataValidation>
    <dataValidation type="list" allowBlank="1" showInputMessage="1" showErrorMessage="1" sqref="CG89:CL89 W89:AB89" xr:uid="{AB633B3B-54A9-4D98-8C6B-B81B19B69FDA}">
      <formula1>RSplitorSingle12</formula1>
    </dataValidation>
    <dataValidation type="list" allowBlank="1" showInputMessage="1" showErrorMessage="1" sqref="CG90:CL90 W90:AB90" xr:uid="{BE63032C-35B1-4952-8754-3CEE7DB39D54}">
      <formula1>RSplitorSingle13</formula1>
    </dataValidation>
    <dataValidation type="list" allowBlank="1" showInputMessage="1" showErrorMessage="1" sqref="CG91:CL91 W91:AB91" xr:uid="{4566A544-0F34-45C2-8415-A7E42408B0F5}">
      <formula1>RSplitorSingle14</formula1>
    </dataValidation>
    <dataValidation type="list" allowBlank="1" showInputMessage="1" showErrorMessage="1" sqref="CG92:CL92 W92:AB92" xr:uid="{A17EC122-819C-4AFC-91FA-B6CA34ADDA02}">
      <formula1>RSplitorSingle15</formula1>
    </dataValidation>
    <dataValidation type="list" allowBlank="1" showInputMessage="1" showErrorMessage="1" sqref="CB78:CE78 R78:U78" xr:uid="{A5F8DB64-FAD8-44C4-9C6E-B0E7899C1B8E}">
      <formula1>RResistanceType01</formula1>
    </dataValidation>
    <dataValidation type="list" allowBlank="1" showInputMessage="1" showErrorMessage="1" sqref="CB79:CE79 R79:U79" xr:uid="{7F969158-3519-4413-89A4-8A2CFAF4DAF4}">
      <formula1>RResistanceType02</formula1>
    </dataValidation>
    <dataValidation type="list" allowBlank="1" showInputMessage="1" showErrorMessage="1" sqref="CB80:CE80 R80:U80" xr:uid="{83341E30-6E84-4B48-9DDA-E28FF2A1C6AF}">
      <formula1>RResistanceType03</formula1>
    </dataValidation>
    <dataValidation type="list" allowBlank="1" showInputMessage="1" showErrorMessage="1" sqref="CB81:CE81 R81:U81" xr:uid="{09D7566B-2002-4A3F-A08D-E879E0AEB454}">
      <formula1>RResistanceType04</formula1>
    </dataValidation>
    <dataValidation type="list" allowBlank="1" showInputMessage="1" showErrorMessage="1" sqref="CB82:CE82 R82:U82" xr:uid="{6BA6AD77-0999-4610-9602-AE674ECAD2EE}">
      <formula1>RResistanceType05</formula1>
    </dataValidation>
    <dataValidation type="list" allowBlank="1" showInputMessage="1" showErrorMessage="1" sqref="CB83:CE83 R83:U83" xr:uid="{33136060-4DBC-43D2-A6D2-9B0ACA1D4DE5}">
      <formula1>RResistanceType06</formula1>
    </dataValidation>
    <dataValidation type="list" allowBlank="1" showInputMessage="1" showErrorMessage="1" sqref="CB84:CE84 R84:U84" xr:uid="{9CF61DCD-0A9E-4FC9-988A-4F493D7FA734}">
      <formula1>RResistanceType07</formula1>
    </dataValidation>
    <dataValidation type="list" allowBlank="1" showInputMessage="1" showErrorMessage="1" sqref="CB85:CE85 R85:U85" xr:uid="{FC08931F-ECAB-43D1-B596-CB3172B7979F}">
      <formula1>RResistanceType08</formula1>
    </dataValidation>
    <dataValidation type="list" allowBlank="1" showInputMessage="1" showErrorMessage="1" sqref="CB86:CE86 R86:U86" xr:uid="{6C98B76B-9D59-4A02-A909-EDA2B259CD2C}">
      <formula1>RResistanceType09</formula1>
    </dataValidation>
    <dataValidation type="list" allowBlank="1" showInputMessage="1" showErrorMessage="1" sqref="CB87:CE87 R87:U87" xr:uid="{FF622E7C-1928-4D11-9E5D-8823641FFF38}">
      <formula1>RResistanceType10</formula1>
    </dataValidation>
    <dataValidation type="list" allowBlank="1" showInputMessage="1" showErrorMessage="1" sqref="CB88:CE88 R88:U88" xr:uid="{B740830C-6F78-498D-B871-D11BE99DE782}">
      <formula1>RResistanceType11</formula1>
    </dataValidation>
    <dataValidation type="list" allowBlank="1" showInputMessage="1" showErrorMessage="1" sqref="CB89:CE89 R89:U89" xr:uid="{10DC934B-7AFA-4D8C-99E8-4A1E45ABC6BA}">
      <formula1>RResistanceType12</formula1>
    </dataValidation>
    <dataValidation type="list" allowBlank="1" showInputMessage="1" showErrorMessage="1" sqref="CB90:CE90 R90:U90" xr:uid="{E5172BF5-0981-4B62-B1AF-0DE18FF5E886}">
      <formula1>RResistanceType13</formula1>
    </dataValidation>
    <dataValidation type="list" allowBlank="1" showInputMessage="1" showErrorMessage="1" sqref="CB91:CE91 R91:U91" xr:uid="{D0767596-E5D3-4F62-886D-6E5237D8D7EF}">
      <formula1>RResistanceType14</formula1>
    </dataValidation>
    <dataValidation type="list" allowBlank="1" showInputMessage="1" showErrorMessage="1" sqref="CB92:CE92 R92:U92" xr:uid="{EF056131-FBFB-4E7B-8A34-3AE109EB08F1}">
      <formula1>RResistanceType15</formula1>
    </dataValidation>
  </dataValidations>
  <pageMargins left="0.25" right="0.25" top="0.75" bottom="0.75" header="0.3" footer="0.3"/>
  <pageSetup scale="50" fitToHeight="2" orientation="landscape" r:id="rId1"/>
  <headerFooter alignWithMargins="0"/>
  <rowBreaks count="1" manualBreakCount="1">
    <brk id="341" max="61"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AU284"/>
  <sheetViews>
    <sheetView topLeftCell="B62" zoomScale="70" zoomScaleNormal="70" workbookViewId="0">
      <selection activeCell="R97" sqref="R97"/>
    </sheetView>
  </sheetViews>
  <sheetFormatPr defaultColWidth="8.85546875" defaultRowHeight="12.75"/>
  <cols>
    <col min="1" max="1" width="64.5703125" style="1" bestFit="1" customWidth="1"/>
    <col min="2" max="2" width="22.140625" style="1" bestFit="1" customWidth="1"/>
    <col min="3" max="3" width="7.42578125" style="1" bestFit="1" customWidth="1"/>
    <col min="4" max="4" width="30.5703125" style="1" bestFit="1" customWidth="1"/>
    <col min="5" max="5" width="85.140625" style="1" bestFit="1" customWidth="1"/>
    <col min="6" max="6" width="7.5703125" style="1" customWidth="1"/>
    <col min="7" max="7" width="5.5703125" style="1" bestFit="1" customWidth="1"/>
    <col min="8" max="8" width="7.5703125" style="1" customWidth="1"/>
    <col min="9" max="9" width="8.5703125" style="1" customWidth="1"/>
    <col min="10" max="10" width="7.42578125" style="1" customWidth="1"/>
    <col min="11" max="12" width="6.140625" style="1" bestFit="1" customWidth="1"/>
    <col min="13" max="13" width="7" style="1" bestFit="1" customWidth="1"/>
    <col min="14" max="17" width="9.140625" style="1"/>
    <col min="18" max="18" width="8.85546875" style="1"/>
    <col min="19" max="19" width="11.85546875" style="1" customWidth="1"/>
    <col min="20" max="20" width="3" style="1" bestFit="1" customWidth="1"/>
    <col min="21" max="21" width="65.140625" style="22" bestFit="1" customWidth="1"/>
    <col min="22" max="22" width="13" style="22" customWidth="1"/>
    <col min="23" max="23" width="22.140625" style="22" bestFit="1" customWidth="1"/>
    <col min="24" max="24" width="61.42578125" style="1" bestFit="1" customWidth="1"/>
    <col min="25" max="25" width="16.5703125" style="1" bestFit="1" customWidth="1"/>
    <col min="26" max="26" width="15.42578125" style="1" bestFit="1" customWidth="1"/>
    <col min="27" max="29" width="15.42578125" style="1" customWidth="1"/>
    <col min="30" max="30" width="30.85546875" style="1" customWidth="1"/>
    <col min="31" max="31" width="9.140625" style="1"/>
    <col min="32" max="32" width="22.140625" style="1" bestFit="1" customWidth="1"/>
    <col min="33" max="33" width="65.140625" style="1" bestFit="1" customWidth="1"/>
    <col min="34" max="34" width="15.5703125" style="1" bestFit="1" customWidth="1"/>
    <col min="35" max="35" width="31.42578125" style="1" bestFit="1" customWidth="1"/>
    <col min="36" max="36" width="16" style="1" bestFit="1" customWidth="1"/>
    <col min="37" max="37" width="9.140625" style="1"/>
    <col min="38" max="39" width="12.5703125" style="1" bestFit="1" customWidth="1"/>
    <col min="40" max="40" width="8.85546875" style="1"/>
    <col min="41" max="41" width="65.5703125" style="1" bestFit="1" customWidth="1"/>
    <col min="42" max="16384" width="8.85546875" style="1"/>
  </cols>
  <sheetData>
    <row r="1" spans="1:47">
      <c r="A1" s="943" t="s">
        <v>2801</v>
      </c>
      <c r="B1" s="430"/>
      <c r="C1" s="430"/>
      <c r="D1" s="952" t="s">
        <v>2802</v>
      </c>
      <c r="E1" s="952"/>
      <c r="F1" s="952"/>
      <c r="G1" s="431"/>
      <c r="H1" s="953" t="s">
        <v>2803</v>
      </c>
      <c r="I1" s="953"/>
      <c r="J1" s="953"/>
      <c r="K1" s="954"/>
      <c r="L1" s="432" t="s">
        <v>2804</v>
      </c>
      <c r="M1" s="433"/>
      <c r="U1" s="423" t="s">
        <v>2805</v>
      </c>
      <c r="V1" s="423"/>
      <c r="W1" s="423"/>
      <c r="X1" s="424"/>
      <c r="Y1" s="425"/>
      <c r="AO1" s="1">
        <v>1</v>
      </c>
      <c r="AP1" s="1">
        <v>2</v>
      </c>
      <c r="AQ1" s="1">
        <v>3</v>
      </c>
      <c r="AR1" s="1">
        <v>4</v>
      </c>
      <c r="AS1" s="1">
        <v>5</v>
      </c>
      <c r="AT1" s="1">
        <v>6</v>
      </c>
      <c r="AU1" s="1">
        <v>7</v>
      </c>
    </row>
    <row r="2" spans="1:47" ht="15.75">
      <c r="A2" s="944"/>
      <c r="B2" s="434" t="s">
        <v>2806</v>
      </c>
      <c r="C2" s="434"/>
      <c r="D2" s="435" t="s">
        <v>2807</v>
      </c>
      <c r="E2" s="435"/>
      <c r="F2" s="436" t="s">
        <v>2808</v>
      </c>
      <c r="G2" s="432"/>
      <c r="H2" s="947" t="s">
        <v>2683</v>
      </c>
      <c r="I2" s="947"/>
      <c r="J2" s="948" t="s">
        <v>2684</v>
      </c>
      <c r="K2" s="947"/>
      <c r="L2" s="437" t="s">
        <v>2682</v>
      </c>
      <c r="M2" s="438" t="s">
        <v>2681</v>
      </c>
      <c r="U2" s="426" t="s">
        <v>2809</v>
      </c>
      <c r="V2" s="426"/>
      <c r="W2" s="427" t="s">
        <v>2810</v>
      </c>
      <c r="X2" s="428" t="s">
        <v>2680</v>
      </c>
      <c r="Y2" s="429" t="s">
        <v>2811</v>
      </c>
      <c r="AL2" s="1" t="s">
        <v>2812</v>
      </c>
      <c r="AO2" s="460" t="s">
        <v>2813</v>
      </c>
      <c r="AP2" s="212" t="s">
        <v>2814</v>
      </c>
      <c r="AQ2" s="212" t="s">
        <v>2815</v>
      </c>
      <c r="AR2" s="212" t="s">
        <v>2816</v>
      </c>
      <c r="AS2" s="212" t="s">
        <v>2817</v>
      </c>
      <c r="AT2" s="212" t="s">
        <v>2585</v>
      </c>
      <c r="AU2" s="212" t="s">
        <v>2585</v>
      </c>
    </row>
    <row r="3" spans="1:47">
      <c r="A3" s="439" t="str">
        <f>Lists!I8</f>
        <v>Unitary Commercial Air Conditioners, Air-Cooled</v>
      </c>
      <c r="B3" s="432" t="s">
        <v>2818</v>
      </c>
      <c r="C3" s="432"/>
      <c r="D3" s="433">
        <v>0</v>
      </c>
      <c r="E3" s="433"/>
      <c r="F3" s="440">
        <v>9.9999999999999995E-8</v>
      </c>
      <c r="G3" s="433"/>
      <c r="H3" s="433">
        <v>14</v>
      </c>
      <c r="I3" s="432" t="s">
        <v>2681</v>
      </c>
      <c r="J3" s="441">
        <v>15</v>
      </c>
      <c r="K3" s="432" t="s">
        <v>2681</v>
      </c>
      <c r="L3" s="442">
        <v>14</v>
      </c>
      <c r="M3" s="443" t="s">
        <v>2681</v>
      </c>
      <c r="U3" s="594" t="s">
        <v>2819</v>
      </c>
      <c r="V3" s="594"/>
      <c r="W3" s="595" t="s">
        <v>2820</v>
      </c>
      <c r="X3" s="596" t="s">
        <v>2821</v>
      </c>
      <c r="Y3" s="597" t="s">
        <v>2816</v>
      </c>
      <c r="AL3" s="3" t="s">
        <v>2822</v>
      </c>
      <c r="AM3" s="3" t="s">
        <v>2823</v>
      </c>
      <c r="AO3" s="213" t="s">
        <v>2824</v>
      </c>
      <c r="AP3" s="3" t="s">
        <v>2821</v>
      </c>
      <c r="AQ3" s="3" t="s">
        <v>2825</v>
      </c>
      <c r="AR3" s="3" t="s">
        <v>2585</v>
      </c>
      <c r="AS3" s="3" t="s">
        <v>2585</v>
      </c>
      <c r="AT3" s="3" t="s">
        <v>2826</v>
      </c>
      <c r="AU3" s="3" t="s">
        <v>2585</v>
      </c>
    </row>
    <row r="4" spans="1:47">
      <c r="A4" s="439"/>
      <c r="B4" s="433"/>
      <c r="C4" s="433"/>
      <c r="D4" s="433"/>
      <c r="E4" s="433"/>
      <c r="F4" s="444">
        <v>65000</v>
      </c>
      <c r="G4" s="433"/>
      <c r="H4" s="433">
        <v>11.7</v>
      </c>
      <c r="I4" s="432" t="s">
        <v>2682</v>
      </c>
      <c r="J4" s="441">
        <v>12.2</v>
      </c>
      <c r="K4" s="432" t="s">
        <v>2682</v>
      </c>
      <c r="L4" s="442">
        <v>11</v>
      </c>
      <c r="M4" s="445" t="s">
        <v>2682</v>
      </c>
      <c r="U4" s="594" t="s">
        <v>2827</v>
      </c>
      <c r="V4" s="594"/>
      <c r="W4" s="598" t="s">
        <v>2828</v>
      </c>
      <c r="X4" s="596" t="s">
        <v>2825</v>
      </c>
      <c r="Y4" s="597" t="s">
        <v>2817</v>
      </c>
      <c r="AL4" s="1">
        <v>0</v>
      </c>
      <c r="AM4" s="1">
        <v>65000</v>
      </c>
      <c r="AN4" s="378" t="s">
        <v>2820</v>
      </c>
      <c r="AO4" s="213" t="s">
        <v>2829</v>
      </c>
      <c r="AP4" s="3" t="s">
        <v>2585</v>
      </c>
      <c r="AQ4" s="3" t="s">
        <v>2585</v>
      </c>
      <c r="AR4" s="3" t="s">
        <v>2816</v>
      </c>
      <c r="AS4" s="3" t="s">
        <v>2817</v>
      </c>
      <c r="AT4" s="3" t="s">
        <v>2585</v>
      </c>
      <c r="AU4" s="3" t="s">
        <v>2826</v>
      </c>
    </row>
    <row r="5" spans="1:47">
      <c r="A5" s="439"/>
      <c r="B5" s="433"/>
      <c r="C5" s="433"/>
      <c r="D5" s="433">
        <v>65000</v>
      </c>
      <c r="E5" s="433"/>
      <c r="F5" s="444">
        <v>135000</v>
      </c>
      <c r="G5" s="433"/>
      <c r="H5" s="433">
        <v>14</v>
      </c>
      <c r="I5" s="432" t="s">
        <v>2682</v>
      </c>
      <c r="J5" s="441">
        <v>16</v>
      </c>
      <c r="K5" s="432" t="s">
        <v>2682</v>
      </c>
      <c r="L5" s="442">
        <v>10.6</v>
      </c>
      <c r="M5" s="445" t="s">
        <v>2682</v>
      </c>
      <c r="U5" s="594" t="s">
        <v>2830</v>
      </c>
      <c r="V5" s="594"/>
      <c r="W5" s="598" t="s">
        <v>2831</v>
      </c>
      <c r="X5" s="424"/>
      <c r="Y5" s="425"/>
      <c r="AL5" s="1">
        <v>65000</v>
      </c>
      <c r="AM5" s="1">
        <v>135000</v>
      </c>
      <c r="AN5" s="3" t="s">
        <v>2828</v>
      </c>
      <c r="AO5" s="213" t="s">
        <v>2832</v>
      </c>
      <c r="AP5" s="3" t="s">
        <v>2585</v>
      </c>
      <c r="AQ5" s="3" t="s">
        <v>2585</v>
      </c>
      <c r="AR5" s="3" t="s">
        <v>2816</v>
      </c>
      <c r="AS5" s="3" t="s">
        <v>2817</v>
      </c>
      <c r="AT5" s="3" t="s">
        <v>2585</v>
      </c>
      <c r="AU5" s="3" t="s">
        <v>2826</v>
      </c>
    </row>
    <row r="6" spans="1:47">
      <c r="A6" s="439"/>
      <c r="B6" s="433"/>
      <c r="C6" s="433"/>
      <c r="D6" s="433">
        <v>135000</v>
      </c>
      <c r="E6" s="433"/>
      <c r="F6" s="444">
        <v>240000</v>
      </c>
      <c r="G6" s="433"/>
      <c r="H6" s="433">
        <v>13</v>
      </c>
      <c r="I6" s="432" t="s">
        <v>2682</v>
      </c>
      <c r="J6" s="441">
        <v>14</v>
      </c>
      <c r="K6" s="432" t="s">
        <v>2682</v>
      </c>
      <c r="L6" s="442">
        <v>9.5</v>
      </c>
      <c r="M6" s="445" t="s">
        <v>2682</v>
      </c>
      <c r="U6" s="594" t="s">
        <v>2833</v>
      </c>
      <c r="V6" s="594"/>
      <c r="W6" s="598" t="s">
        <v>2834</v>
      </c>
      <c r="X6" s="424"/>
      <c r="Y6" s="425"/>
      <c r="AL6" s="1">
        <v>135000</v>
      </c>
      <c r="AM6" s="1">
        <v>240000</v>
      </c>
      <c r="AN6" s="3" t="s">
        <v>2831</v>
      </c>
      <c r="AO6" s="334" t="s">
        <v>2835</v>
      </c>
      <c r="AP6" s="3" t="s">
        <v>2585</v>
      </c>
      <c r="AQ6" s="3" t="s">
        <v>2585</v>
      </c>
      <c r="AR6" s="3" t="s">
        <v>2816</v>
      </c>
      <c r="AS6" s="3" t="s">
        <v>2817</v>
      </c>
      <c r="AT6" s="3" t="s">
        <v>2585</v>
      </c>
      <c r="AU6" s="3" t="s">
        <v>2826</v>
      </c>
    </row>
    <row r="7" spans="1:47">
      <c r="A7" s="446"/>
      <c r="B7" s="433"/>
      <c r="C7" s="433"/>
      <c r="D7" s="447">
        <v>240000</v>
      </c>
      <c r="E7" s="447"/>
      <c r="F7" s="448">
        <v>10000000000</v>
      </c>
      <c r="G7" s="447"/>
      <c r="H7" s="447"/>
      <c r="I7" s="438"/>
      <c r="J7" s="437"/>
      <c r="K7" s="438"/>
      <c r="L7" s="433"/>
      <c r="M7" s="433"/>
      <c r="U7" s="425"/>
      <c r="V7" s="425"/>
      <c r="W7" s="598" t="s">
        <v>2836</v>
      </c>
      <c r="X7" s="424"/>
      <c r="Y7" s="425"/>
      <c r="AL7" s="1">
        <v>240000</v>
      </c>
      <c r="AM7" s="1">
        <v>760000</v>
      </c>
      <c r="AN7" s="3" t="s">
        <v>2837</v>
      </c>
      <c r="AO7" s="334" t="s">
        <v>2838</v>
      </c>
      <c r="AP7" s="3" t="s">
        <v>2585</v>
      </c>
      <c r="AQ7" s="3" t="s">
        <v>2585</v>
      </c>
      <c r="AR7" s="3" t="s">
        <v>2816</v>
      </c>
      <c r="AS7" s="3" t="s">
        <v>2817</v>
      </c>
      <c r="AT7" s="3" t="s">
        <v>2585</v>
      </c>
      <c r="AU7" s="3" t="s">
        <v>2826</v>
      </c>
    </row>
    <row r="8" spans="1:47">
      <c r="A8" s="439" t="e">
        <f>Lists!#REF!</f>
        <v>#REF!</v>
      </c>
      <c r="B8" s="432" t="s">
        <v>2818</v>
      </c>
      <c r="C8" s="432"/>
      <c r="D8" s="433">
        <v>0</v>
      </c>
      <c r="E8" s="433"/>
      <c r="F8" s="440">
        <v>9.9999999999999995E-8</v>
      </c>
      <c r="G8" s="433"/>
      <c r="H8" s="433">
        <v>14</v>
      </c>
      <c r="I8" s="432" t="s">
        <v>2681</v>
      </c>
      <c r="J8" s="441">
        <v>15</v>
      </c>
      <c r="K8" s="432" t="s">
        <v>2681</v>
      </c>
      <c r="L8" s="442">
        <v>14</v>
      </c>
      <c r="M8" s="443" t="s">
        <v>2681</v>
      </c>
      <c r="U8" s="425"/>
      <c r="V8" s="425"/>
      <c r="W8" s="598" t="s">
        <v>2839</v>
      </c>
      <c r="X8" s="424"/>
      <c r="Y8" s="425"/>
      <c r="AL8" s="1">
        <v>760000</v>
      </c>
      <c r="AM8" s="1">
        <v>999999</v>
      </c>
      <c r="AN8" s="3" t="s">
        <v>2840</v>
      </c>
      <c r="AO8" s="334" t="s">
        <v>2841</v>
      </c>
      <c r="AP8" s="3" t="s">
        <v>2821</v>
      </c>
      <c r="AQ8" s="3" t="s">
        <v>2825</v>
      </c>
      <c r="AR8" s="3" t="s">
        <v>2585</v>
      </c>
      <c r="AS8" s="3" t="s">
        <v>2585</v>
      </c>
      <c r="AT8" s="3" t="s">
        <v>2826</v>
      </c>
      <c r="AU8" s="3" t="s">
        <v>2585</v>
      </c>
    </row>
    <row r="9" spans="1:47">
      <c r="A9" s="439"/>
      <c r="B9" s="433"/>
      <c r="C9" s="433"/>
      <c r="D9" s="433"/>
      <c r="E9" s="433"/>
      <c r="F9" s="444">
        <v>65000</v>
      </c>
      <c r="G9" s="433"/>
      <c r="H9" s="433">
        <v>14</v>
      </c>
      <c r="I9" s="432" t="s">
        <v>2682</v>
      </c>
      <c r="J9" s="441">
        <v>18</v>
      </c>
      <c r="K9" s="432" t="s">
        <v>2682</v>
      </c>
      <c r="L9" s="442">
        <v>11</v>
      </c>
      <c r="M9" s="445" t="s">
        <v>2682</v>
      </c>
      <c r="T9" s="211" t="s">
        <v>2842</v>
      </c>
      <c r="U9" s="1"/>
      <c r="V9" s="1"/>
      <c r="W9" s="1"/>
      <c r="X9" s="135"/>
      <c r="AC9" s="211" t="s">
        <v>144</v>
      </c>
      <c r="AN9" s="3"/>
      <c r="AO9" s="334" t="s">
        <v>2843</v>
      </c>
      <c r="AP9" s="3" t="s">
        <v>2585</v>
      </c>
      <c r="AQ9" s="3" t="s">
        <v>2585</v>
      </c>
      <c r="AR9" s="3" t="s">
        <v>2816</v>
      </c>
      <c r="AS9" s="3" t="s">
        <v>2817</v>
      </c>
      <c r="AT9" s="3" t="s">
        <v>2585</v>
      </c>
      <c r="AU9" s="3" t="s">
        <v>2826</v>
      </c>
    </row>
    <row r="10" spans="1:47" ht="13.5" thickBot="1">
      <c r="A10" s="439"/>
      <c r="B10" s="433"/>
      <c r="C10" s="433"/>
      <c r="D10" s="433">
        <v>65000</v>
      </c>
      <c r="E10" s="433"/>
      <c r="F10" s="444">
        <v>135000</v>
      </c>
      <c r="G10" s="433"/>
      <c r="H10" s="433">
        <v>14</v>
      </c>
      <c r="I10" s="432" t="s">
        <v>2682</v>
      </c>
      <c r="J10" s="441">
        <v>16</v>
      </c>
      <c r="K10" s="432" t="s">
        <v>2682</v>
      </c>
      <c r="L10" s="442">
        <v>10.6</v>
      </c>
      <c r="M10" s="445" t="s">
        <v>2682</v>
      </c>
      <c r="T10" s="226" t="s">
        <v>2844</v>
      </c>
      <c r="AC10" s="226" t="s">
        <v>2844</v>
      </c>
      <c r="AD10" s="22"/>
      <c r="AE10" s="22"/>
      <c r="AF10" s="22"/>
      <c r="AN10" s="3" t="s">
        <v>2836</v>
      </c>
      <c r="AO10" s="334" t="s">
        <v>2845</v>
      </c>
      <c r="AP10" s="3" t="s">
        <v>2585</v>
      </c>
      <c r="AQ10" s="3" t="s">
        <v>2585</v>
      </c>
      <c r="AR10" s="3" t="s">
        <v>2816</v>
      </c>
      <c r="AS10" s="3" t="s">
        <v>2817</v>
      </c>
      <c r="AT10" s="3" t="s">
        <v>2585</v>
      </c>
      <c r="AU10" s="3" t="s">
        <v>2826</v>
      </c>
    </row>
    <row r="11" spans="1:47">
      <c r="A11" s="439"/>
      <c r="B11" s="433"/>
      <c r="C11" s="433"/>
      <c r="D11" s="433">
        <v>135000</v>
      </c>
      <c r="E11" s="433"/>
      <c r="F11" s="444">
        <v>240000</v>
      </c>
      <c r="G11" s="433"/>
      <c r="H11" s="433">
        <v>13</v>
      </c>
      <c r="I11" s="432" t="s">
        <v>2682</v>
      </c>
      <c r="J11" s="441">
        <v>14</v>
      </c>
      <c r="K11" s="432" t="s">
        <v>2682</v>
      </c>
      <c r="L11" s="442">
        <v>9.5</v>
      </c>
      <c r="M11" s="445" t="s">
        <v>2682</v>
      </c>
      <c r="T11" s="214">
        <v>1</v>
      </c>
      <c r="U11" s="21">
        <f>U107</f>
        <v>0</v>
      </c>
      <c r="V11" s="21">
        <f>V107</f>
        <v>0</v>
      </c>
      <c r="W11" s="21" t="str">
        <f>W107</f>
        <v/>
      </c>
      <c r="X11" s="21" t="str">
        <f>X107</f>
        <v>0</v>
      </c>
      <c r="Y11" s="215" t="str">
        <f>IFERROR(IF(X11="","",VLOOKUP(X11,$AO$3:$AU$45,7,FALSE)),"")</f>
        <v/>
      </c>
      <c r="Z11" s="215" t="str">
        <f>IFERROR(IF(X11="","",VLOOKUP(X11,$AO$3:$AU$45,6,FALSE)),"")</f>
        <v/>
      </c>
      <c r="AC11" s="214">
        <v>1</v>
      </c>
      <c r="AD11" s="21">
        <f>AD107</f>
        <v>0</v>
      </c>
      <c r="AE11" s="21">
        <f>AE107</f>
        <v>0</v>
      </c>
      <c r="AF11" s="21" t="str">
        <f>AF107</f>
        <v/>
      </c>
      <c r="AG11" s="21" t="str">
        <f>AG107</f>
        <v>0</v>
      </c>
      <c r="AH11" s="215" t="str">
        <f>IFERROR(IF(AG11="","",VLOOKUP(AG11,$AO$3:$AU$45,7,FALSE)),"")</f>
        <v/>
      </c>
      <c r="AI11" s="215" t="str">
        <f>IFERROR(IF(AG11="","",VLOOKUP(AG11,$AO$3:$AU$45,6,FALSE)),"")</f>
        <v/>
      </c>
      <c r="AN11"/>
      <c r="AO11" s="334" t="s">
        <v>2846</v>
      </c>
      <c r="AP11" s="3" t="s">
        <v>2585</v>
      </c>
      <c r="AQ11" s="3" t="s">
        <v>2585</v>
      </c>
      <c r="AR11" s="3" t="s">
        <v>2816</v>
      </c>
      <c r="AS11" s="3" t="s">
        <v>2817</v>
      </c>
      <c r="AT11" s="3" t="s">
        <v>2585</v>
      </c>
      <c r="AU11" s="3" t="s">
        <v>2826</v>
      </c>
    </row>
    <row r="12" spans="1:47">
      <c r="A12" s="446"/>
      <c r="B12" s="433"/>
      <c r="C12" s="433"/>
      <c r="D12" s="447">
        <v>240000</v>
      </c>
      <c r="E12" s="447"/>
      <c r="F12" s="448">
        <v>10000000000</v>
      </c>
      <c r="G12" s="447"/>
      <c r="H12" s="447"/>
      <c r="I12" s="438"/>
      <c r="J12" s="437"/>
      <c r="K12" s="438"/>
      <c r="L12" s="433"/>
      <c r="M12" s="433"/>
      <c r="T12" s="74"/>
      <c r="U12" s="1"/>
      <c r="V12" s="1"/>
      <c r="W12" s="1"/>
      <c r="Y12" s="216" t="str">
        <f>IFERROR(IF(X11="","",VLOOKUP(X11,$AO$3:$AU$45,4,FALSE)),"")</f>
        <v/>
      </c>
      <c r="Z12" s="216" t="str">
        <f>IFERROR(IF(X11="","",VLOOKUP(X11,$AO$3:$AU$45,2,FALSE)),"")</f>
        <v/>
      </c>
      <c r="AC12" s="74"/>
      <c r="AH12" s="216" t="str">
        <f>IFERROR(IF(AG11="","",VLOOKUP(AG11,$AO$3:$AU$45,4,FALSE)),"")</f>
        <v/>
      </c>
      <c r="AI12" s="216" t="str">
        <f>IFERROR(IF(AG11="","",VLOOKUP(AG11,$AO$3:$AU$45,2,FALSE)),"")</f>
        <v/>
      </c>
      <c r="AL12" s="1" t="s">
        <v>2847</v>
      </c>
      <c r="AN12"/>
      <c r="AO12" s="334" t="s">
        <v>2848</v>
      </c>
      <c r="AP12" s="3" t="s">
        <v>2585</v>
      </c>
      <c r="AQ12" s="3" t="s">
        <v>2585</v>
      </c>
      <c r="AR12" s="3" t="s">
        <v>2816</v>
      </c>
      <c r="AS12" s="3" t="s">
        <v>2817</v>
      </c>
      <c r="AT12" s="3" t="s">
        <v>2585</v>
      </c>
      <c r="AU12" s="3" t="s">
        <v>2826</v>
      </c>
    </row>
    <row r="13" spans="1:47" ht="13.5" thickBot="1">
      <c r="A13" s="446" t="e">
        <f>Lists!#REF!</f>
        <v>#REF!</v>
      </c>
      <c r="B13" s="433"/>
      <c r="C13" s="433"/>
      <c r="D13" s="435" t="s">
        <v>2849</v>
      </c>
      <c r="E13" s="435"/>
      <c r="F13" s="436" t="s">
        <v>2849</v>
      </c>
      <c r="G13" s="449"/>
      <c r="H13" s="449">
        <v>14</v>
      </c>
      <c r="I13" s="450" t="s">
        <v>2682</v>
      </c>
      <c r="J13" s="451">
        <v>18</v>
      </c>
      <c r="K13" s="450" t="s">
        <v>2682</v>
      </c>
      <c r="L13" s="442">
        <v>12</v>
      </c>
      <c r="M13" s="445" t="s">
        <v>2682</v>
      </c>
      <c r="T13" s="74"/>
      <c r="U13" s="1"/>
      <c r="V13" s="1"/>
      <c r="W13" s="1"/>
      <c r="Y13" s="216" t="str">
        <f>IFERROR(IF(X11="","",VLOOKUP(X11,$AO$3:$AU$45,5,FALSE)),"")</f>
        <v/>
      </c>
      <c r="Z13" s="216" t="str">
        <f>IFERROR(IF(X11="","",VLOOKUP(X11,$AO$3:$AU$45,3,FALSE)),"")</f>
        <v/>
      </c>
      <c r="AC13" s="74"/>
      <c r="AH13" s="216" t="str">
        <f>IFERROR(IF(AG11="","",VLOOKUP(AG11,$AO$3:$AU$45,5,FALSE)),"")</f>
        <v/>
      </c>
      <c r="AI13" s="216" t="str">
        <f>IFERROR(IF(AG11="","",VLOOKUP(AG11,$AO$3:$AU$45,3,FALSE)),"")</f>
        <v/>
      </c>
      <c r="AL13" s="3" t="s">
        <v>2822</v>
      </c>
      <c r="AM13" s="3" t="s">
        <v>2823</v>
      </c>
      <c r="AN13"/>
      <c r="AO13" s="334" t="s">
        <v>2850</v>
      </c>
      <c r="AP13" s="3" t="s">
        <v>2585</v>
      </c>
      <c r="AQ13" s="3" t="s">
        <v>2585</v>
      </c>
      <c r="AR13" s="3" t="s">
        <v>2585</v>
      </c>
      <c r="AS13" s="3" t="s">
        <v>2585</v>
      </c>
      <c r="AT13" s="3" t="s">
        <v>2585</v>
      </c>
      <c r="AU13" s="3" t="s">
        <v>2585</v>
      </c>
    </row>
    <row r="14" spans="1:47">
      <c r="A14" s="439" t="str">
        <f>Lists!I11</f>
        <v>Package Terminal Heat Pump (PTHP)</v>
      </c>
      <c r="B14" s="433"/>
      <c r="C14" s="433"/>
      <c r="D14" s="433">
        <v>0</v>
      </c>
      <c r="E14" s="433"/>
      <c r="F14" s="440">
        <v>9.9999999999999995E-8</v>
      </c>
      <c r="G14" s="433"/>
      <c r="H14" s="433">
        <v>16</v>
      </c>
      <c r="I14" s="432" t="s">
        <v>2681</v>
      </c>
      <c r="J14" s="441" t="s">
        <v>2585</v>
      </c>
      <c r="K14" s="432" t="s">
        <v>2585</v>
      </c>
      <c r="L14" s="442">
        <v>14</v>
      </c>
      <c r="M14" s="452" t="s">
        <v>2681</v>
      </c>
      <c r="T14" s="74">
        <v>2</v>
      </c>
      <c r="U14" s="1">
        <f>U108</f>
        <v>0</v>
      </c>
      <c r="V14" s="1">
        <f>V108</f>
        <v>0</v>
      </c>
      <c r="W14" s="1" t="str">
        <f>W108</f>
        <v/>
      </c>
      <c r="X14" s="1" t="str">
        <f>X108</f>
        <v>0</v>
      </c>
      <c r="Y14" s="215" t="str">
        <f>IFERROR(IF(X14="","",VLOOKUP(X14,$AO$3:$AU$45,7,FALSE)),"")</f>
        <v/>
      </c>
      <c r="Z14" s="215" t="str">
        <f>IFERROR(IF(X14="","",VLOOKUP(X14,$AO$3:$AU$45,6,FALSE)),"")</f>
        <v/>
      </c>
      <c r="AC14" s="74">
        <v>2</v>
      </c>
      <c r="AD14" s="1">
        <f>AD108</f>
        <v>0</v>
      </c>
      <c r="AE14" s="1">
        <f>AE108</f>
        <v>0</v>
      </c>
      <c r="AF14" s="1" t="str">
        <f>AF108</f>
        <v/>
      </c>
      <c r="AG14" s="1" t="str">
        <f>AG108</f>
        <v>0</v>
      </c>
      <c r="AH14" s="215" t="str">
        <f>IFERROR(IF(AG14="","",VLOOKUP(AG14,$AO$3:$AU$45,7,FALSE)),"")</f>
        <v/>
      </c>
      <c r="AI14" s="215" t="str">
        <f>IFERROR(IF(AG14="","",VLOOKUP(AG14,$AO$3:$AU$45,6,FALSE)),"")</f>
        <v/>
      </c>
      <c r="AL14" s="1">
        <v>0</v>
      </c>
      <c r="AM14" s="1">
        <v>65000</v>
      </c>
      <c r="AN14" s="378" t="s">
        <v>2820</v>
      </c>
      <c r="AO14" s="334" t="s">
        <v>2851</v>
      </c>
      <c r="AP14" s="3" t="s">
        <v>2585</v>
      </c>
      <c r="AQ14" s="3" t="s">
        <v>2585</v>
      </c>
      <c r="AR14" s="3" t="s">
        <v>2585</v>
      </c>
      <c r="AS14" s="3" t="s">
        <v>2585</v>
      </c>
      <c r="AT14" s="3" t="s">
        <v>2585</v>
      </c>
      <c r="AU14" s="3" t="s">
        <v>2585</v>
      </c>
    </row>
    <row r="15" spans="1:47">
      <c r="A15" s="439"/>
      <c r="B15" s="433"/>
      <c r="C15" s="433"/>
      <c r="D15" s="433"/>
      <c r="E15" s="433"/>
      <c r="F15" s="444">
        <v>65000</v>
      </c>
      <c r="G15" s="433"/>
      <c r="H15" s="433">
        <v>14</v>
      </c>
      <c r="I15" s="432" t="s">
        <v>2682</v>
      </c>
      <c r="J15" s="441">
        <v>18</v>
      </c>
      <c r="K15" s="432" t="s">
        <v>2682</v>
      </c>
      <c r="L15" s="442">
        <v>11</v>
      </c>
      <c r="M15" s="445" t="s">
        <v>2682</v>
      </c>
      <c r="T15" s="74"/>
      <c r="U15" s="1"/>
      <c r="V15" s="1"/>
      <c r="W15" s="1"/>
      <c r="Y15" s="216" t="str">
        <f>IFERROR(IF(X14="","",VLOOKUP(X14,$AO$3:$AU$45,4,FALSE)),"")</f>
        <v/>
      </c>
      <c r="Z15" s="216" t="str">
        <f>IFERROR(IF(X14="","",VLOOKUP(X14,$AO$3:$AU$45,2,FALSE)),"")</f>
        <v/>
      </c>
      <c r="AC15" s="74"/>
      <c r="AH15" s="216" t="str">
        <f>IFERROR(IF(AG14="","",VLOOKUP(AG14,$AO$3:$AU$45,4,FALSE)),"")</f>
        <v/>
      </c>
      <c r="AI15" s="216" t="str">
        <f>IFERROR(IF(AG14="","",VLOOKUP(AG14,$AO$3:$AU$45,2,FALSE)),"")</f>
        <v/>
      </c>
      <c r="AL15" s="1">
        <v>65000</v>
      </c>
      <c r="AM15" s="1">
        <v>135000</v>
      </c>
      <c r="AN15" s="3" t="s">
        <v>2828</v>
      </c>
      <c r="AO15" s="334" t="s">
        <v>2852</v>
      </c>
      <c r="AP15" s="3" t="s">
        <v>2585</v>
      </c>
      <c r="AQ15" s="3" t="s">
        <v>2585</v>
      </c>
      <c r="AR15" s="3" t="s">
        <v>2585</v>
      </c>
      <c r="AS15" s="3" t="s">
        <v>2585</v>
      </c>
      <c r="AT15" s="3" t="s">
        <v>2585</v>
      </c>
      <c r="AU15" s="3" t="s">
        <v>2585</v>
      </c>
    </row>
    <row r="16" spans="1:47" ht="13.5" thickBot="1">
      <c r="A16" s="439"/>
      <c r="B16" s="433"/>
      <c r="C16" s="433"/>
      <c r="D16" s="433">
        <v>65000</v>
      </c>
      <c r="E16" s="433"/>
      <c r="F16" s="444">
        <v>134999</v>
      </c>
      <c r="G16" s="433"/>
      <c r="H16" s="433">
        <v>14</v>
      </c>
      <c r="I16" s="432" t="s">
        <v>2682</v>
      </c>
      <c r="J16" s="441">
        <v>16</v>
      </c>
      <c r="K16" s="432" t="s">
        <v>2682</v>
      </c>
      <c r="L16" s="442">
        <v>10.6</v>
      </c>
      <c r="M16" s="445" t="s">
        <v>2682</v>
      </c>
      <c r="T16" s="74"/>
      <c r="U16" s="1"/>
      <c r="V16" s="1"/>
      <c r="W16" s="1"/>
      <c r="Y16" s="216" t="str">
        <f>IFERROR(IF(X14="","",VLOOKUP(X14,$AO$3:$AU$45,5,FALSE)),"")</f>
        <v/>
      </c>
      <c r="Z16" s="216" t="str">
        <f>IFERROR(IF(X14="","",VLOOKUP(X14,$AO$3:$AU$45,3,FALSE)),"")</f>
        <v/>
      </c>
      <c r="AC16" s="74"/>
      <c r="AH16" s="216" t="str">
        <f>IFERROR(IF(AG14="","",VLOOKUP(AG14,$AO$3:$AU$45,5,FALSE)),"")</f>
        <v/>
      </c>
      <c r="AI16" s="216" t="str">
        <f>IFERROR(IF(AG14="","",VLOOKUP(AG14,$AO$3:$AU$45,3,FALSE)),"")</f>
        <v/>
      </c>
      <c r="AL16" s="1">
        <v>135000</v>
      </c>
      <c r="AM16" s="1">
        <v>240000</v>
      </c>
      <c r="AN16" s="3" t="s">
        <v>2831</v>
      </c>
      <c r="AO16" s="334" t="s">
        <v>2853</v>
      </c>
      <c r="AP16" s="3" t="s">
        <v>2585</v>
      </c>
      <c r="AQ16" s="3" t="s">
        <v>2585</v>
      </c>
      <c r="AR16" s="3" t="s">
        <v>2585</v>
      </c>
      <c r="AS16" s="3" t="s">
        <v>2585</v>
      </c>
      <c r="AT16" s="3" t="s">
        <v>2585</v>
      </c>
      <c r="AU16" s="3" t="s">
        <v>2585</v>
      </c>
    </row>
    <row r="17" spans="1:47">
      <c r="A17" s="439"/>
      <c r="B17" s="433"/>
      <c r="C17" s="433"/>
      <c r="D17" s="433">
        <v>135000</v>
      </c>
      <c r="E17" s="433"/>
      <c r="F17" s="444">
        <v>239999</v>
      </c>
      <c r="G17" s="433"/>
      <c r="H17" s="433">
        <v>13</v>
      </c>
      <c r="I17" s="432" t="s">
        <v>2682</v>
      </c>
      <c r="J17" s="441">
        <v>14</v>
      </c>
      <c r="K17" s="432" t="s">
        <v>2682</v>
      </c>
      <c r="L17" s="442">
        <v>9.5</v>
      </c>
      <c r="M17" s="445" t="s">
        <v>2682</v>
      </c>
      <c r="T17" s="74">
        <v>3</v>
      </c>
      <c r="U17" s="1">
        <f>U109</f>
        <v>0</v>
      </c>
      <c r="V17" s="1">
        <f>V109</f>
        <v>0</v>
      </c>
      <c r="W17" s="1" t="str">
        <f>W109</f>
        <v/>
      </c>
      <c r="X17" s="1" t="str">
        <f>X109</f>
        <v>0</v>
      </c>
      <c r="Y17" s="215" t="str">
        <f>IFERROR(IF(X17="","",VLOOKUP(X17,$AO$3:$AU$45,7,FALSE)),"")</f>
        <v/>
      </c>
      <c r="Z17" s="215" t="str">
        <f>IFERROR(IF(X17="","",VLOOKUP(X17,$AO$3:$AU$45,6,FALSE)),"")</f>
        <v/>
      </c>
      <c r="AC17" s="74">
        <v>3</v>
      </c>
      <c r="AD17" s="1">
        <f>AD109</f>
        <v>0</v>
      </c>
      <c r="AE17" s="1">
        <f>AE109</f>
        <v>0</v>
      </c>
      <c r="AF17" s="1" t="str">
        <f>AF109</f>
        <v/>
      </c>
      <c r="AG17" s="1" t="str">
        <f>AG109</f>
        <v>0</v>
      </c>
      <c r="AH17" s="215" t="str">
        <f>IFERROR(IF(AG17="","",VLOOKUP(AG17,$AO$3:$AU$45,7,FALSE)),"")</f>
        <v/>
      </c>
      <c r="AI17" s="215" t="str">
        <f>IFERROR(IF(AG17="","",VLOOKUP(AG17,$AO$3:$AU$45,6,FALSE)),"")</f>
        <v/>
      </c>
      <c r="AL17" s="1">
        <v>240000</v>
      </c>
      <c r="AM17" s="1">
        <v>999999</v>
      </c>
      <c r="AN17" s="3" t="s">
        <v>2834</v>
      </c>
      <c r="AO17" s="334" t="s">
        <v>2854</v>
      </c>
      <c r="AP17" s="3" t="s">
        <v>2585</v>
      </c>
      <c r="AQ17" s="3" t="s">
        <v>2585</v>
      </c>
      <c r="AR17" s="3" t="s">
        <v>2585</v>
      </c>
      <c r="AS17" s="3" t="s">
        <v>2585</v>
      </c>
      <c r="AT17" s="3" t="s">
        <v>2585</v>
      </c>
      <c r="AU17" s="3" t="s">
        <v>2585</v>
      </c>
    </row>
    <row r="18" spans="1:47">
      <c r="A18" s="446"/>
      <c r="B18" s="433"/>
      <c r="C18" s="433"/>
      <c r="D18" s="447">
        <v>240000</v>
      </c>
      <c r="E18" s="447"/>
      <c r="F18" s="448">
        <v>10000000000</v>
      </c>
      <c r="G18" s="433"/>
      <c r="H18" s="433"/>
      <c r="I18" s="438"/>
      <c r="J18" s="437"/>
      <c r="K18" s="438"/>
      <c r="L18" s="433"/>
      <c r="M18" s="433"/>
      <c r="T18" s="74"/>
      <c r="U18" s="1"/>
      <c r="V18" s="1"/>
      <c r="W18" s="1"/>
      <c r="Y18" s="216" t="str">
        <f>IFERROR(IF(X17="","",VLOOKUP(X17,$AO$3:$AU$45,4,FALSE)),"")</f>
        <v/>
      </c>
      <c r="Z18" s="216" t="str">
        <f>IFERROR(IF(X17="","",VLOOKUP(X17,$AO$3:$AU$45,2,FALSE)),"")</f>
        <v/>
      </c>
      <c r="AC18" s="74"/>
      <c r="AH18" s="216" t="str">
        <f>IFERROR(IF(AG17="","",VLOOKUP(AG17,$AO$3:$AU$45,4,FALSE)),"")</f>
        <v/>
      </c>
      <c r="AI18" s="216" t="str">
        <f>IFERROR(IF(AG17="","",VLOOKUP(AG17,$AO$3:$AU$45,2,FALSE)),"")</f>
        <v/>
      </c>
      <c r="AN18" s="3"/>
      <c r="AO18" s="334" t="s">
        <v>2855</v>
      </c>
      <c r="AP18" s="3" t="s">
        <v>2585</v>
      </c>
      <c r="AQ18" s="3" t="s">
        <v>2585</v>
      </c>
      <c r="AR18" s="3" t="s">
        <v>2585</v>
      </c>
      <c r="AS18" s="3" t="s">
        <v>2585</v>
      </c>
      <c r="AT18" s="3" t="s">
        <v>2585</v>
      </c>
      <c r="AU18" s="3" t="s">
        <v>2585</v>
      </c>
    </row>
    <row r="19" spans="1:47" ht="13.5" thickBot="1">
      <c r="A19" s="453" t="e">
        <f>Lists!#REF!</f>
        <v>#REF!</v>
      </c>
      <c r="B19" s="454"/>
      <c r="C19" s="454"/>
      <c r="D19" s="455" t="s">
        <v>2849</v>
      </c>
      <c r="E19" s="455"/>
      <c r="F19" s="456" t="s">
        <v>2849</v>
      </c>
      <c r="G19" s="457"/>
      <c r="H19" s="457">
        <v>14</v>
      </c>
      <c r="I19" s="458" t="s">
        <v>2682</v>
      </c>
      <c r="J19" s="459">
        <v>18</v>
      </c>
      <c r="K19" s="458" t="s">
        <v>2682</v>
      </c>
      <c r="L19" s="442">
        <v>12</v>
      </c>
      <c r="M19" s="445" t="s">
        <v>2682</v>
      </c>
      <c r="T19" s="74"/>
      <c r="U19" s="1"/>
      <c r="V19" s="1"/>
      <c r="W19" s="1"/>
      <c r="Y19" s="216" t="str">
        <f>IFERROR(IF(X17="","",VLOOKUP(X17,$AO$3:$AU$45,5,FALSE)),"")</f>
        <v/>
      </c>
      <c r="Z19" s="216" t="str">
        <f>IFERROR(IF(X17="","",VLOOKUP(X17,$AO$3:$AU$45,3,FALSE)),"")</f>
        <v/>
      </c>
      <c r="AC19" s="74"/>
      <c r="AH19" s="216" t="str">
        <f>IFERROR(IF(AG17="","",VLOOKUP(AG17,$AO$3:$AU$45,5,FALSE)),"")</f>
        <v/>
      </c>
      <c r="AI19" s="216" t="str">
        <f>IFERROR(IF(AG17="","",VLOOKUP(AG17,$AO$3:$AU$45,3,FALSE)),"")</f>
        <v/>
      </c>
      <c r="AN19"/>
      <c r="AO19" s="334" t="s">
        <v>2856</v>
      </c>
      <c r="AP19" s="3" t="s">
        <v>2585</v>
      </c>
      <c r="AQ19" s="3" t="s">
        <v>2585</v>
      </c>
      <c r="AR19" s="3" t="s">
        <v>2585</v>
      </c>
      <c r="AS19" s="3" t="s">
        <v>2585</v>
      </c>
      <c r="AT19" s="3" t="s">
        <v>2585</v>
      </c>
      <c r="AU19" s="3" t="s">
        <v>2585</v>
      </c>
    </row>
    <row r="20" spans="1:47">
      <c r="T20" s="74">
        <v>4</v>
      </c>
      <c r="U20" s="1">
        <f>U110</f>
        <v>0</v>
      </c>
      <c r="V20" s="1">
        <f>V110</f>
        <v>0</v>
      </c>
      <c r="W20" s="1" t="str">
        <f>W110</f>
        <v/>
      </c>
      <c r="X20" s="1" t="str">
        <f>X110</f>
        <v>0</v>
      </c>
      <c r="Y20" s="215" t="str">
        <f>IFERROR(IF(X20="","",VLOOKUP(X20,$AO$3:$AU$45,7,FALSE)),"")</f>
        <v/>
      </c>
      <c r="Z20" s="215" t="str">
        <f>IFERROR(IF(X20="","",VLOOKUP(X20,$AO$3:$AU$45,6,FALSE)),"")</f>
        <v/>
      </c>
      <c r="AC20" s="74">
        <v>4</v>
      </c>
      <c r="AD20" s="1">
        <f>AD110</f>
        <v>0</v>
      </c>
      <c r="AE20" s="1">
        <f>AE110</f>
        <v>0</v>
      </c>
      <c r="AF20" s="1" t="str">
        <f>AF110</f>
        <v/>
      </c>
      <c r="AG20" s="1" t="str">
        <f>AG110</f>
        <v>0</v>
      </c>
      <c r="AH20" s="215" t="str">
        <f>IFERROR(IF(AG20="","",VLOOKUP(AG20,$AO$3:$AU$45,7,FALSE)),"")</f>
        <v/>
      </c>
      <c r="AI20" s="215" t="str">
        <f>IFERROR(IF(AG20="","",VLOOKUP(AG20,$AO$3:$AU$45,6,FALSE)),"")</f>
        <v/>
      </c>
      <c r="AL20" s="3" t="s">
        <v>2857</v>
      </c>
      <c r="AN20"/>
      <c r="AO20" s="334" t="s">
        <v>2858</v>
      </c>
      <c r="AP20" s="3" t="s">
        <v>2585</v>
      </c>
      <c r="AQ20" s="3" t="s">
        <v>2585</v>
      </c>
      <c r="AR20" s="3" t="s">
        <v>2585</v>
      </c>
      <c r="AS20" s="3" t="s">
        <v>2585</v>
      </c>
      <c r="AT20" s="3" t="s">
        <v>2585</v>
      </c>
      <c r="AU20" s="3" t="s">
        <v>2585</v>
      </c>
    </row>
    <row r="21" spans="1:47" ht="13.5" thickBot="1">
      <c r="T21" s="74"/>
      <c r="U21" s="1"/>
      <c r="V21" s="1"/>
      <c r="W21" s="1"/>
      <c r="Y21" s="216" t="str">
        <f>IFERROR(IF(X20="","",VLOOKUP(X20,$AO$3:$AU$45,4,FALSE)),"")</f>
        <v/>
      </c>
      <c r="Z21" s="216" t="str">
        <f>IFERROR(IF(X20="","",VLOOKUP(X20,$AO$3:$AU$45,2,FALSE)),"")</f>
        <v/>
      </c>
      <c r="AC21" s="74"/>
      <c r="AH21" s="216" t="str">
        <f>IFERROR(IF(AG20="","",VLOOKUP(AG20,$AO$3:$AU$45,4,FALSE)),"")</f>
        <v/>
      </c>
      <c r="AI21" s="216" t="str">
        <f>IFERROR(IF(AG20="","",VLOOKUP(AG20,$AO$3:$AU$45,2,FALSE)),"")</f>
        <v/>
      </c>
      <c r="AL21" s="3" t="s">
        <v>2822</v>
      </c>
      <c r="AM21" s="3" t="s">
        <v>2823</v>
      </c>
      <c r="AN21"/>
      <c r="AO21" s="334" t="s">
        <v>2859</v>
      </c>
      <c r="AP21" s="3" t="s">
        <v>2585</v>
      </c>
      <c r="AQ21" s="3" t="s">
        <v>2585</v>
      </c>
      <c r="AR21" s="3" t="s">
        <v>2585</v>
      </c>
      <c r="AS21" s="3" t="s">
        <v>2585</v>
      </c>
      <c r="AT21" s="3" t="s">
        <v>2585</v>
      </c>
      <c r="AU21" s="3" t="s">
        <v>2585</v>
      </c>
    </row>
    <row r="22" spans="1:47" ht="13.5" thickBot="1">
      <c r="A22" s="945" t="s">
        <v>2860</v>
      </c>
      <c r="B22" s="210"/>
      <c r="C22" s="210"/>
      <c r="D22" s="949" t="s">
        <v>2802</v>
      </c>
      <c r="E22" s="949"/>
      <c r="F22" s="949"/>
      <c r="G22" s="105"/>
      <c r="H22" s="111" t="s">
        <v>2803</v>
      </c>
      <c r="I22" s="112"/>
      <c r="T22" s="74"/>
      <c r="U22" s="1"/>
      <c r="V22" s="1"/>
      <c r="W22" s="1"/>
      <c r="Y22" s="216" t="str">
        <f>IFERROR(IF(X20="","",VLOOKUP(X20,$AO$3:$AU$45,5,FALSE)),"")</f>
        <v/>
      </c>
      <c r="Z22" s="216" t="str">
        <f>IFERROR(IF(X20="","",VLOOKUP(X20,$AO$3:$AU$45,3,FALSE)),"")</f>
        <v/>
      </c>
      <c r="AC22" s="74"/>
      <c r="AH22" s="216" t="str">
        <f>IFERROR(IF(AG20="","",VLOOKUP(AG20,$AO$3:$AU$45,5,FALSE)),"")</f>
        <v/>
      </c>
      <c r="AI22" s="216" t="str">
        <f>IFERROR(IF(AG20="","",VLOOKUP(AG20,$AO$3:$AU$45,3,FALSE)),"")</f>
        <v/>
      </c>
      <c r="AL22" s="1">
        <v>0</v>
      </c>
      <c r="AM22" s="1">
        <v>7000</v>
      </c>
      <c r="AN22" s="510" t="s">
        <v>2861</v>
      </c>
      <c r="AO22" s="334" t="s">
        <v>2862</v>
      </c>
      <c r="AP22" s="3" t="s">
        <v>2585</v>
      </c>
      <c r="AQ22" s="3" t="s">
        <v>2585</v>
      </c>
      <c r="AR22" s="3" t="s">
        <v>2585</v>
      </c>
      <c r="AS22" s="3" t="s">
        <v>2585</v>
      </c>
      <c r="AT22" s="3" t="s">
        <v>2585</v>
      </c>
      <c r="AU22" s="3" t="s">
        <v>2585</v>
      </c>
    </row>
    <row r="23" spans="1:47">
      <c r="A23" s="946"/>
      <c r="D23" s="106" t="s">
        <v>2807</v>
      </c>
      <c r="E23" s="106"/>
      <c r="F23" s="107" t="s">
        <v>2808</v>
      </c>
      <c r="G23" s="3"/>
      <c r="H23" s="950" t="s">
        <v>2863</v>
      </c>
      <c r="I23" s="951"/>
      <c r="L23" s="309" t="s">
        <v>2804</v>
      </c>
      <c r="T23" s="74">
        <v>5</v>
      </c>
      <c r="U23" s="1">
        <f>U111</f>
        <v>0</v>
      </c>
      <c r="V23" s="1">
        <f>V111</f>
        <v>0</v>
      </c>
      <c r="W23" s="1" t="str">
        <f>W111</f>
        <v/>
      </c>
      <c r="X23" s="1" t="str">
        <f>X111</f>
        <v>0</v>
      </c>
      <c r="Y23" s="215" t="str">
        <f>IFERROR(IF(X23="","",VLOOKUP(X23,$AO$3:$AU$45,7,FALSE)),"")</f>
        <v/>
      </c>
      <c r="Z23" s="215" t="str">
        <f>IFERROR(IF(X23="","",VLOOKUP(X23,$AO$3:$AU$45,6,FALSE)),"")</f>
        <v/>
      </c>
      <c r="AC23" s="74">
        <v>5</v>
      </c>
      <c r="AD23" s="1">
        <f>AD111</f>
        <v>0</v>
      </c>
      <c r="AE23" s="1">
        <f>AE111</f>
        <v>0</v>
      </c>
      <c r="AF23" s="1" t="str">
        <f>AF111</f>
        <v/>
      </c>
      <c r="AG23" s="1" t="str">
        <f>AG111</f>
        <v>0</v>
      </c>
      <c r="AH23" s="215" t="str">
        <f>IFERROR(IF(AG23="","",VLOOKUP(AG23,$AO$3:$AU$45,7,FALSE)),"")</f>
        <v/>
      </c>
      <c r="AI23" s="215" t="str">
        <f>IFERROR(IF(AG23="","",VLOOKUP(AG23,$AO$3:$AU$45,6,FALSE)),"")</f>
        <v/>
      </c>
      <c r="AL23" s="1">
        <v>7001</v>
      </c>
      <c r="AM23" s="1">
        <v>8500</v>
      </c>
      <c r="AN23" s="510" t="s">
        <v>2864</v>
      </c>
      <c r="AO23" s="334" t="s">
        <v>2865</v>
      </c>
      <c r="AP23" s="3" t="s">
        <v>2585</v>
      </c>
      <c r="AQ23" s="3" t="s">
        <v>2585</v>
      </c>
      <c r="AR23" s="3" t="s">
        <v>2585</v>
      </c>
      <c r="AS23" s="3" t="s">
        <v>2585</v>
      </c>
      <c r="AT23" s="3" t="s">
        <v>2585</v>
      </c>
      <c r="AU23" s="3" t="s">
        <v>2585</v>
      </c>
    </row>
    <row r="24" spans="1:47">
      <c r="A24" s="113" t="str">
        <f>Lists!I16</f>
        <v>Air Cooled Chiller with Condenser</v>
      </c>
      <c r="B24" s="3"/>
      <c r="C24" s="3"/>
      <c r="F24" s="108">
        <v>9.9999999999999995E-7</v>
      </c>
      <c r="H24" s="114">
        <v>16.2</v>
      </c>
      <c r="I24" s="115" t="s">
        <v>2682</v>
      </c>
      <c r="L24" s="1">
        <v>14.75</v>
      </c>
      <c r="M24" s="3" t="s">
        <v>2682</v>
      </c>
      <c r="T24" s="74"/>
      <c r="U24" s="1"/>
      <c r="V24" s="1"/>
      <c r="W24" s="1"/>
      <c r="Y24" s="216" t="str">
        <f>IFERROR(IF(X23="","",VLOOKUP(X23,$AO$3:$AU$45,4,FALSE)),"")</f>
        <v/>
      </c>
      <c r="Z24" s="216" t="str">
        <f>IFERROR(IF(X23="","",VLOOKUP(X23,$AO$3:$AU$45,2,FALSE)),"")</f>
        <v/>
      </c>
      <c r="AC24" s="74"/>
      <c r="AH24" s="216" t="str">
        <f>IFERROR(IF(AG23="","",VLOOKUP(AG23,$AO$3:$AU$45,4,FALSE)),"")</f>
        <v/>
      </c>
      <c r="AI24" s="216" t="str">
        <f>IFERROR(IF(AG23="","",VLOOKUP(AG23,$AO$3:$AU$45,2,FALSE)),"")</f>
        <v/>
      </c>
      <c r="AL24" s="1">
        <v>8501</v>
      </c>
      <c r="AM24" s="1">
        <v>9500</v>
      </c>
      <c r="AN24" t="s">
        <v>2866</v>
      </c>
      <c r="AO24" s="334" t="s">
        <v>2867</v>
      </c>
      <c r="AP24" s="3" t="s">
        <v>2585</v>
      </c>
      <c r="AQ24" s="3" t="s">
        <v>2585</v>
      </c>
      <c r="AR24" s="3" t="s">
        <v>2585</v>
      </c>
      <c r="AS24" s="3" t="s">
        <v>2585</v>
      </c>
      <c r="AT24" s="3" t="s">
        <v>2585</v>
      </c>
      <c r="AU24" s="3" t="s">
        <v>2585</v>
      </c>
    </row>
    <row r="25" spans="1:47" ht="13.5" thickBot="1">
      <c r="A25" s="113"/>
      <c r="B25" s="3"/>
      <c r="C25" s="3"/>
      <c r="F25" s="11">
        <v>150</v>
      </c>
      <c r="H25" s="114">
        <v>16.600000000000001</v>
      </c>
      <c r="I25" s="115" t="s">
        <v>2682</v>
      </c>
      <c r="L25" s="1">
        <v>15.05</v>
      </c>
      <c r="M25" s="3" t="s">
        <v>2682</v>
      </c>
      <c r="T25" s="74"/>
      <c r="U25" s="1"/>
      <c r="V25" s="1"/>
      <c r="W25" s="1"/>
      <c r="Y25" s="216" t="str">
        <f>IFERROR(IF(X23="","",VLOOKUP(X23,$AO$3:$AU$45,5,FALSE)),"")</f>
        <v/>
      </c>
      <c r="Z25" s="216" t="str">
        <f>IFERROR(IF(X23="","",VLOOKUP(X23,$AO$3:$AU$45,3,FALSE)),"")</f>
        <v/>
      </c>
      <c r="AC25" s="74"/>
      <c r="AH25" s="216" t="str">
        <f>IFERROR(IF(AG23="","",VLOOKUP(AG23,$AO$3:$AU$45,5,FALSE)),"")</f>
        <v/>
      </c>
      <c r="AI25" s="216" t="str">
        <f>IFERROR(IF(AG23="","",VLOOKUP(AG23,$AO$3:$AU$45,3,FALSE)),"")</f>
        <v/>
      </c>
      <c r="AL25" s="1">
        <v>9501</v>
      </c>
      <c r="AM25" s="1">
        <v>10500</v>
      </c>
      <c r="AN25" t="s">
        <v>2868</v>
      </c>
      <c r="AO25" s="334" t="s">
        <v>2869</v>
      </c>
      <c r="AP25" s="3" t="s">
        <v>2585</v>
      </c>
      <c r="AQ25" s="3" t="s">
        <v>2585</v>
      </c>
      <c r="AR25" s="3" t="s">
        <v>2585</v>
      </c>
      <c r="AS25" s="3" t="s">
        <v>2585</v>
      </c>
      <c r="AT25" s="3" t="s">
        <v>2585</v>
      </c>
      <c r="AU25" s="3" t="s">
        <v>2585</v>
      </c>
    </row>
    <row r="26" spans="1:47">
      <c r="A26" s="109"/>
      <c r="D26" s="24">
        <v>150</v>
      </c>
      <c r="E26" s="24"/>
      <c r="F26" s="12">
        <v>2000</v>
      </c>
      <c r="H26" s="116"/>
      <c r="I26" s="117"/>
      <c r="T26" s="74">
        <v>6</v>
      </c>
      <c r="U26" s="1">
        <f>U112</f>
        <v>0</v>
      </c>
      <c r="V26" s="1">
        <f>V112</f>
        <v>0</v>
      </c>
      <c r="W26" s="1" t="str">
        <f>W112</f>
        <v/>
      </c>
      <c r="X26" s="1" t="str">
        <f>X112</f>
        <v>0</v>
      </c>
      <c r="Y26" s="215" t="str">
        <f>IFERROR(IF(X26="","",VLOOKUP(X26,$AO$3:$AU$45,7,FALSE)),"")</f>
        <v/>
      </c>
      <c r="Z26" s="215" t="str">
        <f>IFERROR(IF(X26="","",VLOOKUP(X26,$AO$3:$AU$45,6,FALSE)),"")</f>
        <v/>
      </c>
      <c r="AC26" s="74">
        <v>6</v>
      </c>
      <c r="AD26" s="1">
        <f>AD112</f>
        <v>0</v>
      </c>
      <c r="AE26" s="1">
        <f>AE112</f>
        <v>0</v>
      </c>
      <c r="AF26" s="1" t="str">
        <f>AF112</f>
        <v/>
      </c>
      <c r="AG26" s="1" t="str">
        <f>AG112</f>
        <v>0</v>
      </c>
      <c r="AH26" s="215" t="str">
        <f>IFERROR(IF(AG26="","",VLOOKUP(AG26,$AO$3:$AU$45,7,FALSE)),"")</f>
        <v/>
      </c>
      <c r="AI26" s="215" t="str">
        <f>IFERROR(IF(AG26="","",VLOOKUP(AG26,$AO$3:$AU$45,6,FALSE)),"")</f>
        <v/>
      </c>
      <c r="AL26" s="1">
        <v>10501</v>
      </c>
      <c r="AM26" s="1">
        <v>11500</v>
      </c>
      <c r="AN26" t="s">
        <v>2870</v>
      </c>
      <c r="AO26" s="334" t="s">
        <v>2871</v>
      </c>
      <c r="AP26" s="3" t="s">
        <v>2585</v>
      </c>
      <c r="AQ26" s="3" t="s">
        <v>2585</v>
      </c>
      <c r="AR26" s="3" t="s">
        <v>2585</v>
      </c>
      <c r="AS26" s="3" t="s">
        <v>2585</v>
      </c>
      <c r="AT26" s="3" t="s">
        <v>2585</v>
      </c>
      <c r="AU26" s="3" t="s">
        <v>2585</v>
      </c>
    </row>
    <row r="27" spans="1:47">
      <c r="A27" s="113" t="str">
        <f>Lists!I17</f>
        <v>Water Cooled Chiller elect. operated, reciprocating &amp; positive displacement</v>
      </c>
      <c r="B27" s="3"/>
      <c r="C27" s="3"/>
      <c r="D27" s="1">
        <v>0</v>
      </c>
      <c r="F27" s="108">
        <v>9.9999999999999995E-8</v>
      </c>
      <c r="H27" s="118">
        <v>0.5</v>
      </c>
      <c r="I27" s="115" t="s">
        <v>2872</v>
      </c>
      <c r="L27" s="118">
        <v>0.55000000000000004</v>
      </c>
      <c r="M27" s="3" t="s">
        <v>2872</v>
      </c>
      <c r="T27" s="74"/>
      <c r="U27" s="1"/>
      <c r="V27" s="1"/>
      <c r="W27" s="1"/>
      <c r="Y27" s="216" t="str">
        <f>IFERROR(IF(X26="","",VLOOKUP(X26,$AO$3:$AU$45,4,FALSE)),"")</f>
        <v/>
      </c>
      <c r="Z27" s="216" t="str">
        <f>IFERROR(IF(X26="","",VLOOKUP(X26,$AO$3:$AU$45,2,FALSE)),"")</f>
        <v/>
      </c>
      <c r="AC27" s="74"/>
      <c r="AH27" s="216" t="str">
        <f>IFERROR(IF(AG26="","",VLOOKUP(AG26,$AO$3:$AU$45,4,FALSE)),"")</f>
        <v/>
      </c>
      <c r="AI27" s="216" t="str">
        <f>IFERROR(IF(AG26="","",VLOOKUP(AG26,$AO$3:$AU$45,2,FALSE)),"")</f>
        <v/>
      </c>
      <c r="AL27" s="1">
        <v>11501</v>
      </c>
      <c r="AM27" s="1">
        <v>12500</v>
      </c>
      <c r="AN27" t="s">
        <v>2873</v>
      </c>
      <c r="AO27" s="334" t="s">
        <v>2874</v>
      </c>
      <c r="AP27" s="3" t="s">
        <v>2585</v>
      </c>
      <c r="AQ27" s="3" t="s">
        <v>2585</v>
      </c>
      <c r="AR27" s="3" t="s">
        <v>2585</v>
      </c>
      <c r="AS27" s="3" t="s">
        <v>2585</v>
      </c>
      <c r="AT27" s="3" t="s">
        <v>2585</v>
      </c>
      <c r="AU27" s="3" t="s">
        <v>2585</v>
      </c>
    </row>
    <row r="28" spans="1:47" ht="13.5" thickBot="1">
      <c r="A28" s="113"/>
      <c r="B28" s="3"/>
      <c r="C28" s="3"/>
      <c r="D28" s="1">
        <v>0</v>
      </c>
      <c r="F28" s="108">
        <v>75</v>
      </c>
      <c r="H28" s="118">
        <v>0.47</v>
      </c>
      <c r="I28" s="115" t="s">
        <v>2872</v>
      </c>
      <c r="L28" s="118">
        <v>0.52500000000000002</v>
      </c>
      <c r="M28" s="3" t="s">
        <v>2872</v>
      </c>
      <c r="T28" s="74"/>
      <c r="U28" s="1"/>
      <c r="V28" s="1"/>
      <c r="W28" s="1"/>
      <c r="Y28" s="216" t="str">
        <f>IFERROR(IF(X26="","",VLOOKUP(X26,$AO$3:$AU$45,5,FALSE)),"")</f>
        <v/>
      </c>
      <c r="Z28" s="216" t="str">
        <f>IFERROR(IF(X26="","",VLOOKUP(X26,$AO$3:$AU$45,3,FALSE)),"")</f>
        <v/>
      </c>
      <c r="AC28" s="74"/>
      <c r="AH28" s="216" t="str">
        <f>IFERROR(IF(AG26="","",VLOOKUP(AG26,$AO$3:$AU$45,5,FALSE)),"")</f>
        <v/>
      </c>
      <c r="AI28" s="216" t="str">
        <f>IFERROR(IF(AG26="","",VLOOKUP(AG26,$AO$3:$AU$45,3,FALSE)),"")</f>
        <v/>
      </c>
      <c r="AL28" s="1">
        <v>12501</v>
      </c>
      <c r="AM28" s="1">
        <v>13500</v>
      </c>
      <c r="AN28" t="s">
        <v>2875</v>
      </c>
      <c r="AO28" s="334" t="s">
        <v>2876</v>
      </c>
      <c r="AP28" s="3" t="s">
        <v>2585</v>
      </c>
      <c r="AQ28" s="3" t="s">
        <v>2585</v>
      </c>
      <c r="AR28" s="3" t="s">
        <v>2585</v>
      </c>
      <c r="AS28" s="3" t="s">
        <v>2585</v>
      </c>
      <c r="AT28" s="3" t="s">
        <v>2585</v>
      </c>
      <c r="AU28" s="3" t="s">
        <v>2585</v>
      </c>
    </row>
    <row r="29" spans="1:47">
      <c r="A29" s="113"/>
      <c r="B29" s="3"/>
      <c r="C29" s="3"/>
      <c r="D29" s="1">
        <v>75</v>
      </c>
      <c r="F29" s="11">
        <v>150</v>
      </c>
      <c r="H29" s="118">
        <v>0.44</v>
      </c>
      <c r="I29" s="115" t="s">
        <v>2872</v>
      </c>
      <c r="L29" s="118">
        <v>0.49</v>
      </c>
      <c r="M29" s="3" t="s">
        <v>2872</v>
      </c>
      <c r="T29" s="74">
        <v>7</v>
      </c>
      <c r="U29" s="1">
        <f>U113</f>
        <v>0</v>
      </c>
      <c r="V29" s="1">
        <f>V113</f>
        <v>0</v>
      </c>
      <c r="W29" s="1" t="str">
        <f>W113</f>
        <v/>
      </c>
      <c r="X29" s="1" t="str">
        <f>X113</f>
        <v>0</v>
      </c>
      <c r="Y29" s="215" t="str">
        <f>IFERROR(IF(X29="","",VLOOKUP(X29,$AO$3:$AU$45,7,FALSE)),"")</f>
        <v/>
      </c>
      <c r="Z29" s="215" t="str">
        <f>IFERROR(IF(X29="","",VLOOKUP(X29,$AO$3:$AU$45,6,FALSE)),"")</f>
        <v/>
      </c>
      <c r="AC29" s="74">
        <v>7</v>
      </c>
      <c r="AD29" s="1">
        <f>AD113</f>
        <v>0</v>
      </c>
      <c r="AE29" s="1">
        <f>AE113</f>
        <v>0</v>
      </c>
      <c r="AF29" s="1" t="str">
        <f>AF113</f>
        <v/>
      </c>
      <c r="AG29" s="1" t="str">
        <f>AG113</f>
        <v>0</v>
      </c>
      <c r="AH29" s="215" t="str">
        <f>IFERROR(IF(AG29="","",VLOOKUP(AG29,$AO$3:$AU$45,7,FALSE)),"")</f>
        <v/>
      </c>
      <c r="AI29" s="215" t="str">
        <f>IFERROR(IF(AG29="","",VLOOKUP(AG29,$AO$3:$AU$45,6,FALSE)),"")</f>
        <v/>
      </c>
      <c r="AL29" s="1">
        <v>13501</v>
      </c>
      <c r="AM29" s="1">
        <v>14999</v>
      </c>
      <c r="AN29" t="s">
        <v>2877</v>
      </c>
      <c r="AO29" s="334" t="s">
        <v>2878</v>
      </c>
      <c r="AP29" s="3" t="s">
        <v>2585</v>
      </c>
      <c r="AQ29" s="3" t="s">
        <v>2585</v>
      </c>
      <c r="AR29" s="3" t="s">
        <v>2585</v>
      </c>
      <c r="AS29" s="3" t="s">
        <v>2585</v>
      </c>
      <c r="AT29" s="3" t="s">
        <v>2585</v>
      </c>
      <c r="AU29" s="3" t="s">
        <v>2585</v>
      </c>
    </row>
    <row r="30" spans="1:47">
      <c r="A30" s="113"/>
      <c r="B30" s="3"/>
      <c r="C30" s="3"/>
      <c r="D30" s="1">
        <v>150</v>
      </c>
      <c r="F30" s="11">
        <v>300</v>
      </c>
      <c r="H30" s="118">
        <v>0.42</v>
      </c>
      <c r="I30" s="115" t="s">
        <v>2872</v>
      </c>
      <c r="L30" s="118">
        <v>0.46500000000000002</v>
      </c>
      <c r="M30" s="3" t="s">
        <v>2872</v>
      </c>
      <c r="T30" s="74"/>
      <c r="U30" s="1"/>
      <c r="V30" s="1"/>
      <c r="W30" s="1"/>
      <c r="Y30" s="216" t="str">
        <f>IFERROR(IF(X29="","",VLOOKUP(X29,$AO$3:$AU$45,4,FALSE)),"")</f>
        <v/>
      </c>
      <c r="Z30" s="216" t="str">
        <f>IFERROR(IF(X29="","",VLOOKUP(X29,$AO$3:$AU$45,2,FALSE)),"")</f>
        <v/>
      </c>
      <c r="AC30" s="74"/>
      <c r="AH30" s="216" t="str">
        <f>IFERROR(IF(AG29="","",VLOOKUP(AG29,$AO$3:$AU$45,4,FALSE)),"")</f>
        <v/>
      </c>
      <c r="AI30" s="216" t="str">
        <f>IFERROR(IF(AG29="","",VLOOKUP(AG29,$AO$3:$AU$45,2,FALSE)),"")</f>
        <v/>
      </c>
      <c r="AL30" s="1">
        <v>15000</v>
      </c>
      <c r="AM30" s="1">
        <v>999999</v>
      </c>
      <c r="AN30" t="s">
        <v>2879</v>
      </c>
      <c r="AO30" s="334" t="s">
        <v>2880</v>
      </c>
      <c r="AP30" s="3" t="s">
        <v>2585</v>
      </c>
      <c r="AQ30" s="3" t="s">
        <v>2585</v>
      </c>
      <c r="AR30" s="3" t="s">
        <v>2585</v>
      </c>
      <c r="AS30" s="3" t="s">
        <v>2585</v>
      </c>
      <c r="AT30" s="3" t="s">
        <v>2585</v>
      </c>
      <c r="AU30" s="3" t="s">
        <v>2585</v>
      </c>
    </row>
    <row r="31" spans="1:47" ht="13.5" thickBot="1">
      <c r="A31" s="113"/>
      <c r="B31" s="3"/>
      <c r="C31" s="3"/>
      <c r="D31" s="1">
        <v>300</v>
      </c>
      <c r="F31" s="11">
        <v>600</v>
      </c>
      <c r="H31" s="118">
        <v>0.4</v>
      </c>
      <c r="I31" s="115" t="s">
        <v>2872</v>
      </c>
      <c r="L31" s="118">
        <v>0.44</v>
      </c>
      <c r="M31" s="3" t="s">
        <v>2872</v>
      </c>
      <c r="T31" s="74"/>
      <c r="U31" s="1"/>
      <c r="V31" s="1"/>
      <c r="W31" s="1"/>
      <c r="Y31" s="216" t="str">
        <f>IFERROR(IF(X29="","",VLOOKUP(X29,$AO$3:$AU$45,5,FALSE)),"")</f>
        <v/>
      </c>
      <c r="Z31" s="216" t="str">
        <f>IFERROR(IF(X29="","",VLOOKUP(X29,$AO$3:$AU$45,3,FALSE)),"")</f>
        <v/>
      </c>
      <c r="AC31" s="74"/>
      <c r="AH31" s="216" t="str">
        <f>IFERROR(IF(AG29="","",VLOOKUP(AG29,$AO$3:$AU$45,5,FALSE)),"")</f>
        <v/>
      </c>
      <c r="AI31" s="216" t="str">
        <f>IFERROR(IF(AG29="","",VLOOKUP(AG29,$AO$3:$AU$45,3,FALSE)),"")</f>
        <v/>
      </c>
      <c r="AN31"/>
      <c r="AO31" s="213" t="s">
        <v>2881</v>
      </c>
      <c r="AP31" s="3" t="s">
        <v>2821</v>
      </c>
      <c r="AQ31" s="3" t="s">
        <v>2825</v>
      </c>
      <c r="AR31" s="3" t="s">
        <v>2585</v>
      </c>
      <c r="AS31" s="3" t="s">
        <v>2585</v>
      </c>
      <c r="AT31" s="3" t="s">
        <v>2826</v>
      </c>
      <c r="AU31" s="3" t="s">
        <v>2585</v>
      </c>
    </row>
    <row r="32" spans="1:47">
      <c r="A32" s="109"/>
      <c r="D32" s="24">
        <v>600</v>
      </c>
      <c r="E32" s="24"/>
      <c r="F32" s="12">
        <v>2000</v>
      </c>
      <c r="H32" s="119"/>
      <c r="I32" s="117"/>
      <c r="L32" s="118"/>
      <c r="T32" s="74">
        <v>8</v>
      </c>
      <c r="U32" s="1">
        <f>U114</f>
        <v>0</v>
      </c>
      <c r="V32" s="1">
        <f>V114</f>
        <v>0</v>
      </c>
      <c r="W32" s="1" t="str">
        <f>W114</f>
        <v/>
      </c>
      <c r="X32" s="1" t="str">
        <f>X114</f>
        <v>0</v>
      </c>
      <c r="Y32" s="215" t="str">
        <f>IFERROR(IF(X32="","",VLOOKUP(X32,$AO$3:$AU$45,7,FALSE)),"")</f>
        <v/>
      </c>
      <c r="Z32" s="215" t="str">
        <f>IFERROR(IF(X32="","",VLOOKUP(X32,$AO$3:$AU$45,6,FALSE)),"")</f>
        <v/>
      </c>
      <c r="AC32" s="74">
        <v>8</v>
      </c>
      <c r="AD32" s="1">
        <f>AD114</f>
        <v>0</v>
      </c>
      <c r="AE32" s="1">
        <f>AE114</f>
        <v>0</v>
      </c>
      <c r="AF32" s="1" t="str">
        <f>AF114</f>
        <v/>
      </c>
      <c r="AG32" s="1" t="str">
        <f>AG114</f>
        <v>0</v>
      </c>
      <c r="AH32" s="215" t="str">
        <f>IFERROR(IF(AG32="","",VLOOKUP(AG32,$AO$3:$AU$45,7,FALSE)),"")</f>
        <v/>
      </c>
      <c r="AI32" s="215" t="str">
        <f>IFERROR(IF(AG32="","",VLOOKUP(AG32,$AO$3:$AU$45,6,FALSE)),"")</f>
        <v/>
      </c>
      <c r="AN32"/>
      <c r="AO32" s="213" t="s">
        <v>2882</v>
      </c>
      <c r="AP32" s="3" t="s">
        <v>2585</v>
      </c>
      <c r="AQ32" s="3" t="s">
        <v>2585</v>
      </c>
      <c r="AR32" s="3" t="s">
        <v>2816</v>
      </c>
      <c r="AS32" s="3" t="s">
        <v>2817</v>
      </c>
      <c r="AT32" s="3" t="s">
        <v>2585</v>
      </c>
      <c r="AU32" s="3" t="s">
        <v>2826</v>
      </c>
    </row>
    <row r="33" spans="1:47">
      <c r="A33" s="113" t="str">
        <f>Lists!I18</f>
        <v>Water Cooled Chiller elect. operated, centrifugal</v>
      </c>
      <c r="B33" s="3"/>
      <c r="C33" s="3"/>
      <c r="D33" s="1">
        <v>0</v>
      </c>
      <c r="F33" s="108">
        <v>9.9999999999999995E-8</v>
      </c>
      <c r="H33" s="118">
        <v>0.45</v>
      </c>
      <c r="I33" s="115" t="s">
        <v>2872</v>
      </c>
      <c r="L33" s="118">
        <v>0.495</v>
      </c>
      <c r="M33" s="1" t="s">
        <v>2872</v>
      </c>
      <c r="T33" s="74"/>
      <c r="U33" s="1"/>
      <c r="V33" s="1"/>
      <c r="W33" s="1"/>
      <c r="Y33" s="216" t="str">
        <f>IFERROR(IF(X32="","",VLOOKUP(X32,$AO$3:$AU$45,4,FALSE)),"")</f>
        <v/>
      </c>
      <c r="Z33" s="216" t="str">
        <f>IFERROR(IF(X32="","",VLOOKUP(X32,$AO$3:$AU$45,2,FALSE)),"")</f>
        <v/>
      </c>
      <c r="AC33" s="74"/>
      <c r="AH33" s="216" t="str">
        <f>IFERROR(IF(AG32="","",VLOOKUP(AG32,$AO$3:$AU$45,4,FALSE)),"")</f>
        <v/>
      </c>
      <c r="AI33" s="216" t="str">
        <f>IFERROR(IF(AG32="","",VLOOKUP(AG32,$AO$3:$AU$45,2,FALSE)),"")</f>
        <v/>
      </c>
      <c r="AN33"/>
      <c r="AO33" s="213" t="s">
        <v>2883</v>
      </c>
      <c r="AP33" s="3" t="s">
        <v>2585</v>
      </c>
      <c r="AQ33" s="3" t="s">
        <v>2585</v>
      </c>
      <c r="AR33" s="3" t="s">
        <v>2816</v>
      </c>
      <c r="AS33" s="3" t="s">
        <v>2817</v>
      </c>
      <c r="AT33" s="3" t="s">
        <v>2585</v>
      </c>
      <c r="AU33" s="3" t="s">
        <v>2826</v>
      </c>
    </row>
    <row r="34" spans="1:47" ht="13.5" thickBot="1">
      <c r="A34" s="113"/>
      <c r="B34" s="3"/>
      <c r="C34" s="3"/>
      <c r="F34" s="108">
        <v>150</v>
      </c>
      <c r="H34" s="118">
        <v>0.43</v>
      </c>
      <c r="I34" s="115" t="s">
        <v>2872</v>
      </c>
      <c r="L34" s="118">
        <v>0.47499999999999998</v>
      </c>
      <c r="M34" s="1" t="s">
        <v>2872</v>
      </c>
      <c r="T34" s="74"/>
      <c r="U34" s="1"/>
      <c r="V34" s="1"/>
      <c r="W34" s="1"/>
      <c r="Y34" s="216" t="str">
        <f>IFERROR(IF(X32="","",VLOOKUP(X32,$AO$3:$AU$45,5,FALSE)),"")</f>
        <v/>
      </c>
      <c r="Z34" s="216" t="str">
        <f>IFERROR(IF(X32="","",VLOOKUP(X32,$AO$3:$AU$45,3,FALSE)),"")</f>
        <v/>
      </c>
      <c r="AC34" s="74"/>
      <c r="AH34" s="216" t="str">
        <f>IFERROR(IF(AG32="","",VLOOKUP(AG32,$AO$3:$AU$45,5,FALSE)),"")</f>
        <v/>
      </c>
      <c r="AI34" s="216" t="str">
        <f>IFERROR(IF(AG32="","",VLOOKUP(AG32,$AO$3:$AU$45,3,FALSE)),"")</f>
        <v/>
      </c>
      <c r="AN34"/>
      <c r="AO34" s="334" t="s">
        <v>2884</v>
      </c>
      <c r="AP34" s="3" t="s">
        <v>2585</v>
      </c>
      <c r="AQ34" s="3" t="s">
        <v>2585</v>
      </c>
      <c r="AR34" s="3" t="s">
        <v>2816</v>
      </c>
      <c r="AS34" s="3" t="s">
        <v>2817</v>
      </c>
      <c r="AT34" s="3" t="s">
        <v>2585</v>
      </c>
      <c r="AU34" s="3" t="s">
        <v>2826</v>
      </c>
    </row>
    <row r="35" spans="1:47">
      <c r="A35" s="113"/>
      <c r="B35" s="3"/>
      <c r="C35" s="3"/>
      <c r="D35" s="1">
        <v>150</v>
      </c>
      <c r="F35" s="11">
        <v>300</v>
      </c>
      <c r="H35" s="118">
        <v>0.41</v>
      </c>
      <c r="I35" s="115" t="s">
        <v>2872</v>
      </c>
      <c r="L35" s="118">
        <v>0.45500000000000002</v>
      </c>
      <c r="M35" s="1" t="s">
        <v>2872</v>
      </c>
      <c r="T35" s="74">
        <v>9</v>
      </c>
      <c r="U35" s="1">
        <f>U115</f>
        <v>0</v>
      </c>
      <c r="V35" s="1">
        <f>V115</f>
        <v>0</v>
      </c>
      <c r="W35" s="1" t="str">
        <f>W115</f>
        <v/>
      </c>
      <c r="X35" s="1" t="str">
        <f>X115</f>
        <v>0</v>
      </c>
      <c r="Y35" s="215" t="str">
        <f>IFERROR(IF(X35="","",VLOOKUP(X35,$AO$3:$AU$45,7,FALSE)),"")</f>
        <v/>
      </c>
      <c r="Z35" s="215" t="str">
        <f>IFERROR(IF(X35="","",VLOOKUP(X35,$AO$3:$AU$45,6,FALSE)),"")</f>
        <v/>
      </c>
      <c r="AC35" s="74">
        <v>9</v>
      </c>
      <c r="AD35" s="1">
        <f>AD115</f>
        <v>0</v>
      </c>
      <c r="AE35" s="1">
        <f>AE115</f>
        <v>0</v>
      </c>
      <c r="AF35" s="1" t="str">
        <f>AF115</f>
        <v/>
      </c>
      <c r="AG35" s="1" t="str">
        <f>AG115</f>
        <v>0</v>
      </c>
      <c r="AH35" s="215" t="str">
        <f>IFERROR(IF(AG35="","",VLOOKUP(AG35,$AO$3:$AU$45,7,FALSE)),"")</f>
        <v/>
      </c>
      <c r="AI35" s="215" t="str">
        <f>IFERROR(IF(AG35="","",VLOOKUP(AG35,$AO$3:$AU$45,6,FALSE)),"")</f>
        <v/>
      </c>
      <c r="AN35"/>
      <c r="AO35" s="461" t="s">
        <v>2885</v>
      </c>
      <c r="AP35" s="3" t="s">
        <v>2585</v>
      </c>
      <c r="AQ35" s="3" t="s">
        <v>2585</v>
      </c>
      <c r="AR35" s="3" t="s">
        <v>2585</v>
      </c>
      <c r="AS35" s="3" t="s">
        <v>2585</v>
      </c>
      <c r="AT35" s="3" t="s">
        <v>2585</v>
      </c>
      <c r="AU35" s="3" t="s">
        <v>2585</v>
      </c>
    </row>
    <row r="36" spans="1:47">
      <c r="A36" s="113"/>
      <c r="B36" s="3"/>
      <c r="C36" s="3"/>
      <c r="D36" s="1">
        <v>300</v>
      </c>
      <c r="F36" s="11">
        <v>400</v>
      </c>
      <c r="H36" s="118">
        <v>0.4</v>
      </c>
      <c r="I36" s="115" t="s">
        <v>2872</v>
      </c>
      <c r="L36" s="118">
        <v>0.44</v>
      </c>
      <c r="M36" s="1" t="s">
        <v>2872</v>
      </c>
      <c r="T36" s="74"/>
      <c r="U36" s="1"/>
      <c r="V36" s="1"/>
      <c r="W36" s="1"/>
      <c r="Y36" s="216" t="str">
        <f>IFERROR(IF(X35="","",VLOOKUP(X35,$AO$3:$AU$45,4,FALSE)),"")</f>
        <v/>
      </c>
      <c r="Z36" s="216" t="str">
        <f>IFERROR(IF(X35="","",VLOOKUP(X35,$AO$3:$AU$45,2,FALSE)),"")</f>
        <v/>
      </c>
      <c r="AC36" s="74"/>
      <c r="AH36" s="216" t="str">
        <f>IFERROR(IF(AG35="","",VLOOKUP(AG35,$AO$3:$AU$45,4,FALSE)),"")</f>
        <v/>
      </c>
      <c r="AI36" s="216" t="str">
        <f>IFERROR(IF(AG35="","",VLOOKUP(AG35,$AO$3:$AU$45,2,FALSE)),"")</f>
        <v/>
      </c>
      <c r="AN36"/>
      <c r="AO36" s="461" t="s">
        <v>2886</v>
      </c>
      <c r="AP36" s="3" t="s">
        <v>2585</v>
      </c>
      <c r="AQ36" s="3" t="s">
        <v>2585</v>
      </c>
      <c r="AR36" s="3" t="s">
        <v>2585</v>
      </c>
      <c r="AS36" s="3" t="s">
        <v>2585</v>
      </c>
      <c r="AT36" s="3" t="s">
        <v>2585</v>
      </c>
      <c r="AU36" s="3" t="s">
        <v>2585</v>
      </c>
    </row>
    <row r="37" spans="1:47" ht="13.5" thickBot="1">
      <c r="A37" s="76"/>
      <c r="B37" s="77"/>
      <c r="C37" s="77"/>
      <c r="D37" s="77">
        <v>400</v>
      </c>
      <c r="E37" s="77"/>
      <c r="F37" s="120">
        <v>2001</v>
      </c>
      <c r="G37" s="77"/>
      <c r="H37" s="121"/>
      <c r="I37" s="122"/>
      <c r="T37" s="74"/>
      <c r="U37" s="1"/>
      <c r="V37" s="1"/>
      <c r="W37" s="1"/>
      <c r="Y37" s="216" t="str">
        <f>IFERROR(IF(X35="","",VLOOKUP(X35,$AO$3:$AU$45,5,FALSE)),"")</f>
        <v/>
      </c>
      <c r="Z37" s="216" t="str">
        <f>IFERROR(IF(X35="","",VLOOKUP(X35,$AO$3:$AU$45,3,FALSE)),"")</f>
        <v/>
      </c>
      <c r="AC37" s="74"/>
      <c r="AH37" s="216" t="str">
        <f>IFERROR(IF(AG35="","",VLOOKUP(AG35,$AO$3:$AU$45,5,FALSE)),"")</f>
        <v/>
      </c>
      <c r="AI37" s="216" t="str">
        <f>IFERROR(IF(AG35="","",VLOOKUP(AG35,$AO$3:$AU$45,3,FALSE)),"")</f>
        <v/>
      </c>
      <c r="AN37"/>
      <c r="AO37" s="334" t="s">
        <v>2887</v>
      </c>
      <c r="AP37" s="3" t="s">
        <v>2888</v>
      </c>
      <c r="AQ37" s="3" t="s">
        <v>2889</v>
      </c>
      <c r="AR37" s="3" t="s">
        <v>2585</v>
      </c>
      <c r="AS37" s="3" t="s">
        <v>2585</v>
      </c>
      <c r="AT37" s="3" t="s">
        <v>2826</v>
      </c>
      <c r="AU37" s="3" t="s">
        <v>2585</v>
      </c>
    </row>
    <row r="38" spans="1:47">
      <c r="T38" s="74">
        <v>10</v>
      </c>
      <c r="U38" s="1">
        <f>U116</f>
        <v>0</v>
      </c>
      <c r="V38" s="1">
        <f>V116</f>
        <v>0</v>
      </c>
      <c r="W38" s="1" t="str">
        <f>W116</f>
        <v/>
      </c>
      <c r="X38" s="1" t="str">
        <f>X116</f>
        <v>0</v>
      </c>
      <c r="Y38" s="215" t="str">
        <f>IFERROR(IF(X38="","",VLOOKUP(X38,$AO$3:$AU$45,7,FALSE)),"")</f>
        <v/>
      </c>
      <c r="Z38" s="215" t="str">
        <f>IFERROR(IF(X38="","",VLOOKUP(X38,$AO$3:$AU$45,6,FALSE)),"")</f>
        <v/>
      </c>
      <c r="AC38" s="74">
        <v>10</v>
      </c>
      <c r="AD38" s="1">
        <f>AD116</f>
        <v>0</v>
      </c>
      <c r="AE38" s="1">
        <f>AE116</f>
        <v>0</v>
      </c>
      <c r="AF38" s="1" t="str">
        <f>AF116</f>
        <v/>
      </c>
      <c r="AG38" s="1" t="str">
        <f>AG116</f>
        <v>0</v>
      </c>
      <c r="AH38" s="215" t="str">
        <f>IFERROR(IF(AG38="","",VLOOKUP(AG38,$AO$3:$AU$45,7,FALSE)),"")</f>
        <v/>
      </c>
      <c r="AI38" s="215" t="str">
        <f>IFERROR(IF(AG38="","",VLOOKUP(AG38,$AO$3:$AU$45,6,FALSE)),"")</f>
        <v/>
      </c>
      <c r="AN38"/>
      <c r="AO38" s="213" t="s">
        <v>2890</v>
      </c>
      <c r="AP38" s="3" t="s">
        <v>2888</v>
      </c>
      <c r="AQ38" s="3" t="s">
        <v>2889</v>
      </c>
      <c r="AR38" s="3" t="s">
        <v>2816</v>
      </c>
      <c r="AS38" s="3" t="s">
        <v>2817</v>
      </c>
      <c r="AT38" s="3" t="s">
        <v>2826</v>
      </c>
      <c r="AU38" s="3" t="s">
        <v>2826</v>
      </c>
    </row>
    <row r="39" spans="1:47">
      <c r="T39" s="74"/>
      <c r="U39" s="1"/>
      <c r="V39" s="1"/>
      <c r="W39" s="1"/>
      <c r="Y39" s="216" t="str">
        <f>IFERROR(IF(X38="","",VLOOKUP(X38,$AO$3:$AU$45,4,FALSE)),"")</f>
        <v/>
      </c>
      <c r="Z39" s="216" t="str">
        <f>IFERROR(IF(X38="","",VLOOKUP(X38,$AO$3:$AU$45,2,FALSE)),"")</f>
        <v/>
      </c>
      <c r="AC39" s="74"/>
      <c r="AH39" s="216" t="str">
        <f>IFERROR(IF(AG38="","",VLOOKUP(AG38,$AO$3:$AU$45,4,FALSE)),"")</f>
        <v/>
      </c>
      <c r="AI39" s="216" t="str">
        <f>IFERROR(IF(AG38="","",VLOOKUP(AG38,$AO$3:$AU$45,2,FALSE)),"")</f>
        <v/>
      </c>
      <c r="AO39" s="213" t="s">
        <v>2891</v>
      </c>
      <c r="AP39" s="3" t="s">
        <v>2888</v>
      </c>
      <c r="AQ39" s="3" t="s">
        <v>2889</v>
      </c>
      <c r="AR39" s="3" t="s">
        <v>2816</v>
      </c>
      <c r="AS39" s="3" t="s">
        <v>2817</v>
      </c>
      <c r="AT39" s="3" t="s">
        <v>2826</v>
      </c>
      <c r="AU39" s="3" t="s">
        <v>2826</v>
      </c>
    </row>
    <row r="40" spans="1:47" ht="13.5" thickBot="1">
      <c r="T40" s="74"/>
      <c r="U40" s="1"/>
      <c r="V40" s="1"/>
      <c r="W40" s="1"/>
      <c r="Y40" s="216" t="str">
        <f>IFERROR(IF(X38="","",VLOOKUP(X38,$AO$3:$AU$45,5,FALSE)),"")</f>
        <v/>
      </c>
      <c r="Z40" s="216" t="str">
        <f>IFERROR(IF(X38="","",VLOOKUP(X38,$AO$3:$AU$45,3,FALSE)),"")</f>
        <v/>
      </c>
      <c r="AC40" s="74"/>
      <c r="AH40" s="216" t="str">
        <f>IFERROR(IF(AG38="","",VLOOKUP(AG38,$AO$3:$AU$45,5,FALSE)),"")</f>
        <v/>
      </c>
      <c r="AI40" s="216" t="str">
        <f>IFERROR(IF(AG38="","",VLOOKUP(AG38,$AO$3:$AU$45,3,FALSE)),"")</f>
        <v/>
      </c>
      <c r="AO40" s="213" t="s">
        <v>2892</v>
      </c>
      <c r="AP40" s="3" t="s">
        <v>2888</v>
      </c>
      <c r="AQ40" s="3" t="s">
        <v>2889</v>
      </c>
      <c r="AR40" s="3" t="s">
        <v>2816</v>
      </c>
      <c r="AS40" s="3" t="s">
        <v>2817</v>
      </c>
      <c r="AT40" s="3" t="s">
        <v>2826</v>
      </c>
      <c r="AU40" s="3" t="s">
        <v>2826</v>
      </c>
    </row>
    <row r="41" spans="1:47">
      <c r="T41" s="74">
        <v>11</v>
      </c>
      <c r="U41" s="1">
        <f>U117</f>
        <v>0</v>
      </c>
      <c r="V41" s="1">
        <f>V117</f>
        <v>0</v>
      </c>
      <c r="W41" s="1" t="str">
        <f>W117</f>
        <v/>
      </c>
      <c r="X41" s="1" t="str">
        <f>X117</f>
        <v>0</v>
      </c>
      <c r="Y41" s="215" t="str">
        <f>IFERROR(IF(X41="","",VLOOKUP(X41,$AO$3:$AU$45,7,FALSE)),"")</f>
        <v/>
      </c>
      <c r="Z41" s="215" t="str">
        <f>IFERROR(IF(X41="","",VLOOKUP(X41,$AO$3:$AU$45,6,FALSE)),"")</f>
        <v/>
      </c>
      <c r="AC41" s="74">
        <v>11</v>
      </c>
      <c r="AD41" s="1">
        <f>AD117</f>
        <v>0</v>
      </c>
      <c r="AE41" s="1">
        <f>AE117</f>
        <v>0</v>
      </c>
      <c r="AF41" s="1" t="str">
        <f>AF117</f>
        <v/>
      </c>
      <c r="AG41" s="1" t="str">
        <f>AG117</f>
        <v>0</v>
      </c>
      <c r="AH41" s="215" t="str">
        <f>IFERROR(IF(AG41="","",VLOOKUP(AG41,$AO$3:$AU$45,7,FALSE)),"")</f>
        <v/>
      </c>
      <c r="AI41" s="215" t="str">
        <f>IFERROR(IF(AG41="","",VLOOKUP(AG41,$AO$3:$AU$45,6,FALSE)),"")</f>
        <v/>
      </c>
      <c r="AO41" s="213" t="s">
        <v>2893</v>
      </c>
      <c r="AP41" s="3" t="s">
        <v>2888</v>
      </c>
      <c r="AQ41" s="3" t="s">
        <v>2585</v>
      </c>
      <c r="AR41" s="3" t="s">
        <v>2585</v>
      </c>
      <c r="AS41" s="3" t="s">
        <v>2585</v>
      </c>
      <c r="AT41" s="3" t="s">
        <v>2826</v>
      </c>
      <c r="AU41" s="3" t="s">
        <v>2585</v>
      </c>
    </row>
    <row r="42" spans="1:47">
      <c r="E42" s="3" t="s">
        <v>2829</v>
      </c>
      <c r="T42" s="74"/>
      <c r="U42" s="1"/>
      <c r="V42" s="1"/>
      <c r="W42" s="1"/>
      <c r="Y42" s="216" t="str">
        <f>IFERROR(IF(X41="","",VLOOKUP(X41,$AO$3:$AU$45,4,FALSE)),"")</f>
        <v/>
      </c>
      <c r="Z42" s="216" t="str">
        <f>IFERROR(IF(X41="","",VLOOKUP(X41,$AO$3:$AU$45,2,FALSE)),"")</f>
        <v/>
      </c>
      <c r="AC42" s="74"/>
      <c r="AH42" s="216" t="str">
        <f>IFERROR(IF(AG41="","",VLOOKUP(AG41,$AO$3:$AU$45,4,FALSE)),"")</f>
        <v/>
      </c>
      <c r="AI42" s="216" t="str">
        <f>IFERROR(IF(AG41="","",VLOOKUP(AG41,$AO$3:$AU$45,2,FALSE)),"")</f>
        <v/>
      </c>
      <c r="AO42" s="213" t="s">
        <v>2894</v>
      </c>
      <c r="AP42" s="3" t="s">
        <v>2888</v>
      </c>
      <c r="AQ42" s="3" t="s">
        <v>2585</v>
      </c>
      <c r="AR42" s="3" t="s">
        <v>2816</v>
      </c>
      <c r="AS42" s="3" t="s">
        <v>2817</v>
      </c>
      <c r="AT42" s="3" t="s">
        <v>2826</v>
      </c>
      <c r="AU42" s="3" t="s">
        <v>2826</v>
      </c>
    </row>
    <row r="43" spans="1:47" ht="13.5" thickBot="1">
      <c r="E43" s="1" t="s">
        <v>2895</v>
      </c>
      <c r="T43" s="74"/>
      <c r="U43" s="1"/>
      <c r="V43" s="1"/>
      <c r="W43" s="1"/>
      <c r="Y43" s="216" t="str">
        <f>IFERROR(IF(X41="","",VLOOKUP(X41,$AO$3:$AU$45,5,FALSE)),"")</f>
        <v/>
      </c>
      <c r="Z43" s="216" t="str">
        <f>IFERROR(IF(X41="","",VLOOKUP(X41,$AO$3:$AU$45,3,FALSE)),"")</f>
        <v/>
      </c>
      <c r="AC43" s="74"/>
      <c r="AH43" s="216" t="str">
        <f>IFERROR(IF(AG41="","",VLOOKUP(AG41,$AO$3:$AU$45,5,FALSE)),"")</f>
        <v/>
      </c>
      <c r="AI43" s="216" t="str">
        <f>IFERROR(IF(AG41="","",VLOOKUP(AG41,$AO$3:$AU$45,3,FALSE)),"")</f>
        <v/>
      </c>
      <c r="AO43" s="213" t="s">
        <v>2896</v>
      </c>
      <c r="AP43" s="3" t="s">
        <v>2888</v>
      </c>
      <c r="AQ43" s="3" t="s">
        <v>2585</v>
      </c>
      <c r="AR43" s="3" t="s">
        <v>2816</v>
      </c>
      <c r="AS43" s="3" t="s">
        <v>2817</v>
      </c>
      <c r="AT43" s="3" t="s">
        <v>2826</v>
      </c>
      <c r="AU43" s="3" t="s">
        <v>2826</v>
      </c>
    </row>
    <row r="44" spans="1:47" ht="13.5" thickBot="1">
      <c r="G44" s="938" t="s">
        <v>2715</v>
      </c>
      <c r="H44" s="941"/>
      <c r="I44" s="941"/>
      <c r="J44" s="941"/>
      <c r="K44" s="942"/>
      <c r="L44" s="938" t="s">
        <v>2897</v>
      </c>
      <c r="M44" s="941"/>
      <c r="N44" s="942"/>
      <c r="T44" s="74">
        <v>12</v>
      </c>
      <c r="U44" s="1">
        <f>U118</f>
        <v>0</v>
      </c>
      <c r="V44" s="1">
        <f>V118</f>
        <v>0</v>
      </c>
      <c r="W44" s="1" t="str">
        <f>W118</f>
        <v/>
      </c>
      <c r="X44" s="1" t="str">
        <f>X118</f>
        <v>0</v>
      </c>
      <c r="Y44" s="215" t="str">
        <f>IFERROR(IF(X44="","",VLOOKUP(X44,$AO$3:$AU$45,7,FALSE)),"")</f>
        <v/>
      </c>
      <c r="Z44" s="215" t="str">
        <f>IFERROR(IF(X44="","",VLOOKUP(X44,$AO$3:$AU$45,6,FALSE)),"")</f>
        <v/>
      </c>
      <c r="AC44" s="74">
        <v>12</v>
      </c>
      <c r="AD44" s="1">
        <f>AD118</f>
        <v>0</v>
      </c>
      <c r="AE44" s="1">
        <f>AE118</f>
        <v>0</v>
      </c>
      <c r="AF44" s="1" t="str">
        <f>AF118</f>
        <v/>
      </c>
      <c r="AG44" s="1" t="str">
        <f>AG118</f>
        <v>0</v>
      </c>
      <c r="AH44" s="215" t="str">
        <f>IFERROR(IF(AG44="","",VLOOKUP(AG44,$AO$3:$AU$45,7,FALSE)),"")</f>
        <v/>
      </c>
      <c r="AI44" s="215" t="str">
        <f>IFERROR(IF(AG44="","",VLOOKUP(AG44,$AO$3:$AU$45,6,FALSE)),"")</f>
        <v/>
      </c>
      <c r="AO44" s="213" t="s">
        <v>2898</v>
      </c>
      <c r="AP44" s="3" t="s">
        <v>2888</v>
      </c>
      <c r="AQ44" s="3" t="s">
        <v>2585</v>
      </c>
      <c r="AR44" s="3" t="s">
        <v>2816</v>
      </c>
      <c r="AS44" s="3" t="s">
        <v>2817</v>
      </c>
      <c r="AT44" s="3" t="s">
        <v>2826</v>
      </c>
      <c r="AU44" s="3" t="s">
        <v>2826</v>
      </c>
    </row>
    <row r="45" spans="1:47" ht="13.5" thickBot="1">
      <c r="A45" s="955" t="s">
        <v>2899</v>
      </c>
      <c r="E45" s="211">
        <v>1</v>
      </c>
      <c r="F45" s="211">
        <v>2</v>
      </c>
      <c r="G45" s="211">
        <v>3</v>
      </c>
      <c r="H45" s="211">
        <v>4</v>
      </c>
      <c r="I45" s="211">
        <v>5</v>
      </c>
      <c r="J45" s="211">
        <v>6</v>
      </c>
      <c r="K45" s="211">
        <v>7</v>
      </c>
      <c r="L45" s="1">
        <v>8</v>
      </c>
      <c r="M45" s="1">
        <v>9</v>
      </c>
      <c r="N45" s="1">
        <v>10</v>
      </c>
      <c r="O45" s="1">
        <v>11</v>
      </c>
      <c r="P45" s="1">
        <v>12</v>
      </c>
      <c r="Q45" s="1">
        <v>13</v>
      </c>
      <c r="R45" s="1">
        <v>14</v>
      </c>
      <c r="T45" s="74"/>
      <c r="U45" s="1"/>
      <c r="V45" s="1"/>
      <c r="W45" s="1"/>
      <c r="Y45" s="216" t="str">
        <f>IFERROR(IF(X44="","",VLOOKUP(X44,$AO$3:$AU$45,4,FALSE)),"")</f>
        <v/>
      </c>
      <c r="Z45" s="216" t="str">
        <f>IFERROR(IF(X44="","",VLOOKUP(X44,$AO$3:$AU$45,2,FALSE)),"")</f>
        <v/>
      </c>
      <c r="AC45" s="74"/>
      <c r="AH45" s="216" t="str">
        <f>IFERROR(IF(AG44="","",VLOOKUP(AG44,$AO$3:$AU$45,4,FALSE)),"")</f>
        <v/>
      </c>
      <c r="AI45" s="216" t="str">
        <f>IFERROR(IF(AG44="","",VLOOKUP(AG44,$AO$3:$AU$45,2,FALSE)),"")</f>
        <v/>
      </c>
      <c r="AO45" s="334" t="s">
        <v>2900</v>
      </c>
      <c r="AP45" s="3" t="s">
        <v>2888</v>
      </c>
      <c r="AQ45" s="3" t="s">
        <v>2889</v>
      </c>
      <c r="AR45" s="3" t="s">
        <v>2585</v>
      </c>
      <c r="AS45" s="3" t="s">
        <v>2585</v>
      </c>
      <c r="AT45" s="3" t="s">
        <v>2826</v>
      </c>
      <c r="AU45" s="3" t="s">
        <v>2585</v>
      </c>
    </row>
    <row r="46" spans="1:47" ht="13.5" thickBot="1">
      <c r="A46" s="956"/>
      <c r="E46" s="212" t="s">
        <v>2901</v>
      </c>
      <c r="G46" s="375" t="s">
        <v>2683</v>
      </c>
      <c r="H46" s="111"/>
      <c r="I46" s="111" t="s">
        <v>2684</v>
      </c>
      <c r="J46" s="111"/>
      <c r="K46" s="112" t="s">
        <v>2804</v>
      </c>
      <c r="L46" s="375" t="s">
        <v>2683</v>
      </c>
      <c r="M46" s="111" t="s">
        <v>2684</v>
      </c>
      <c r="N46" s="112" t="s">
        <v>2804</v>
      </c>
      <c r="O46" s="212"/>
      <c r="P46" s="3" t="s">
        <v>2902</v>
      </c>
      <c r="T46" s="74"/>
      <c r="U46" s="1"/>
      <c r="V46" s="1"/>
      <c r="W46" s="1"/>
      <c r="Y46" s="216" t="str">
        <f>IFERROR(IF(X44="","",VLOOKUP(X44,$AO$3:$AU$45,5,FALSE)),"")</f>
        <v/>
      </c>
      <c r="Z46" s="216" t="str">
        <f>IFERROR(IF(X44="","",VLOOKUP(X44,$AO$3:$AU$45,3,FALSE)),"")</f>
        <v/>
      </c>
      <c r="AC46" s="74"/>
      <c r="AH46" s="216" t="str">
        <f>IFERROR(IF(AG44="","",VLOOKUP(AG44,$AO$3:$AU$45,5,FALSE)),"")</f>
        <v/>
      </c>
      <c r="AI46" s="216" t="str">
        <f>IFERROR(IF(AG44="","",VLOOKUP(AG44,$AO$3:$AU$45,3,FALSE)),"")</f>
        <v/>
      </c>
    </row>
    <row r="47" spans="1:47">
      <c r="A47" s="1" t="s">
        <v>2819</v>
      </c>
      <c r="B47" s="378" t="s">
        <v>2820</v>
      </c>
      <c r="C47" s="3" t="s">
        <v>2585</v>
      </c>
      <c r="D47" s="3" t="s">
        <v>2821</v>
      </c>
      <c r="E47" s="1" t="str">
        <f>IF(A47="","",A47&amp;B47&amp;C47&amp;D47)</f>
        <v>Unitary Commercial Air Conditioners, Air-Cooled&lt;65,000N/ASplit System</v>
      </c>
      <c r="F47" s="3"/>
      <c r="G47" s="465">
        <v>15</v>
      </c>
      <c r="H47" s="466" t="s">
        <v>2681</v>
      </c>
      <c r="I47" s="467">
        <v>16</v>
      </c>
      <c r="J47" s="466" t="s">
        <v>2681</v>
      </c>
      <c r="K47" s="468">
        <v>13</v>
      </c>
      <c r="L47" s="469">
        <v>12.5</v>
      </c>
      <c r="M47" s="470">
        <v>13</v>
      </c>
      <c r="N47" s="471">
        <v>11.2</v>
      </c>
      <c r="O47" s="1" t="s">
        <v>2682</v>
      </c>
      <c r="T47" s="74">
        <v>13</v>
      </c>
      <c r="U47" s="1">
        <f>U119</f>
        <v>0</v>
      </c>
      <c r="V47" s="1">
        <f>V119</f>
        <v>0</v>
      </c>
      <c r="W47" s="1" t="str">
        <f>W119</f>
        <v/>
      </c>
      <c r="X47" s="1" t="str">
        <f>X119</f>
        <v>0</v>
      </c>
      <c r="Y47" s="215" t="str">
        <f>IFERROR(IF(X47="","",VLOOKUP(X47,$AO$3:$AU$45,7,FALSE)),"")</f>
        <v/>
      </c>
      <c r="Z47" s="215" t="str">
        <f>IFERROR(IF(X47="","",VLOOKUP(X47,$AO$3:$AU$45,6,FALSE)),"")</f>
        <v/>
      </c>
      <c r="AC47" s="74">
        <v>13</v>
      </c>
      <c r="AD47" s="1">
        <f>AD119</f>
        <v>0</v>
      </c>
      <c r="AE47" s="1">
        <f>AE119</f>
        <v>0</v>
      </c>
      <c r="AF47" s="1" t="str">
        <f>AF119</f>
        <v/>
      </c>
      <c r="AG47" s="1" t="str">
        <f>AG119</f>
        <v>0</v>
      </c>
      <c r="AH47" s="215" t="str">
        <f>IFERROR(IF(AG47="","",VLOOKUP(AG47,$AO$3:$AU$45,7,FALSE)),"")</f>
        <v/>
      </c>
      <c r="AI47" s="215" t="str">
        <f>IFERROR(IF(AG47="","",VLOOKUP(AG47,$AO$3:$AU$45,6,FALSE)),"")</f>
        <v/>
      </c>
    </row>
    <row r="48" spans="1:47">
      <c r="A48" s="1" t="s">
        <v>2819</v>
      </c>
      <c r="B48" s="378" t="s">
        <v>2820</v>
      </c>
      <c r="C48" s="3" t="s">
        <v>2585</v>
      </c>
      <c r="D48" s="3" t="s">
        <v>2825</v>
      </c>
      <c r="E48" s="1" t="str">
        <f t="shared" ref="E48:E115" si="0">IF(A48="","",A48&amp;B48&amp;C48&amp;D48)</f>
        <v>Unitary Commercial Air Conditioners, Air-Cooled&lt;65,000N/ASingle Package</v>
      </c>
      <c r="F48" s="3"/>
      <c r="G48" s="465">
        <v>15</v>
      </c>
      <c r="H48" s="466" t="s">
        <v>2681</v>
      </c>
      <c r="I48" s="467">
        <v>16</v>
      </c>
      <c r="J48" s="466" t="s">
        <v>2681</v>
      </c>
      <c r="K48" s="468">
        <v>14</v>
      </c>
      <c r="L48" s="469">
        <v>12</v>
      </c>
      <c r="M48" s="472">
        <v>12</v>
      </c>
      <c r="N48" s="471">
        <v>11.8</v>
      </c>
      <c r="O48" s="1" t="s">
        <v>2682</v>
      </c>
      <c r="P48" s="3" t="s">
        <v>2903</v>
      </c>
      <c r="T48" s="74"/>
      <c r="U48" s="1"/>
      <c r="V48" s="1"/>
      <c r="W48" s="1"/>
      <c r="Y48" s="216" t="str">
        <f>IFERROR(IF(X47="","",VLOOKUP(X47,$AO$3:$AU$45,4,FALSE)),"")</f>
        <v/>
      </c>
      <c r="Z48" s="216" t="str">
        <f>IFERROR(IF(X47="","",VLOOKUP(X47,$AO$3:$AU$45,2,FALSE)),"")</f>
        <v/>
      </c>
      <c r="AC48" s="74"/>
      <c r="AH48" s="216" t="str">
        <f>IFERROR(IF(AG47="","",VLOOKUP(AG47,$AO$3:$AU$45,4,FALSE)),"")</f>
        <v/>
      </c>
      <c r="AI48" s="216" t="str">
        <f>IFERROR(IF(AG47="","",VLOOKUP(AG47,$AO$3:$AU$45,2,FALSE)),"")</f>
        <v/>
      </c>
    </row>
    <row r="49" spans="1:35" ht="13.5" thickBot="1">
      <c r="A49" s="1" t="s">
        <v>2819</v>
      </c>
      <c r="B49" s="3" t="s">
        <v>2828</v>
      </c>
      <c r="C49" s="3" t="s">
        <v>2816</v>
      </c>
      <c r="D49" s="3" t="s">
        <v>2585</v>
      </c>
      <c r="E49" s="1" t="str">
        <f t="shared" si="0"/>
        <v>Unitary Commercial Air Conditioners, Air-Cooled&gt;=65,000 and &lt;135,000Electric (or none)N/A</v>
      </c>
      <c r="F49" s="3"/>
      <c r="G49" s="465">
        <v>12.2</v>
      </c>
      <c r="H49" s="466" t="s">
        <v>2682</v>
      </c>
      <c r="I49" s="467">
        <v>12.2</v>
      </c>
      <c r="J49" s="466" t="s">
        <v>2682</v>
      </c>
      <c r="K49" s="468">
        <v>11.2</v>
      </c>
      <c r="L49" s="469">
        <v>14</v>
      </c>
      <c r="M49" s="472">
        <v>14.8</v>
      </c>
      <c r="N49" s="471">
        <v>12.8</v>
      </c>
      <c r="O49" s="1" t="s">
        <v>2752</v>
      </c>
      <c r="T49" s="74"/>
      <c r="U49" s="1"/>
      <c r="V49" s="1"/>
      <c r="W49" s="1"/>
      <c r="Y49" s="216" t="str">
        <f>IFERROR(IF(X47="","",VLOOKUP(X47,$AO$3:$AU$45,5,FALSE)),"")</f>
        <v/>
      </c>
      <c r="Z49" s="216" t="str">
        <f>IFERROR(IF(X47="","",VLOOKUP(X47,$AO$3:$AU$45,3,FALSE)),"")</f>
        <v/>
      </c>
      <c r="AC49" s="74"/>
      <c r="AH49" s="216" t="str">
        <f>IFERROR(IF(AG47="","",VLOOKUP(AG47,$AO$3:$AU$45,5,FALSE)),"")</f>
        <v/>
      </c>
      <c r="AI49" s="216" t="str">
        <f>IFERROR(IF(AG47="","",VLOOKUP(AG47,$AO$3:$AU$45,3,FALSE)),"")</f>
        <v/>
      </c>
    </row>
    <row r="50" spans="1:35" ht="13.5" thickBot="1">
      <c r="A50" s="1" t="s">
        <v>2819</v>
      </c>
      <c r="B50" s="3" t="s">
        <v>2828</v>
      </c>
      <c r="C50" s="3" t="s">
        <v>2817</v>
      </c>
      <c r="D50" s="3" t="s">
        <v>2585</v>
      </c>
      <c r="E50" s="1" t="str">
        <f t="shared" si="0"/>
        <v>Unitary Commercial Air Conditioners, Air-Cooled&gt;=65,000 and &lt;135,000OtherN/A</v>
      </c>
      <c r="F50" s="3"/>
      <c r="G50" s="465">
        <v>12</v>
      </c>
      <c r="H50" s="466" t="s">
        <v>2682</v>
      </c>
      <c r="I50" s="467">
        <v>12</v>
      </c>
      <c r="J50" s="466" t="s">
        <v>2682</v>
      </c>
      <c r="K50" s="468">
        <v>11</v>
      </c>
      <c r="L50" s="469">
        <v>13.8</v>
      </c>
      <c r="M50" s="472">
        <v>14.6</v>
      </c>
      <c r="N50" s="471">
        <v>12.6</v>
      </c>
      <c r="O50" s="1" t="s">
        <v>2752</v>
      </c>
      <c r="T50" s="74">
        <v>14</v>
      </c>
      <c r="U50" s="1">
        <f>U120</f>
        <v>0</v>
      </c>
      <c r="V50" s="1">
        <f>V120</f>
        <v>0</v>
      </c>
      <c r="W50" s="1" t="str">
        <f>W120</f>
        <v/>
      </c>
      <c r="X50" s="1" t="str">
        <f>X120</f>
        <v>0</v>
      </c>
      <c r="Y50" s="215" t="str">
        <f>IFERROR(IF(X50="","",VLOOKUP(X50,$AO$3:$AU$45,7,FALSE)),"")</f>
        <v/>
      </c>
      <c r="Z50" s="215" t="str">
        <f>IFERROR(IF(X50="","",VLOOKUP(X50,$AO$3:$AU$45,6,FALSE)),"")</f>
        <v/>
      </c>
      <c r="AC50" s="74">
        <v>14</v>
      </c>
      <c r="AD50" s="1">
        <f>AD120</f>
        <v>0</v>
      </c>
      <c r="AE50" s="1">
        <f>AE120</f>
        <v>0</v>
      </c>
      <c r="AF50" s="1" t="str">
        <f>AF120</f>
        <v/>
      </c>
      <c r="AG50" s="1" t="str">
        <f>AG120</f>
        <v>0</v>
      </c>
      <c r="AH50" s="215" t="str">
        <f>IFERROR(IF(AG50="","",VLOOKUP(AG50,$AO$3:$AU$45,7,FALSE)),"")</f>
        <v/>
      </c>
      <c r="AI50" s="215" t="str">
        <f>IFERROR(IF(AG50="","",VLOOKUP(AG50,$AO$3:$AU$45,6,FALSE)),"")</f>
        <v/>
      </c>
    </row>
    <row r="51" spans="1:35" ht="13.5" thickBot="1">
      <c r="A51" s="1" t="s">
        <v>2819</v>
      </c>
      <c r="B51" s="3" t="s">
        <v>2831</v>
      </c>
      <c r="C51" s="3" t="s">
        <v>2816</v>
      </c>
      <c r="D51" s="3" t="s">
        <v>2585</v>
      </c>
      <c r="E51" s="1" t="str">
        <f t="shared" si="0"/>
        <v>Unitary Commercial Air Conditioners, Air-Cooled&gt;=135,000 and &lt;240,000Electric (or none)N/A</v>
      </c>
      <c r="F51" s="3"/>
      <c r="G51" s="465">
        <v>12.2</v>
      </c>
      <c r="H51" s="466" t="s">
        <v>2682</v>
      </c>
      <c r="I51" s="467">
        <v>12.2</v>
      </c>
      <c r="J51" s="466" t="s">
        <v>2682</v>
      </c>
      <c r="K51" s="468">
        <v>11</v>
      </c>
      <c r="L51" s="469">
        <v>13.2</v>
      </c>
      <c r="M51" s="472">
        <v>14.2</v>
      </c>
      <c r="N51" s="471">
        <v>12.4</v>
      </c>
      <c r="O51" s="1" t="s">
        <v>2752</v>
      </c>
      <c r="T51" s="74"/>
      <c r="U51" s="1"/>
      <c r="V51" s="1"/>
      <c r="W51" s="1"/>
      <c r="Y51" s="215" t="str">
        <f>IFERROR(IF(X50="","",VLOOKUP(X50,$AO$3:$AU$45,4,FALSE)),"")</f>
        <v/>
      </c>
      <c r="Z51" s="215" t="str">
        <f>IFERROR(IF(X50="","",VLOOKUP(X50,$AO$3:$AU$45,2,FALSE)),"")</f>
        <v/>
      </c>
      <c r="AC51" s="74"/>
      <c r="AH51" s="215" t="str">
        <f>IFERROR(IF(AG50="","",VLOOKUP(AG50,$AO$3:$AU$45,4,FALSE)),"")</f>
        <v/>
      </c>
      <c r="AI51" s="215" t="str">
        <f>IFERROR(IF(AG50="","",VLOOKUP(AG50,$AO$3:$AU$45,2,FALSE)),"")</f>
        <v/>
      </c>
    </row>
    <row r="52" spans="1:35" ht="13.5" thickBot="1">
      <c r="A52" s="1" t="s">
        <v>2819</v>
      </c>
      <c r="B52" s="3" t="s">
        <v>2831</v>
      </c>
      <c r="C52" s="3" t="s">
        <v>2817</v>
      </c>
      <c r="D52" s="3" t="s">
        <v>2585</v>
      </c>
      <c r="E52" s="1" t="str">
        <f t="shared" si="0"/>
        <v>Unitary Commercial Air Conditioners, Air-Cooled&gt;=135,000 and &lt;240,000OtherN/A</v>
      </c>
      <c r="F52" s="3"/>
      <c r="G52" s="465">
        <v>12</v>
      </c>
      <c r="H52" s="466" t="s">
        <v>2682</v>
      </c>
      <c r="I52" s="467">
        <v>12</v>
      </c>
      <c r="J52" s="466" t="s">
        <v>2682</v>
      </c>
      <c r="K52" s="468">
        <v>10.8</v>
      </c>
      <c r="L52" s="469">
        <v>13</v>
      </c>
      <c r="M52" s="472">
        <v>14</v>
      </c>
      <c r="N52" s="471">
        <v>12.2</v>
      </c>
      <c r="O52" s="1" t="s">
        <v>2752</v>
      </c>
      <c r="T52" s="74"/>
      <c r="U52" s="1"/>
      <c r="V52" s="1"/>
      <c r="W52" s="1"/>
      <c r="Y52" s="215" t="str">
        <f>IFERROR(IF(X50="","",VLOOKUP(X50,$AO$3:$AU$45,5,FALSE)),"")</f>
        <v/>
      </c>
      <c r="Z52" s="215" t="str">
        <f>IFERROR(IF(X50="","",VLOOKUP(X50,$AO$3:$AU$45,3,FALSE)),"")</f>
        <v/>
      </c>
      <c r="AC52" s="74"/>
      <c r="AH52" s="215" t="str">
        <f>IFERROR(IF(AG50="","",VLOOKUP(AG50,$AO$3:$AU$45,5,FALSE)),"")</f>
        <v/>
      </c>
      <c r="AI52" s="215" t="str">
        <f>IFERROR(IF(AG50="","",VLOOKUP(AG50,$AO$3:$AU$45,3,FALSE)),"")</f>
        <v/>
      </c>
    </row>
    <row r="53" spans="1:35">
      <c r="A53" s="1" t="s">
        <v>2819</v>
      </c>
      <c r="B53" s="3" t="s">
        <v>2837</v>
      </c>
      <c r="C53" s="3" t="s">
        <v>2816</v>
      </c>
      <c r="D53" s="3" t="s">
        <v>2585</v>
      </c>
      <c r="E53" s="1" t="str">
        <f t="shared" si="0"/>
        <v>Unitary Commercial Air Conditioners, Air-Cooled&gt;=240,000 and &lt;760,000Electric (or none)N/A</v>
      </c>
      <c r="F53" s="3"/>
      <c r="G53" s="465">
        <v>10.5</v>
      </c>
      <c r="H53" s="466" t="s">
        <v>2682</v>
      </c>
      <c r="I53" s="467">
        <v>10.8</v>
      </c>
      <c r="J53" s="466" t="s">
        <v>2682</v>
      </c>
      <c r="K53" s="468">
        <v>10</v>
      </c>
      <c r="L53" s="469">
        <v>12.3</v>
      </c>
      <c r="M53" s="472">
        <v>13.2</v>
      </c>
      <c r="N53" s="471">
        <v>11.6</v>
      </c>
      <c r="O53" s="1" t="s">
        <v>2752</v>
      </c>
      <c r="T53" s="74">
        <v>15</v>
      </c>
      <c r="U53" s="1">
        <f>U121</f>
        <v>0</v>
      </c>
      <c r="V53" s="1">
        <f>V121</f>
        <v>0</v>
      </c>
      <c r="W53" s="1" t="str">
        <f>W121</f>
        <v/>
      </c>
      <c r="X53" s="1" t="str">
        <f>X121</f>
        <v>0</v>
      </c>
      <c r="Y53" s="215" t="str">
        <f>IFERROR(IF(X53="","",VLOOKUP(X53,$AO$3:$AU$45,7,FALSE)),"")</f>
        <v/>
      </c>
      <c r="Z53" s="215" t="str">
        <f>IFERROR(IF(X53="","",VLOOKUP(X53,$AO$3:$AU$45,6,FALSE)),"")</f>
        <v/>
      </c>
      <c r="AC53" s="74">
        <v>15</v>
      </c>
      <c r="AD53" s="1">
        <f>AD121</f>
        <v>0</v>
      </c>
      <c r="AE53" s="1">
        <f>AE121</f>
        <v>0</v>
      </c>
      <c r="AF53" s="1" t="str">
        <f>AF121</f>
        <v/>
      </c>
      <c r="AG53" s="1" t="str">
        <f>AG121</f>
        <v>0</v>
      </c>
      <c r="AH53" s="215" t="str">
        <f>IFERROR(IF(AG53="","",VLOOKUP(AG53,$AO$3:$AU$45,7,FALSE)),"")</f>
        <v/>
      </c>
      <c r="AI53" s="215" t="str">
        <f>IFERROR(IF(AG53="","",VLOOKUP(AG53,$AO$3:$AU$45,6,FALSE)),"")</f>
        <v/>
      </c>
    </row>
    <row r="54" spans="1:35">
      <c r="A54" s="1" t="s">
        <v>2819</v>
      </c>
      <c r="B54" s="3" t="s">
        <v>2837</v>
      </c>
      <c r="C54" s="3" t="s">
        <v>2817</v>
      </c>
      <c r="D54" s="3" t="s">
        <v>2585</v>
      </c>
      <c r="E54" s="1" t="str">
        <f t="shared" si="0"/>
        <v>Unitary Commercial Air Conditioners, Air-Cooled&gt;=240,000 and &lt;760,000OtherN/A</v>
      </c>
      <c r="F54" s="3"/>
      <c r="G54" s="465">
        <v>10.3</v>
      </c>
      <c r="H54" s="466" t="s">
        <v>2682</v>
      </c>
      <c r="I54" s="467">
        <v>10.6</v>
      </c>
      <c r="J54" s="466" t="s">
        <v>2682</v>
      </c>
      <c r="K54" s="468">
        <v>9.8000000000000007</v>
      </c>
      <c r="L54" s="469">
        <v>12.1</v>
      </c>
      <c r="M54" s="472">
        <v>13</v>
      </c>
      <c r="N54" s="471">
        <v>11.4</v>
      </c>
      <c r="O54" s="1" t="s">
        <v>2752</v>
      </c>
      <c r="T54" s="74"/>
      <c r="U54" s="1"/>
      <c r="V54" s="1"/>
      <c r="W54" s="1"/>
      <c r="Y54" s="216" t="str">
        <f>IFERROR(IF(X53="","",VLOOKUP(X53,$AO$3:$AU$45,4,FALSE)),"")</f>
        <v/>
      </c>
      <c r="Z54" s="216" t="str">
        <f>IFERROR(IF(X53="","",VLOOKUP(X53,$AO$3:$AU$45,2,FALSE)),"")</f>
        <v/>
      </c>
      <c r="AC54" s="74"/>
      <c r="AH54" s="216" t="str">
        <f>IFERROR(IF(AG53="","",VLOOKUP(AG53,$AO$3:$AU$45,4,FALSE)),"")</f>
        <v/>
      </c>
      <c r="AI54" s="216" t="str">
        <f>IFERROR(IF(AG53="","",VLOOKUP(AG53,$AO$3:$AU$45,2,FALSE)),"")</f>
        <v/>
      </c>
    </row>
    <row r="55" spans="1:35" ht="13.5" thickBot="1">
      <c r="A55" s="1" t="s">
        <v>2819</v>
      </c>
      <c r="B55" s="3" t="s">
        <v>2840</v>
      </c>
      <c r="C55" s="3" t="s">
        <v>2816</v>
      </c>
      <c r="D55" s="3" t="s">
        <v>2585</v>
      </c>
      <c r="E55" s="1" t="str">
        <f t="shared" ref="E55:E56" si="1">IF(A55="","",A55&amp;B55&amp;C55&amp;D55)</f>
        <v>Unitary Commercial Air Conditioners, Air-Cooled&gt;=760,000Electric (or none)N/A</v>
      </c>
      <c r="F55" s="3"/>
      <c r="G55" s="465">
        <v>9.9</v>
      </c>
      <c r="H55" s="466" t="s">
        <v>2682</v>
      </c>
      <c r="I55" s="467">
        <v>10.4</v>
      </c>
      <c r="J55" s="466" t="s">
        <v>2682</v>
      </c>
      <c r="K55" s="468">
        <v>9.6999999999999993</v>
      </c>
      <c r="L55" s="469">
        <v>11.6</v>
      </c>
      <c r="M55" s="472">
        <v>12.3</v>
      </c>
      <c r="N55" s="471">
        <v>11.2</v>
      </c>
      <c r="O55" s="1" t="s">
        <v>2752</v>
      </c>
      <c r="T55" s="76"/>
      <c r="U55" s="217"/>
      <c r="V55" s="217"/>
      <c r="W55" s="217"/>
      <c r="X55" s="217"/>
      <c r="Y55" s="421" t="str">
        <f>IFERROR(IF(X53="","",VLOOKUP(X53,$AO$3:$AU$45,5,FALSE)),"")</f>
        <v/>
      </c>
      <c r="Z55" s="421" t="str">
        <f>IFERROR(IF(X53="","",VLOOKUP(X53,$AO$3:$AU$45,3,FALSE)),"")</f>
        <v/>
      </c>
      <c r="AC55" s="76"/>
      <c r="AD55" s="217"/>
      <c r="AE55" s="217"/>
      <c r="AF55" s="217"/>
      <c r="AG55" s="217"/>
      <c r="AH55" s="421" t="str">
        <f>IFERROR(IF(AG53="","",VLOOKUP(AG53,$AO$3:$AU$45,5,FALSE)),"")</f>
        <v/>
      </c>
      <c r="AI55" s="421" t="str">
        <f>IFERROR(IF(AG53="","",VLOOKUP(AG53,$AO$3:$AU$45,3,FALSE)),"")</f>
        <v/>
      </c>
    </row>
    <row r="56" spans="1:35">
      <c r="A56" s="1" t="s">
        <v>2819</v>
      </c>
      <c r="B56" s="3" t="s">
        <v>2840</v>
      </c>
      <c r="C56" s="3" t="s">
        <v>2817</v>
      </c>
      <c r="D56" s="3" t="s">
        <v>2585</v>
      </c>
      <c r="E56" s="1" t="str">
        <f t="shared" si="1"/>
        <v>Unitary Commercial Air Conditioners, Air-Cooled&gt;=760,000OtherN/A</v>
      </c>
      <c r="F56" s="3"/>
      <c r="G56" s="465">
        <v>9.6999999999999993</v>
      </c>
      <c r="H56" s="466" t="s">
        <v>2682</v>
      </c>
      <c r="I56" s="467">
        <v>10.199999999999999</v>
      </c>
      <c r="J56" s="466" t="s">
        <v>2682</v>
      </c>
      <c r="K56" s="468">
        <v>9.5</v>
      </c>
      <c r="L56" s="469">
        <v>11.4</v>
      </c>
      <c r="M56" s="472">
        <v>12.1</v>
      </c>
      <c r="N56" s="471">
        <v>11</v>
      </c>
      <c r="O56" s="1" t="s">
        <v>2752</v>
      </c>
      <c r="X56" s="22"/>
      <c r="Y56" s="22"/>
      <c r="Z56" s="22"/>
    </row>
    <row r="57" spans="1:35" ht="13.5" thickBot="1">
      <c r="B57" s="3"/>
      <c r="C57" s="3"/>
      <c r="D57" s="3"/>
      <c r="F57" s="3"/>
      <c r="G57" s="462"/>
      <c r="H57" s="462"/>
      <c r="I57" s="22"/>
      <c r="J57" s="462"/>
      <c r="K57" s="22"/>
      <c r="L57" s="3"/>
      <c r="M57" s="3"/>
      <c r="N57" s="3"/>
      <c r="T57" s="226" t="s">
        <v>2904</v>
      </c>
    </row>
    <row r="58" spans="1:35" ht="13.5" thickBot="1">
      <c r="B58" s="3"/>
      <c r="C58" s="3"/>
      <c r="D58" s="3"/>
      <c r="F58" s="3"/>
      <c r="G58" s="462"/>
      <c r="H58" s="462"/>
      <c r="I58" s="22"/>
      <c r="J58" s="462"/>
      <c r="K58" s="22"/>
      <c r="L58" s="3"/>
      <c r="M58" s="3"/>
      <c r="N58" s="3"/>
      <c r="T58" s="214">
        <v>1</v>
      </c>
      <c r="U58" s="21">
        <f>U124</f>
        <v>0</v>
      </c>
      <c r="V58" s="21">
        <f t="shared" ref="V58:X58" si="2">V124</f>
        <v>0</v>
      </c>
      <c r="W58" s="21" t="str">
        <f t="shared" si="2"/>
        <v/>
      </c>
      <c r="X58" s="21" t="str">
        <f t="shared" si="2"/>
        <v>0</v>
      </c>
      <c r="Y58" s="215" t="str">
        <f>IFERROR(IF(X58="","",VLOOKUP(X58,$AO$3:$AU$45,7,FALSE)),"")</f>
        <v/>
      </c>
      <c r="Z58" s="215" t="str">
        <f>IFERROR(IF(X58="","",VLOOKUP(X58,$AO$3:$AU$45,6,FALSE)),"")</f>
        <v/>
      </c>
    </row>
    <row r="59" spans="1:35" ht="13.5" thickBot="1">
      <c r="B59" s="3"/>
      <c r="C59" s="3"/>
      <c r="D59" s="3"/>
      <c r="F59" s="3"/>
      <c r="G59" s="938" t="s">
        <v>2682</v>
      </c>
      <c r="H59" s="941"/>
      <c r="I59" s="941"/>
      <c r="J59" s="941"/>
      <c r="K59" s="942"/>
      <c r="L59" s="938" t="s">
        <v>2752</v>
      </c>
      <c r="M59" s="941"/>
      <c r="N59" s="942"/>
      <c r="T59" s="74"/>
      <c r="U59" s="1"/>
      <c r="V59" s="1"/>
      <c r="W59" s="1"/>
      <c r="Y59" s="216" t="str">
        <f>IFERROR(IF(X58="","",VLOOKUP(X58,$AO$3:$AU$45,4,FALSE)),"")</f>
        <v/>
      </c>
      <c r="Z59" s="216" t="str">
        <f>IFERROR(IF(X58="","",VLOOKUP(X58,$AO$3:$AU$45,2,FALSE)),"")</f>
        <v/>
      </c>
    </row>
    <row r="60" spans="1:35" ht="13.5" thickBot="1">
      <c r="B60" s="3"/>
      <c r="C60" s="3"/>
      <c r="D60" s="3"/>
      <c r="F60" s="3"/>
      <c r="G60" s="375" t="s">
        <v>2683</v>
      </c>
      <c r="H60" s="111"/>
      <c r="I60" s="111" t="s">
        <v>2684</v>
      </c>
      <c r="J60" s="111"/>
      <c r="K60" s="112" t="s">
        <v>2804</v>
      </c>
      <c r="L60" s="375" t="s">
        <v>2683</v>
      </c>
      <c r="M60" s="111" t="s">
        <v>2684</v>
      </c>
      <c r="N60" s="112" t="s">
        <v>2804</v>
      </c>
      <c r="P60" s="3" t="s">
        <v>2905</v>
      </c>
      <c r="T60" s="74"/>
      <c r="U60" s="1"/>
      <c r="V60" s="1"/>
      <c r="W60" s="1"/>
      <c r="Y60" s="216" t="str">
        <f>IFERROR(IF(X58="","",VLOOKUP(X58,$AO$3:$AU$45,5,FALSE)),"")</f>
        <v/>
      </c>
      <c r="Z60" s="216" t="str">
        <f>IFERROR(IF(X58="","",VLOOKUP(X58,$AO$3:$AU$45,3,FALSE)),"")</f>
        <v/>
      </c>
    </row>
    <row r="61" spans="1:35">
      <c r="A61" s="1" t="s">
        <v>2906</v>
      </c>
      <c r="B61" s="378" t="s">
        <v>2820</v>
      </c>
      <c r="C61" s="3" t="s">
        <v>2585</v>
      </c>
      <c r="D61" s="3" t="s">
        <v>2821</v>
      </c>
      <c r="E61" s="1" t="str">
        <f t="shared" ref="E61:E70" si="3">IF(A61="","",A61&amp;B61&amp;C61&amp;D61)</f>
        <v>Unitary Commercial Air Conditioners, Water-Cooled&lt;65,000N/ASplit System</v>
      </c>
      <c r="F61" s="3"/>
      <c r="G61" s="466">
        <v>14</v>
      </c>
      <c r="H61" s="466" t="s">
        <v>2682</v>
      </c>
      <c r="I61" s="473" t="s">
        <v>2585</v>
      </c>
      <c r="J61" s="473" t="s">
        <v>2585</v>
      </c>
      <c r="K61" s="474">
        <f>-0.02*(K47*K47)+1.12*K47</f>
        <v>11.180000000000003</v>
      </c>
      <c r="L61" s="473" t="s">
        <v>2585</v>
      </c>
      <c r="M61" s="473" t="s">
        <v>2585</v>
      </c>
      <c r="N61" s="473" t="s">
        <v>2585</v>
      </c>
      <c r="O61" s="475" t="s">
        <v>2752</v>
      </c>
      <c r="P61" s="478" t="s">
        <v>2907</v>
      </c>
      <c r="Q61" s="478"/>
      <c r="R61" s="478"/>
      <c r="T61" s="74">
        <v>2</v>
      </c>
      <c r="U61" s="1">
        <f>U125</f>
        <v>0</v>
      </c>
      <c r="V61" s="1">
        <f t="shared" ref="V61:X61" si="4">V125</f>
        <v>0</v>
      </c>
      <c r="W61" s="1" t="str">
        <f t="shared" si="4"/>
        <v/>
      </c>
      <c r="X61" s="1" t="str">
        <f t="shared" si="4"/>
        <v>0</v>
      </c>
      <c r="Y61" s="215" t="str">
        <f>IFERROR(IF(X61="","",VLOOKUP(X61,$AO$3:$AU$45,7,FALSE)),"")</f>
        <v/>
      </c>
      <c r="Z61" s="215" t="str">
        <f>IFERROR(IF(X61="","",VLOOKUP(X61,$AO$3:$AU$45,6,FALSE)),"")</f>
        <v/>
      </c>
    </row>
    <row r="62" spans="1:35">
      <c r="A62" s="1" t="s">
        <v>2906</v>
      </c>
      <c r="B62" s="378" t="s">
        <v>2820</v>
      </c>
      <c r="C62" s="3" t="s">
        <v>2585</v>
      </c>
      <c r="D62" s="3" t="s">
        <v>2825</v>
      </c>
      <c r="E62" s="1" t="str">
        <f t="shared" si="3"/>
        <v>Unitary Commercial Air Conditioners, Water-Cooled&lt;65,000N/ASingle Package</v>
      </c>
      <c r="F62" s="3"/>
      <c r="G62" s="466">
        <v>14</v>
      </c>
      <c r="H62" s="466" t="s">
        <v>2682</v>
      </c>
      <c r="I62" s="473" t="s">
        <v>2585</v>
      </c>
      <c r="J62" s="473" t="s">
        <v>2585</v>
      </c>
      <c r="K62" s="474">
        <f>-0.02*(K48*K48)+1.12*K48</f>
        <v>11.760000000000002</v>
      </c>
      <c r="L62" s="473" t="s">
        <v>2585</v>
      </c>
      <c r="M62" s="473" t="s">
        <v>2585</v>
      </c>
      <c r="N62" s="473" t="s">
        <v>2585</v>
      </c>
      <c r="O62" s="475" t="s">
        <v>2752</v>
      </c>
      <c r="P62" s="478" t="s">
        <v>2908</v>
      </c>
      <c r="Q62" s="478"/>
      <c r="R62" s="478"/>
      <c r="T62" s="74"/>
      <c r="U62" s="1"/>
      <c r="V62" s="1"/>
      <c r="W62" s="1"/>
      <c r="Y62" s="216" t="str">
        <f>IFERROR(IF(X61="","",VLOOKUP(X61,$AO$3:$AU$45,4,FALSE)),"")</f>
        <v/>
      </c>
      <c r="Z62" s="216" t="str">
        <f>IFERROR(IF(X61="","",VLOOKUP(X61,$AO$3:$AU$45,2,FALSE)),"")</f>
        <v/>
      </c>
    </row>
    <row r="63" spans="1:35" ht="13.5" thickBot="1">
      <c r="A63" s="1" t="s">
        <v>2906</v>
      </c>
      <c r="B63" s="3" t="s">
        <v>2828</v>
      </c>
      <c r="C63" s="3" t="s">
        <v>2816</v>
      </c>
      <c r="D63" s="3" t="s">
        <v>2585</v>
      </c>
      <c r="E63" s="1" t="str">
        <f t="shared" si="3"/>
        <v>Unitary Commercial Air Conditioners, Water-Cooled&gt;=65,000 and &lt;135,000Electric (or none)N/A</v>
      </c>
      <c r="F63" s="3"/>
      <c r="G63" s="466">
        <v>14</v>
      </c>
      <c r="H63" s="466" t="s">
        <v>2682</v>
      </c>
      <c r="I63" s="473" t="s">
        <v>2585</v>
      </c>
      <c r="J63" s="473" t="s">
        <v>2585</v>
      </c>
      <c r="K63" s="476">
        <v>11.2</v>
      </c>
      <c r="L63" s="472">
        <v>15.3</v>
      </c>
      <c r="M63" s="473" t="s">
        <v>2585</v>
      </c>
      <c r="N63" s="477">
        <v>12.8</v>
      </c>
      <c r="O63" s="475" t="s">
        <v>2752</v>
      </c>
      <c r="T63" s="74"/>
      <c r="U63" s="1"/>
      <c r="V63" s="1"/>
      <c r="W63" s="1"/>
      <c r="Y63" s="216" t="str">
        <f>IFERROR(IF(X61="","",VLOOKUP(X61,$AO$3:$AU$45,5,FALSE)),"")</f>
        <v/>
      </c>
      <c r="Z63" s="216" t="str">
        <f>IFERROR(IF(X61="","",VLOOKUP(X61,$AO$3:$AU$45,3,FALSE)),"")</f>
        <v/>
      </c>
    </row>
    <row r="64" spans="1:35">
      <c r="A64" s="1" t="s">
        <v>2906</v>
      </c>
      <c r="B64" s="3" t="s">
        <v>2828</v>
      </c>
      <c r="C64" s="3" t="s">
        <v>2817</v>
      </c>
      <c r="D64" s="3" t="s">
        <v>2585</v>
      </c>
      <c r="E64" s="1" t="str">
        <f t="shared" si="3"/>
        <v>Unitary Commercial Air Conditioners, Water-Cooled&gt;=65,000 and &lt;135,000OtherN/A</v>
      </c>
      <c r="F64" s="3"/>
      <c r="G64" s="466">
        <v>13.8</v>
      </c>
      <c r="H64" s="466" t="s">
        <v>2682</v>
      </c>
      <c r="I64" s="473" t="s">
        <v>2585</v>
      </c>
      <c r="J64" s="473" t="s">
        <v>2585</v>
      </c>
      <c r="K64" s="476">
        <v>11</v>
      </c>
      <c r="L64" s="472">
        <v>15.1</v>
      </c>
      <c r="M64" s="473" t="s">
        <v>2585</v>
      </c>
      <c r="N64" s="477">
        <v>12.6</v>
      </c>
      <c r="O64" s="475" t="s">
        <v>2752</v>
      </c>
      <c r="T64" s="74">
        <v>3</v>
      </c>
      <c r="U64" s="1">
        <f>U126</f>
        <v>0</v>
      </c>
      <c r="V64" s="1">
        <f t="shared" ref="V64:X64" si="5">V126</f>
        <v>0</v>
      </c>
      <c r="W64" s="1" t="str">
        <f t="shared" si="5"/>
        <v/>
      </c>
      <c r="X64" s="1" t="str">
        <f t="shared" si="5"/>
        <v>0</v>
      </c>
      <c r="Y64" s="215" t="str">
        <f>IFERROR(IF(X64="","",VLOOKUP(X64,$AO$3:$AU$45,7,FALSE)),"")</f>
        <v/>
      </c>
      <c r="Z64" s="215" t="str">
        <f>IFERROR(IF(X64="","",VLOOKUP(X64,$AO$3:$AU$45,6,FALSE)),"")</f>
        <v/>
      </c>
    </row>
    <row r="65" spans="1:26">
      <c r="A65" s="1" t="s">
        <v>2906</v>
      </c>
      <c r="B65" s="3" t="s">
        <v>2831</v>
      </c>
      <c r="C65" s="3" t="s">
        <v>2816</v>
      </c>
      <c r="D65" s="3" t="s">
        <v>2585</v>
      </c>
      <c r="E65" s="1" t="str">
        <f t="shared" si="3"/>
        <v>Unitary Commercial Air Conditioners, Water-Cooled&gt;=135,000 and &lt;240,000Electric (or none)N/A</v>
      </c>
      <c r="F65" s="3"/>
      <c r="G65" s="466">
        <v>14</v>
      </c>
      <c r="H65" s="466" t="s">
        <v>2682</v>
      </c>
      <c r="I65" s="473" t="s">
        <v>2585</v>
      </c>
      <c r="J65" s="473" t="s">
        <v>2585</v>
      </c>
      <c r="K65" s="476">
        <v>11</v>
      </c>
      <c r="L65" s="472">
        <v>14.8</v>
      </c>
      <c r="M65" s="473" t="s">
        <v>2585</v>
      </c>
      <c r="N65" s="477">
        <v>12.4</v>
      </c>
      <c r="O65" s="475" t="s">
        <v>2752</v>
      </c>
      <c r="T65" s="74"/>
      <c r="U65" s="1"/>
      <c r="V65" s="1"/>
      <c r="W65" s="1"/>
      <c r="Y65" s="216" t="str">
        <f>IFERROR(IF(X64="","",VLOOKUP(X64,$AO$3:$AU$45,4,FALSE)),"")</f>
        <v/>
      </c>
      <c r="Z65" s="216" t="str">
        <f>IFERROR(IF(X64="","",VLOOKUP(X64,$AO$3:$AU$45,2,FALSE)),"")</f>
        <v/>
      </c>
    </row>
    <row r="66" spans="1:26" ht="13.5" thickBot="1">
      <c r="A66" s="1" t="s">
        <v>2906</v>
      </c>
      <c r="B66" s="3" t="s">
        <v>2831</v>
      </c>
      <c r="C66" s="3" t="s">
        <v>2817</v>
      </c>
      <c r="D66" s="3" t="s">
        <v>2585</v>
      </c>
      <c r="E66" s="1" t="str">
        <f t="shared" si="3"/>
        <v>Unitary Commercial Air Conditioners, Water-Cooled&gt;=135,000 and &lt;240,000OtherN/A</v>
      </c>
      <c r="F66" s="3"/>
      <c r="G66" s="466">
        <v>13.8</v>
      </c>
      <c r="H66" s="466" t="s">
        <v>2682</v>
      </c>
      <c r="I66" s="473" t="s">
        <v>2585</v>
      </c>
      <c r="J66" s="473" t="s">
        <v>2585</v>
      </c>
      <c r="K66" s="476">
        <v>10.8</v>
      </c>
      <c r="L66" s="472">
        <v>14.6</v>
      </c>
      <c r="M66" s="473" t="s">
        <v>2585</v>
      </c>
      <c r="N66" s="477">
        <v>12.2</v>
      </c>
      <c r="O66" s="475" t="s">
        <v>2752</v>
      </c>
      <c r="T66" s="74"/>
      <c r="U66" s="1"/>
      <c r="V66" s="1"/>
      <c r="W66" s="1"/>
      <c r="Y66" s="216" t="str">
        <f>IFERROR(IF(X64="","",VLOOKUP(X64,$AO$3:$AU$45,5,FALSE)),"")</f>
        <v/>
      </c>
      <c r="Z66" s="216" t="str">
        <f>IFERROR(IF(X64="","",VLOOKUP(X64,$AO$3:$AU$45,3,FALSE)),"")</f>
        <v/>
      </c>
    </row>
    <row r="67" spans="1:26">
      <c r="A67" s="1" t="s">
        <v>2906</v>
      </c>
      <c r="B67" s="3" t="s">
        <v>2837</v>
      </c>
      <c r="C67" s="3" t="s">
        <v>2816</v>
      </c>
      <c r="D67" s="3" t="s">
        <v>2585</v>
      </c>
      <c r="E67" s="1" t="str">
        <f t="shared" si="3"/>
        <v>Unitary Commercial Air Conditioners, Water-Cooled&gt;=240,000 and &lt;760,000Electric (or none)N/A</v>
      </c>
      <c r="F67" s="3"/>
      <c r="G67" s="466">
        <v>14</v>
      </c>
      <c r="H67" s="466" t="s">
        <v>2682</v>
      </c>
      <c r="I67" s="473" t="s">
        <v>2585</v>
      </c>
      <c r="J67" s="473" t="s">
        <v>2585</v>
      </c>
      <c r="K67" s="476">
        <v>10</v>
      </c>
      <c r="L67" s="472">
        <v>14.8</v>
      </c>
      <c r="M67" s="473" t="s">
        <v>2585</v>
      </c>
      <c r="N67" s="477">
        <v>11.6</v>
      </c>
      <c r="O67" s="475" t="s">
        <v>2752</v>
      </c>
      <c r="T67" s="74">
        <v>4</v>
      </c>
      <c r="U67" s="1">
        <f>U127</f>
        <v>0</v>
      </c>
      <c r="V67" s="1">
        <f t="shared" ref="V67:X67" si="6">V127</f>
        <v>0</v>
      </c>
      <c r="W67" s="1" t="str">
        <f t="shared" si="6"/>
        <v/>
      </c>
      <c r="X67" s="1" t="str">
        <f t="shared" si="6"/>
        <v>0</v>
      </c>
      <c r="Y67" s="215" t="str">
        <f>IFERROR(IF(X67="","",VLOOKUP(X67,$AO$3:$AU$45,7,FALSE)),"")</f>
        <v/>
      </c>
      <c r="Z67" s="215" t="str">
        <f>IFERROR(IF(X67="","",VLOOKUP(X67,$AO$3:$AU$45,6,FALSE)),"")</f>
        <v/>
      </c>
    </row>
    <row r="68" spans="1:26">
      <c r="A68" s="1" t="s">
        <v>2906</v>
      </c>
      <c r="B68" s="3" t="s">
        <v>2837</v>
      </c>
      <c r="C68" s="3" t="s">
        <v>2817</v>
      </c>
      <c r="D68" s="3" t="s">
        <v>2585</v>
      </c>
      <c r="E68" s="1" t="str">
        <f t="shared" si="3"/>
        <v>Unitary Commercial Air Conditioners, Water-Cooled&gt;=240,000 and &lt;760,000OtherN/A</v>
      </c>
      <c r="F68" s="3"/>
      <c r="G68" s="466">
        <v>13.8</v>
      </c>
      <c r="H68" s="466" t="s">
        <v>2682</v>
      </c>
      <c r="I68" s="473" t="s">
        <v>2585</v>
      </c>
      <c r="J68" s="473" t="s">
        <v>2585</v>
      </c>
      <c r="K68" s="476">
        <v>9.8000000000000007</v>
      </c>
      <c r="L68" s="472">
        <v>14.6</v>
      </c>
      <c r="M68" s="473" t="s">
        <v>2585</v>
      </c>
      <c r="N68" s="477">
        <v>11.4</v>
      </c>
      <c r="O68" s="475" t="s">
        <v>2752</v>
      </c>
      <c r="T68" s="74"/>
      <c r="U68" s="1"/>
      <c r="V68" s="1"/>
      <c r="W68" s="1"/>
      <c r="Y68" s="216" t="str">
        <f>IFERROR(IF(X67="","",VLOOKUP(X67,$AO$3:$AU$45,4,FALSE)),"")</f>
        <v/>
      </c>
      <c r="Z68" s="216" t="str">
        <f>IFERROR(IF(X67="","",VLOOKUP(X67,$AO$3:$AU$45,2,FALSE)),"")</f>
        <v/>
      </c>
    </row>
    <row r="69" spans="1:26" ht="13.5" thickBot="1">
      <c r="A69" s="1" t="s">
        <v>2906</v>
      </c>
      <c r="B69" s="3" t="s">
        <v>2840</v>
      </c>
      <c r="C69" s="3" t="s">
        <v>2816</v>
      </c>
      <c r="D69" s="3" t="s">
        <v>2585</v>
      </c>
      <c r="E69" s="1" t="str">
        <f t="shared" si="3"/>
        <v>Unitary Commercial Air Conditioners, Water-Cooled&gt;=760,000Electric (or none)N/A</v>
      </c>
      <c r="F69" s="3"/>
      <c r="G69" s="466">
        <v>14</v>
      </c>
      <c r="H69" s="466" t="s">
        <v>2682</v>
      </c>
      <c r="I69" s="473" t="s">
        <v>2585</v>
      </c>
      <c r="J69" s="473" t="s">
        <v>2585</v>
      </c>
      <c r="K69" s="476">
        <v>9.6999999999999993</v>
      </c>
      <c r="L69" s="472">
        <v>14.8</v>
      </c>
      <c r="M69" s="473" t="s">
        <v>2585</v>
      </c>
      <c r="N69" s="477">
        <v>11.2</v>
      </c>
      <c r="O69" s="475" t="s">
        <v>2752</v>
      </c>
      <c r="T69" s="74"/>
      <c r="U69" s="1"/>
      <c r="V69" s="1"/>
      <c r="W69" s="1"/>
      <c r="Y69" s="216" t="str">
        <f>IFERROR(IF(X67="","",VLOOKUP(X67,$AO$3:$AU$45,5,FALSE)),"")</f>
        <v/>
      </c>
      <c r="Z69" s="216" t="str">
        <f>IFERROR(IF(X67="","",VLOOKUP(X67,$AO$3:$AU$45,3,FALSE)),"")</f>
        <v/>
      </c>
    </row>
    <row r="70" spans="1:26">
      <c r="A70" s="1" t="s">
        <v>2906</v>
      </c>
      <c r="B70" s="3" t="s">
        <v>2840</v>
      </c>
      <c r="C70" s="3" t="s">
        <v>2817</v>
      </c>
      <c r="D70" s="3" t="s">
        <v>2585</v>
      </c>
      <c r="E70" s="1" t="str">
        <f t="shared" si="3"/>
        <v>Unitary Commercial Air Conditioners, Water-Cooled&gt;=760,000OtherN/A</v>
      </c>
      <c r="F70" s="3"/>
      <c r="G70" s="466">
        <v>13.8</v>
      </c>
      <c r="H70" s="466" t="s">
        <v>2682</v>
      </c>
      <c r="I70" s="473" t="s">
        <v>2585</v>
      </c>
      <c r="J70" s="473" t="s">
        <v>2585</v>
      </c>
      <c r="K70" s="476">
        <v>9.5</v>
      </c>
      <c r="L70" s="472">
        <v>14.6</v>
      </c>
      <c r="M70" s="473" t="s">
        <v>2585</v>
      </c>
      <c r="N70" s="477">
        <v>11</v>
      </c>
      <c r="O70" s="475" t="s">
        <v>2752</v>
      </c>
      <c r="T70" s="74">
        <v>5</v>
      </c>
      <c r="U70" s="1">
        <f>U128</f>
        <v>0</v>
      </c>
      <c r="V70" s="1">
        <f t="shared" ref="V70:X70" si="7">V128</f>
        <v>0</v>
      </c>
      <c r="W70" s="1" t="str">
        <f t="shared" si="7"/>
        <v/>
      </c>
      <c r="X70" s="1" t="str">
        <f t="shared" si="7"/>
        <v>0</v>
      </c>
      <c r="Y70" s="215" t="str">
        <f>IFERROR(IF(X70="","",VLOOKUP(X70,$AO$3:$AU$45,7,FALSE)),"")</f>
        <v/>
      </c>
      <c r="Z70" s="215" t="str">
        <f>IFERROR(IF(X70="","",VLOOKUP(X70,$AO$3:$AU$45,6,FALSE)),"")</f>
        <v/>
      </c>
    </row>
    <row r="71" spans="1:26">
      <c r="B71" s="3"/>
      <c r="C71" s="3"/>
      <c r="D71" s="3"/>
      <c r="F71" s="3"/>
      <c r="G71" s="22"/>
      <c r="H71" s="22"/>
      <c r="I71" s="462"/>
      <c r="J71" s="22"/>
      <c r="K71" s="22"/>
      <c r="T71" s="74"/>
      <c r="U71" s="1"/>
      <c r="V71" s="1"/>
      <c r="W71" s="1"/>
      <c r="Y71" s="216" t="str">
        <f>IFERROR(IF(X70="","",VLOOKUP(X70,$AO$3:$AU$45,4,FALSE)),"")</f>
        <v/>
      </c>
      <c r="Z71" s="216" t="str">
        <f>IFERROR(IF(X70="","",VLOOKUP(X70,$AO$3:$AU$45,2,FALSE)),"")</f>
        <v/>
      </c>
    </row>
    <row r="72" spans="1:26" ht="13.5" thickBot="1">
      <c r="B72" s="3"/>
      <c r="C72" s="3"/>
      <c r="D72" s="3"/>
      <c r="F72" s="3"/>
      <c r="G72" s="22"/>
      <c r="H72" s="22"/>
      <c r="I72" s="462"/>
      <c r="J72" s="22"/>
      <c r="K72" s="22"/>
      <c r="T72" s="74"/>
      <c r="U72" s="1"/>
      <c r="V72" s="1"/>
      <c r="W72" s="1"/>
      <c r="Y72" s="216" t="str">
        <f>IFERROR(IF(X70="","",VLOOKUP(X70,$AO$3:$AU$45,5,FALSE)),"")</f>
        <v/>
      </c>
      <c r="Z72" s="216" t="str">
        <f>IFERROR(IF(X70="","",VLOOKUP(X70,$AO$3:$AU$45,3,FALSE)),"")</f>
        <v/>
      </c>
    </row>
    <row r="73" spans="1:26" ht="13.5" thickBot="1">
      <c r="B73" s="3"/>
      <c r="C73" s="3"/>
      <c r="D73" s="3"/>
      <c r="F73" s="3"/>
      <c r="G73" s="938" t="s">
        <v>2682</v>
      </c>
      <c r="H73" s="941"/>
      <c r="I73" s="941"/>
      <c r="J73" s="941"/>
      <c r="K73" s="942"/>
      <c r="L73" s="938" t="s">
        <v>2752</v>
      </c>
      <c r="M73" s="941"/>
      <c r="N73" s="942"/>
      <c r="T73" s="74">
        <v>6</v>
      </c>
      <c r="U73" s="1">
        <f>U129</f>
        <v>0</v>
      </c>
      <c r="V73" s="1">
        <f t="shared" ref="V73:X73" si="8">V129</f>
        <v>0</v>
      </c>
      <c r="W73" s="1" t="str">
        <f t="shared" si="8"/>
        <v/>
      </c>
      <c r="X73" s="1" t="str">
        <f t="shared" si="8"/>
        <v>0</v>
      </c>
      <c r="Y73" s="215" t="str">
        <f>IFERROR(IF(X73="","",VLOOKUP(X73,$AO$3:$AU$45,7,FALSE)),"")</f>
        <v/>
      </c>
      <c r="Z73" s="215" t="str">
        <f>IFERROR(IF(X73="","",VLOOKUP(X73,$AO$3:$AU$45,6,FALSE)),"")</f>
        <v/>
      </c>
    </row>
    <row r="74" spans="1:26">
      <c r="B74" s="3"/>
      <c r="C74" s="3"/>
      <c r="D74" s="3"/>
      <c r="F74" s="3"/>
      <c r="G74" s="375" t="s">
        <v>2683</v>
      </c>
      <c r="H74" s="111"/>
      <c r="I74" s="111" t="s">
        <v>2684</v>
      </c>
      <c r="J74" s="111"/>
      <c r="K74" s="112" t="s">
        <v>2804</v>
      </c>
      <c r="L74" s="375" t="s">
        <v>2683</v>
      </c>
      <c r="M74" s="111" t="s">
        <v>2684</v>
      </c>
      <c r="N74" s="112" t="s">
        <v>2804</v>
      </c>
      <c r="P74" s="3" t="s">
        <v>2909</v>
      </c>
      <c r="T74" s="74"/>
      <c r="U74" s="1"/>
      <c r="V74" s="1"/>
      <c r="W74" s="1"/>
      <c r="Y74" s="216" t="str">
        <f>IFERROR(IF(X73="","",VLOOKUP(X73,$AO$3:$AU$45,4,FALSE)),"")</f>
        <v/>
      </c>
      <c r="Z74" s="216" t="str">
        <f>IFERROR(IF(X73="","",VLOOKUP(X73,$AO$3:$AU$45,2,FALSE)),"")</f>
        <v/>
      </c>
    </row>
    <row r="75" spans="1:26" ht="13.5" thickBot="1">
      <c r="A75" s="1" t="s">
        <v>2910</v>
      </c>
      <c r="B75" s="3" t="s">
        <v>2861</v>
      </c>
      <c r="C75" s="3" t="s">
        <v>2585</v>
      </c>
      <c r="D75" s="3" t="s">
        <v>2585</v>
      </c>
      <c r="E75" s="1" t="str">
        <f t="shared" ref="E75:E83" si="9">IF(A75="","",A75&amp;B75&amp;C75&amp;D75)</f>
        <v>Package Terminal Air Conditioners (PTAC)&lt;=7,000N/AN/A</v>
      </c>
      <c r="F75" s="3"/>
      <c r="G75" s="475">
        <v>13.1</v>
      </c>
      <c r="H75" s="475" t="s">
        <v>2682</v>
      </c>
      <c r="I75" s="475">
        <v>14.3</v>
      </c>
      <c r="J75" s="475" t="s">
        <v>2682</v>
      </c>
      <c r="K75" s="475">
        <v>11.9</v>
      </c>
      <c r="L75" s="473" t="s">
        <v>2585</v>
      </c>
      <c r="M75" s="473" t="s">
        <v>2585</v>
      </c>
      <c r="N75" s="473" t="s">
        <v>2585</v>
      </c>
      <c r="O75" s="475"/>
      <c r="T75" s="74"/>
      <c r="U75" s="1"/>
      <c r="V75" s="1"/>
      <c r="W75" s="1"/>
      <c r="Y75" s="216" t="str">
        <f>IFERROR(IF(X73="","",VLOOKUP(X73,$AO$3:$AU$45,5,FALSE)),"")</f>
        <v/>
      </c>
      <c r="Z75" s="216" t="str">
        <f>IFERROR(IF(X73="","",VLOOKUP(X73,$AO$3:$AU$45,3,FALSE)),"")</f>
        <v/>
      </c>
    </row>
    <row r="76" spans="1:26">
      <c r="A76" s="1" t="s">
        <v>2910</v>
      </c>
      <c r="B76" s="3" t="s">
        <v>2864</v>
      </c>
      <c r="C76" s="3" t="s">
        <v>2585</v>
      </c>
      <c r="D76" s="3" t="s">
        <v>2585</v>
      </c>
      <c r="E76" s="1" t="str">
        <f t="shared" si="9"/>
        <v>Package Terminal Air Conditioners (PTAC)&gt;7,000 and &lt;=8,500N/AN/A</v>
      </c>
      <c r="F76" s="3"/>
      <c r="G76" s="475">
        <v>12.8</v>
      </c>
      <c r="H76" s="475" t="s">
        <v>2682</v>
      </c>
      <c r="I76" s="475">
        <v>13.9</v>
      </c>
      <c r="J76" s="475" t="s">
        <v>2682</v>
      </c>
      <c r="K76" s="475">
        <v>11.6</v>
      </c>
      <c r="L76" s="473" t="s">
        <v>2585</v>
      </c>
      <c r="M76" s="473" t="s">
        <v>2585</v>
      </c>
      <c r="N76" s="473" t="s">
        <v>2585</v>
      </c>
      <c r="O76" s="475"/>
      <c r="T76" s="74">
        <v>7</v>
      </c>
      <c r="U76" s="1">
        <f>U130</f>
        <v>0</v>
      </c>
      <c r="V76" s="1">
        <f t="shared" ref="V76:X76" si="10">V130</f>
        <v>0</v>
      </c>
      <c r="W76" s="1" t="str">
        <f t="shared" si="10"/>
        <v/>
      </c>
      <c r="X76" s="1" t="str">
        <f t="shared" si="10"/>
        <v>0</v>
      </c>
      <c r="Y76" s="215" t="str">
        <f>IFERROR(IF(X76="","",VLOOKUP(X76,$AO$3:$AU$45,7,FALSE)),"")</f>
        <v/>
      </c>
      <c r="Z76" s="215" t="str">
        <f>IFERROR(IF(X76="","",VLOOKUP(X76,$AO$3:$AU$45,6,FALSE)),"")</f>
        <v/>
      </c>
    </row>
    <row r="77" spans="1:26">
      <c r="A77" s="1" t="s">
        <v>2910</v>
      </c>
      <c r="B77" s="3" t="s">
        <v>2866</v>
      </c>
      <c r="C77" s="3" t="s">
        <v>2585</v>
      </c>
      <c r="D77" s="3" t="s">
        <v>2585</v>
      </c>
      <c r="E77" s="1" t="str">
        <f t="shared" si="9"/>
        <v>Package Terminal Air Conditioners (PTAC)&gt;8,500 and &lt;=9,500N/AN/A</v>
      </c>
      <c r="F77" s="3"/>
      <c r="G77" s="475">
        <v>12.4</v>
      </c>
      <c r="H77" s="475" t="s">
        <v>2682</v>
      </c>
      <c r="I77" s="475">
        <v>13.6</v>
      </c>
      <c r="J77" s="475" t="s">
        <v>2682</v>
      </c>
      <c r="K77" s="475">
        <v>11.3</v>
      </c>
      <c r="L77" s="473" t="s">
        <v>2585</v>
      </c>
      <c r="M77" s="473" t="s">
        <v>2585</v>
      </c>
      <c r="N77" s="473" t="s">
        <v>2585</v>
      </c>
      <c r="O77" s="475"/>
      <c r="T77" s="74"/>
      <c r="U77" s="1"/>
      <c r="V77" s="1"/>
      <c r="W77" s="1"/>
      <c r="Y77" s="216" t="str">
        <f>IFERROR(IF(X76="","",VLOOKUP(X76,$AO$3:$AU$45,4,FALSE)),"")</f>
        <v/>
      </c>
      <c r="Z77" s="216" t="str">
        <f>IFERROR(IF(X76="","",VLOOKUP(X76,$AO$3:$AU$45,2,FALSE)),"")</f>
        <v/>
      </c>
    </row>
    <row r="78" spans="1:26" ht="13.5" thickBot="1">
      <c r="A78" s="1" t="s">
        <v>2910</v>
      </c>
      <c r="B78" s="3" t="s">
        <v>2868</v>
      </c>
      <c r="C78" s="3" t="s">
        <v>2585</v>
      </c>
      <c r="D78" s="3" t="s">
        <v>2585</v>
      </c>
      <c r="E78" s="1" t="str">
        <f t="shared" si="9"/>
        <v>Package Terminal Air Conditioners (PTAC)&gt;9,500 and &lt;=10,500N/AN/A</v>
      </c>
      <c r="F78" s="3"/>
      <c r="G78" s="475">
        <v>12.1</v>
      </c>
      <c r="H78" s="475" t="s">
        <v>2682</v>
      </c>
      <c r="I78" s="475">
        <v>13.2</v>
      </c>
      <c r="J78" s="475" t="s">
        <v>2682</v>
      </c>
      <c r="K78" s="475">
        <v>11</v>
      </c>
      <c r="L78" s="473" t="s">
        <v>2585</v>
      </c>
      <c r="M78" s="473" t="s">
        <v>2585</v>
      </c>
      <c r="N78" s="473" t="s">
        <v>2585</v>
      </c>
      <c r="O78" s="475"/>
      <c r="T78" s="74"/>
      <c r="U78" s="1"/>
      <c r="V78" s="1"/>
      <c r="W78" s="1"/>
      <c r="Y78" s="216" t="str">
        <f>IFERROR(IF(X76="","",VLOOKUP(X76,$AO$3:$AU$45,5,FALSE)),"")</f>
        <v/>
      </c>
      <c r="Z78" s="216" t="str">
        <f>IFERROR(IF(X76="","",VLOOKUP(X76,$AO$3:$AU$45,3,FALSE)),"")</f>
        <v/>
      </c>
    </row>
    <row r="79" spans="1:26">
      <c r="A79" s="1" t="s">
        <v>2910</v>
      </c>
      <c r="B79" s="3" t="s">
        <v>2870</v>
      </c>
      <c r="C79" s="3" t="s">
        <v>2585</v>
      </c>
      <c r="D79" s="3" t="s">
        <v>2585</v>
      </c>
      <c r="E79" s="1" t="str">
        <f t="shared" si="9"/>
        <v>Package Terminal Air Conditioners (PTAC)&gt;10,500 and &lt;=11,500N/AN/A</v>
      </c>
      <c r="F79" s="3"/>
      <c r="G79" s="475">
        <v>11.8</v>
      </c>
      <c r="H79" s="475" t="s">
        <v>2682</v>
      </c>
      <c r="I79" s="475">
        <v>12.8</v>
      </c>
      <c r="J79" s="475" t="s">
        <v>2682</v>
      </c>
      <c r="K79" s="475">
        <v>10.7</v>
      </c>
      <c r="L79" s="473" t="s">
        <v>2585</v>
      </c>
      <c r="M79" s="473" t="s">
        <v>2585</v>
      </c>
      <c r="N79" s="473" t="s">
        <v>2585</v>
      </c>
      <c r="O79" s="475"/>
      <c r="T79" s="74">
        <v>8</v>
      </c>
      <c r="U79" s="1">
        <f>U131</f>
        <v>0</v>
      </c>
      <c r="V79" s="1">
        <f t="shared" ref="V79:X79" si="11">V131</f>
        <v>0</v>
      </c>
      <c r="W79" s="1" t="str">
        <f t="shared" si="11"/>
        <v/>
      </c>
      <c r="X79" s="1" t="str">
        <f t="shared" si="11"/>
        <v>0</v>
      </c>
      <c r="Y79" s="215" t="str">
        <f>IFERROR(IF(X79="","",VLOOKUP(X79,$AO$3:$AU$45,7,FALSE)),"")</f>
        <v/>
      </c>
      <c r="Z79" s="215" t="str">
        <f>IFERROR(IF(X79="","",VLOOKUP(X79,$AO$3:$AU$45,6,FALSE)),"")</f>
        <v/>
      </c>
    </row>
    <row r="80" spans="1:26">
      <c r="A80" s="1" t="s">
        <v>2910</v>
      </c>
      <c r="B80" s="3" t="s">
        <v>2873</v>
      </c>
      <c r="C80" s="3" t="s">
        <v>2585</v>
      </c>
      <c r="D80" s="3" t="s">
        <v>2585</v>
      </c>
      <c r="E80" s="1" t="str">
        <f t="shared" si="9"/>
        <v>Package Terminal Air Conditioners (PTAC)&gt;11,500 and &lt;=12,500N/AN/A</v>
      </c>
      <c r="F80" s="3"/>
      <c r="G80" s="475">
        <v>11.4</v>
      </c>
      <c r="H80" s="475" t="s">
        <v>2682</v>
      </c>
      <c r="I80" s="475">
        <v>12.5</v>
      </c>
      <c r="J80" s="475" t="s">
        <v>2682</v>
      </c>
      <c r="K80" s="475">
        <v>10.4</v>
      </c>
      <c r="L80" s="473" t="s">
        <v>2585</v>
      </c>
      <c r="M80" s="473" t="s">
        <v>2585</v>
      </c>
      <c r="N80" s="473" t="s">
        <v>2585</v>
      </c>
      <c r="O80" s="475"/>
      <c r="T80" s="74"/>
      <c r="U80" s="1"/>
      <c r="V80" s="1"/>
      <c r="W80" s="1"/>
      <c r="Y80" s="216" t="str">
        <f>IFERROR(IF(X79="","",VLOOKUP(X79,$AO$3:$AU$45,4,FALSE)),"")</f>
        <v/>
      </c>
      <c r="Z80" s="216" t="str">
        <f>IFERROR(IF(X79="","",VLOOKUP(X79,$AO$3:$AU$45,2,FALSE)),"")</f>
        <v/>
      </c>
    </row>
    <row r="81" spans="1:26" ht="13.5" thickBot="1">
      <c r="A81" s="1" t="s">
        <v>2910</v>
      </c>
      <c r="B81" s="3" t="s">
        <v>2875</v>
      </c>
      <c r="C81" s="3" t="s">
        <v>2585</v>
      </c>
      <c r="D81" s="3" t="s">
        <v>2585</v>
      </c>
      <c r="E81" s="1" t="str">
        <f t="shared" si="9"/>
        <v>Package Terminal Air Conditioners (PTAC)&gt;12,500 and &lt;=13,500N/AN/A</v>
      </c>
      <c r="F81" s="3"/>
      <c r="G81" s="475">
        <v>11.1</v>
      </c>
      <c r="H81" s="475" t="s">
        <v>2682</v>
      </c>
      <c r="I81" s="475">
        <v>12.1</v>
      </c>
      <c r="J81" s="475" t="s">
        <v>2682</v>
      </c>
      <c r="K81" s="475">
        <v>10.1</v>
      </c>
      <c r="L81" s="473" t="s">
        <v>2585</v>
      </c>
      <c r="M81" s="473" t="s">
        <v>2585</v>
      </c>
      <c r="N81" s="473" t="s">
        <v>2585</v>
      </c>
      <c r="O81" s="475"/>
      <c r="T81" s="74"/>
      <c r="U81" s="1"/>
      <c r="V81" s="1"/>
      <c r="W81" s="1"/>
      <c r="Y81" s="216" t="str">
        <f>IFERROR(IF(X79="","",VLOOKUP(X79,$AO$3:$AU$45,5,FALSE)),"")</f>
        <v/>
      </c>
      <c r="Z81" s="216" t="str">
        <f>IFERROR(IF(X79="","",VLOOKUP(X79,$AO$3:$AU$45,3,FALSE)),"")</f>
        <v/>
      </c>
    </row>
    <row r="82" spans="1:26">
      <c r="A82" s="1" t="s">
        <v>2910</v>
      </c>
      <c r="B82" s="3" t="s">
        <v>2877</v>
      </c>
      <c r="C82" s="3" t="s">
        <v>2585</v>
      </c>
      <c r="D82" s="3" t="s">
        <v>2585</v>
      </c>
      <c r="E82" s="1" t="str">
        <f t="shared" si="9"/>
        <v>Package Terminal Air Conditioners (PTAC)&gt;13,500 and &lt;15,000N/AN/A</v>
      </c>
      <c r="F82" s="3"/>
      <c r="G82" s="475">
        <v>10.8</v>
      </c>
      <c r="H82" s="475" t="s">
        <v>2682</v>
      </c>
      <c r="I82" s="475">
        <v>11.8</v>
      </c>
      <c r="J82" s="475" t="s">
        <v>2682</v>
      </c>
      <c r="K82" s="475">
        <v>9.8000000000000007</v>
      </c>
      <c r="L82" s="473" t="s">
        <v>2585</v>
      </c>
      <c r="M82" s="473" t="s">
        <v>2585</v>
      </c>
      <c r="N82" s="473" t="s">
        <v>2585</v>
      </c>
      <c r="O82" s="475"/>
      <c r="T82" s="74">
        <v>9</v>
      </c>
      <c r="U82" s="1">
        <f>U132</f>
        <v>0</v>
      </c>
      <c r="V82" s="1">
        <f t="shared" ref="V82:X82" si="12">V132</f>
        <v>0</v>
      </c>
      <c r="W82" s="1" t="str">
        <f t="shared" si="12"/>
        <v/>
      </c>
      <c r="X82" s="1" t="str">
        <f t="shared" si="12"/>
        <v>0</v>
      </c>
      <c r="Y82" s="215" t="str">
        <f>IFERROR(IF(X82="","",VLOOKUP(X82,$AO$3:$AU$45,7,FALSE)),"")</f>
        <v/>
      </c>
      <c r="Z82" s="215" t="str">
        <f>IFERROR(IF(X82="","",VLOOKUP(X82,$AO$3:$AU$45,6,FALSE)),"")</f>
        <v/>
      </c>
    </row>
    <row r="83" spans="1:26">
      <c r="A83" s="1" t="s">
        <v>2910</v>
      </c>
      <c r="B83" s="3" t="s">
        <v>2879</v>
      </c>
      <c r="C83" s="3" t="s">
        <v>2585</v>
      </c>
      <c r="D83" s="3" t="s">
        <v>2585</v>
      </c>
      <c r="E83" s="1" t="str">
        <f t="shared" si="9"/>
        <v>Package Terminal Air Conditioners (PTAC)&gt;=15,000N/AN/A</v>
      </c>
      <c r="F83" s="3"/>
      <c r="G83" s="475">
        <v>10.5</v>
      </c>
      <c r="H83" s="475" t="s">
        <v>2682</v>
      </c>
      <c r="I83" s="475">
        <v>11.4</v>
      </c>
      <c r="J83" s="475" t="s">
        <v>2682</v>
      </c>
      <c r="K83" s="475">
        <v>9.5</v>
      </c>
      <c r="L83" s="473" t="s">
        <v>2585</v>
      </c>
      <c r="M83" s="473" t="s">
        <v>2585</v>
      </c>
      <c r="N83" s="473" t="s">
        <v>2585</v>
      </c>
      <c r="O83" s="475"/>
      <c r="T83" s="74"/>
      <c r="U83" s="1"/>
      <c r="V83" s="1"/>
      <c r="W83" s="1"/>
      <c r="Y83" s="216" t="str">
        <f>IFERROR(IF(X82="","",VLOOKUP(X82,$AO$3:$AU$45,4,FALSE)),"")</f>
        <v/>
      </c>
      <c r="Z83" s="216" t="str">
        <f>IFERROR(IF(X82="","",VLOOKUP(X82,$AO$3:$AU$45,2,FALSE)),"")</f>
        <v/>
      </c>
    </row>
    <row r="84" spans="1:26" ht="13.5" thickBot="1">
      <c r="B84" s="3"/>
      <c r="C84" s="3"/>
      <c r="D84" s="3"/>
      <c r="F84" s="3"/>
      <c r="G84" s="22"/>
      <c r="H84" s="22"/>
      <c r="I84" s="462"/>
      <c r="J84" s="22"/>
      <c r="K84" s="22"/>
      <c r="T84" s="74"/>
      <c r="U84" s="1"/>
      <c r="V84" s="1"/>
      <c r="W84" s="1"/>
      <c r="Y84" s="216" t="str">
        <f>IFERROR(IF(X82="","",VLOOKUP(X82,$AO$3:$AU$45,5,FALSE)),"")</f>
        <v/>
      </c>
      <c r="Z84" s="216" t="str">
        <f>IFERROR(IF(X82="","",VLOOKUP(X82,$AO$3:$AU$45,3,FALSE)),"")</f>
        <v/>
      </c>
    </row>
    <row r="85" spans="1:26" ht="13.5" thickBot="1">
      <c r="B85" s="3"/>
      <c r="C85" s="3"/>
      <c r="D85" s="3"/>
      <c r="F85" s="3"/>
      <c r="G85" s="22"/>
      <c r="H85" s="22"/>
      <c r="I85" s="462"/>
      <c r="J85" s="22"/>
      <c r="K85" s="22"/>
      <c r="T85" s="74">
        <v>10</v>
      </c>
      <c r="U85" s="1">
        <f>U133</f>
        <v>0</v>
      </c>
      <c r="V85" s="1">
        <f t="shared" ref="V85:X85" si="13">V133</f>
        <v>0</v>
      </c>
      <c r="W85" s="1" t="str">
        <f t="shared" si="13"/>
        <v/>
      </c>
      <c r="X85" s="1" t="str">
        <f t="shared" si="13"/>
        <v>0</v>
      </c>
      <c r="Y85" s="215" t="str">
        <f>IFERROR(IF(X85="","",VLOOKUP(X85,$AO$3:$AU$45,7,FALSE)),"")</f>
        <v/>
      </c>
      <c r="Z85" s="215" t="str">
        <f>IFERROR(IF(X85="","",VLOOKUP(X85,$AO$3:$AU$45,6,FALSE)),"")</f>
        <v/>
      </c>
    </row>
    <row r="86" spans="1:26" ht="13.5" thickBot="1">
      <c r="B86" s="3"/>
      <c r="C86" s="3"/>
      <c r="D86" s="3"/>
      <c r="F86" s="3"/>
      <c r="G86" s="938" t="s">
        <v>2682</v>
      </c>
      <c r="H86" s="941"/>
      <c r="I86" s="941"/>
      <c r="J86" s="941"/>
      <c r="K86" s="942"/>
      <c r="L86" s="938" t="s">
        <v>2752</v>
      </c>
      <c r="M86" s="941"/>
      <c r="N86" s="942"/>
      <c r="P86" s="938" t="s">
        <v>3323</v>
      </c>
      <c r="Q86" s="939"/>
      <c r="R86" s="940"/>
      <c r="T86" s="74"/>
      <c r="U86" s="1"/>
      <c r="V86" s="1"/>
      <c r="W86" s="1"/>
      <c r="Y86" s="216" t="str">
        <f>IFERROR(IF(X85="","",VLOOKUP(X85,$AO$3:$AU$45,4,FALSE)),"")</f>
        <v/>
      </c>
      <c r="Z86" s="216" t="str">
        <f>IFERROR(IF(X85="","",VLOOKUP(X85,$AO$3:$AU$45,2,FALSE)),"")</f>
        <v/>
      </c>
    </row>
    <row r="87" spans="1:26" ht="13.5" thickBot="1">
      <c r="B87" s="3"/>
      <c r="C87" s="3"/>
      <c r="D87" s="3"/>
      <c r="F87" s="3"/>
      <c r="G87" s="375" t="s">
        <v>2683</v>
      </c>
      <c r="H87" s="111"/>
      <c r="I87" s="111" t="s">
        <v>2684</v>
      </c>
      <c r="J87" s="111"/>
      <c r="K87" s="112" t="s">
        <v>2804</v>
      </c>
      <c r="L87" s="375" t="s">
        <v>2683</v>
      </c>
      <c r="M87" s="111" t="s">
        <v>2684</v>
      </c>
      <c r="N87" s="112" t="s">
        <v>2804</v>
      </c>
      <c r="P87" s="717">
        <v>0.1</v>
      </c>
      <c r="Q87" s="718">
        <v>0.2</v>
      </c>
      <c r="R87" s="112" t="s">
        <v>2804</v>
      </c>
      <c r="T87" s="76"/>
      <c r="U87" s="77"/>
      <c r="V87" s="77"/>
      <c r="W87" s="77"/>
      <c r="X87" s="77"/>
      <c r="Y87" s="421" t="str">
        <f>IFERROR(IF(X85="","",VLOOKUP(X85,$AO$3:$AU$45,5,FALSE)),"")</f>
        <v/>
      </c>
      <c r="Z87" s="421" t="str">
        <f>IFERROR(IF(X85="","",VLOOKUP(X85,$AO$3:$AU$45,3,FALSE)),"")</f>
        <v/>
      </c>
    </row>
    <row r="88" spans="1:26">
      <c r="A88" s="1" t="s">
        <v>2911</v>
      </c>
      <c r="B88" s="3" t="s">
        <v>2861</v>
      </c>
      <c r="C88" s="3" t="s">
        <v>2585</v>
      </c>
      <c r="D88" s="3" t="s">
        <v>2585</v>
      </c>
      <c r="E88" s="1" t="str">
        <f t="shared" ref="E88:E96" si="14">IF(A88="","",A88&amp;B88&amp;C88&amp;D88)</f>
        <v>Package Terminal Heat Pump (PTHP)&lt;=7,000N/AN/A</v>
      </c>
      <c r="F88" s="3"/>
      <c r="G88" s="475">
        <v>13.1</v>
      </c>
      <c r="H88" s="475" t="s">
        <v>2682</v>
      </c>
      <c r="I88" s="475">
        <v>14.3</v>
      </c>
      <c r="J88" s="475" t="s">
        <v>2682</v>
      </c>
      <c r="K88" s="475">
        <v>11.9</v>
      </c>
      <c r="L88" s="473" t="s">
        <v>2585</v>
      </c>
      <c r="M88" s="473" t="s">
        <v>2585</v>
      </c>
      <c r="N88" s="473" t="s">
        <v>2585</v>
      </c>
      <c r="O88" s="475"/>
      <c r="P88" s="469">
        <v>3.32</v>
      </c>
      <c r="Q88" s="483">
        <v>3.62</v>
      </c>
      <c r="R88" s="484">
        <v>3.02</v>
      </c>
      <c r="U88" s="1"/>
      <c r="V88" s="1"/>
      <c r="W88" s="1"/>
    </row>
    <row r="89" spans="1:26" ht="13.5" thickBot="1">
      <c r="A89" s="1" t="s">
        <v>2911</v>
      </c>
      <c r="B89" s="3" t="s">
        <v>2864</v>
      </c>
      <c r="C89" s="3" t="s">
        <v>2585</v>
      </c>
      <c r="D89" s="3" t="s">
        <v>2585</v>
      </c>
      <c r="E89" s="1" t="str">
        <f t="shared" si="14"/>
        <v>Package Terminal Heat Pump (PTHP)&gt;7,000 and &lt;=8,500N/AN/A</v>
      </c>
      <c r="F89" s="3"/>
      <c r="G89" s="475">
        <v>12.8</v>
      </c>
      <c r="H89" s="475" t="s">
        <v>2682</v>
      </c>
      <c r="I89" s="475">
        <v>13.9</v>
      </c>
      <c r="J89" s="475" t="s">
        <v>2682</v>
      </c>
      <c r="K89" s="475">
        <v>11.6</v>
      </c>
      <c r="L89" s="473" t="s">
        <v>2585</v>
      </c>
      <c r="M89" s="473" t="s">
        <v>2585</v>
      </c>
      <c r="N89" s="473" t="s">
        <v>2585</v>
      </c>
      <c r="O89" s="475"/>
      <c r="P89" s="469">
        <v>3.29</v>
      </c>
      <c r="Q89" s="472">
        <v>3.59</v>
      </c>
      <c r="R89" s="487">
        <v>2.99</v>
      </c>
      <c r="T89" s="226" t="s">
        <v>2912</v>
      </c>
    </row>
    <row r="90" spans="1:26">
      <c r="A90" s="1" t="s">
        <v>2911</v>
      </c>
      <c r="B90" s="3" t="s">
        <v>2866</v>
      </c>
      <c r="C90" s="3" t="s">
        <v>2585</v>
      </c>
      <c r="D90" s="3" t="s">
        <v>2585</v>
      </c>
      <c r="E90" s="1" t="str">
        <f t="shared" si="14"/>
        <v>Package Terminal Heat Pump (PTHP)&gt;8,500 and &lt;=9,500N/AN/A</v>
      </c>
      <c r="F90" s="3"/>
      <c r="G90" s="475">
        <v>12.4</v>
      </c>
      <c r="H90" s="475" t="s">
        <v>2682</v>
      </c>
      <c r="I90" s="475">
        <v>13.6</v>
      </c>
      <c r="J90" s="475" t="s">
        <v>2682</v>
      </c>
      <c r="K90" s="475">
        <v>11.3</v>
      </c>
      <c r="L90" s="473" t="s">
        <v>2585</v>
      </c>
      <c r="M90" s="473" t="s">
        <v>2585</v>
      </c>
      <c r="N90" s="473" t="s">
        <v>2585</v>
      </c>
      <c r="O90" s="475"/>
      <c r="P90" s="469">
        <v>3.26</v>
      </c>
      <c r="Q90" s="472">
        <v>3.56</v>
      </c>
      <c r="R90" s="487">
        <v>2.97</v>
      </c>
      <c r="T90" s="214">
        <v>1</v>
      </c>
      <c r="U90" s="21">
        <f>U136</f>
        <v>0</v>
      </c>
      <c r="V90" s="21">
        <f>V136</f>
        <v>0</v>
      </c>
      <c r="W90" s="21" t="str">
        <f>W136</f>
        <v/>
      </c>
      <c r="X90" s="21" t="str">
        <f>X136</f>
        <v>0</v>
      </c>
      <c r="Y90" s="215" t="str">
        <f>IFERROR(IF(X90="","",VLOOKUP(X90,$AO$3:$AU$45,7,FALSE)),"")</f>
        <v/>
      </c>
      <c r="Z90" s="215" t="str">
        <f>IFERROR(IF(X90="","",VLOOKUP(X90,$AO$3:$AU$45,6,FALSE)),"")</f>
        <v/>
      </c>
    </row>
    <row r="91" spans="1:26">
      <c r="A91" s="1" t="s">
        <v>2911</v>
      </c>
      <c r="B91" s="3" t="s">
        <v>2868</v>
      </c>
      <c r="C91" s="3" t="s">
        <v>2585</v>
      </c>
      <c r="D91" s="3" t="s">
        <v>2585</v>
      </c>
      <c r="E91" s="1" t="str">
        <f t="shared" si="14"/>
        <v>Package Terminal Heat Pump (PTHP)&gt;9,500 and &lt;=10,500N/AN/A</v>
      </c>
      <c r="F91" s="3"/>
      <c r="G91" s="475">
        <v>12.1</v>
      </c>
      <c r="H91" s="475" t="s">
        <v>2682</v>
      </c>
      <c r="I91" s="475">
        <v>13.2</v>
      </c>
      <c r="J91" s="475" t="s">
        <v>2682</v>
      </c>
      <c r="K91" s="475">
        <v>11</v>
      </c>
      <c r="L91" s="473" t="s">
        <v>2585</v>
      </c>
      <c r="M91" s="473" t="s">
        <v>2585</v>
      </c>
      <c r="N91" s="473" t="s">
        <v>2585</v>
      </c>
      <c r="O91" s="475"/>
      <c r="P91" s="469">
        <v>3.23</v>
      </c>
      <c r="Q91" s="472">
        <v>3.53</v>
      </c>
      <c r="R91" s="487">
        <v>2.94</v>
      </c>
      <c r="T91" s="74"/>
      <c r="U91" s="1"/>
      <c r="V91" s="1"/>
      <c r="W91" s="1"/>
      <c r="Y91" s="216" t="str">
        <f>IFERROR(IF(X90="","",VLOOKUP(X90,$AO$3:$AU$45,4,FALSE)),"")</f>
        <v/>
      </c>
      <c r="Z91" s="216" t="str">
        <f>IFERROR(IF(X90="","",VLOOKUP(X90,$AO$3:$AU$45,2,FALSE)),"")</f>
        <v/>
      </c>
    </row>
    <row r="92" spans="1:26" ht="13.5" thickBot="1">
      <c r="A92" s="1" t="s">
        <v>2911</v>
      </c>
      <c r="B92" s="3" t="s">
        <v>2870</v>
      </c>
      <c r="C92" s="3" t="s">
        <v>2585</v>
      </c>
      <c r="D92" s="3" t="s">
        <v>2585</v>
      </c>
      <c r="E92" s="1" t="str">
        <f t="shared" si="14"/>
        <v>Package Terminal Heat Pump (PTHP)&gt;10,500 and &lt;=11,500N/AN/A</v>
      </c>
      <c r="F92" s="3"/>
      <c r="G92" s="475">
        <v>11.8</v>
      </c>
      <c r="H92" s="475" t="s">
        <v>2682</v>
      </c>
      <c r="I92" s="475">
        <v>12.8</v>
      </c>
      <c r="J92" s="475" t="s">
        <v>2682</v>
      </c>
      <c r="K92" s="475">
        <v>10.7</v>
      </c>
      <c r="L92" s="473" t="s">
        <v>2585</v>
      </c>
      <c r="M92" s="473" t="s">
        <v>2585</v>
      </c>
      <c r="N92" s="473" t="s">
        <v>2585</v>
      </c>
      <c r="O92" s="475"/>
      <c r="P92" s="469">
        <v>3.21</v>
      </c>
      <c r="Q92" s="472">
        <v>3.5</v>
      </c>
      <c r="R92" s="487">
        <v>2.91</v>
      </c>
      <c r="T92" s="74"/>
      <c r="U92" s="1"/>
      <c r="V92" s="1"/>
      <c r="W92" s="1"/>
      <c r="Y92" s="216" t="str">
        <f>IFERROR(IF(X90="","",VLOOKUP(X90,$AO$3:$AU$45,5,FALSE)),"")</f>
        <v/>
      </c>
      <c r="Z92" s="216" t="str">
        <f>IFERROR(IF(X90="","",VLOOKUP(X90,$AO$3:$AU$45,3,FALSE)),"")</f>
        <v/>
      </c>
    </row>
    <row r="93" spans="1:26">
      <c r="A93" s="1" t="s">
        <v>2911</v>
      </c>
      <c r="B93" s="3" t="s">
        <v>2873</v>
      </c>
      <c r="C93" s="3" t="s">
        <v>2585</v>
      </c>
      <c r="D93" s="3" t="s">
        <v>2585</v>
      </c>
      <c r="E93" s="1" t="str">
        <f t="shared" si="14"/>
        <v>Package Terminal Heat Pump (PTHP)&gt;11,500 and &lt;=12,500N/AN/A</v>
      </c>
      <c r="F93" s="3"/>
      <c r="G93" s="475">
        <v>11.4</v>
      </c>
      <c r="H93" s="475" t="s">
        <v>2682</v>
      </c>
      <c r="I93" s="475">
        <v>12.5</v>
      </c>
      <c r="J93" s="475" t="s">
        <v>2682</v>
      </c>
      <c r="K93" s="475">
        <v>10.4</v>
      </c>
      <c r="L93" s="473" t="s">
        <v>2585</v>
      </c>
      <c r="M93" s="473" t="s">
        <v>2585</v>
      </c>
      <c r="N93" s="473" t="s">
        <v>2585</v>
      </c>
      <c r="O93" s="475"/>
      <c r="P93" s="469">
        <v>3.18</v>
      </c>
      <c r="Q93" s="472">
        <v>3.47</v>
      </c>
      <c r="R93" s="487">
        <v>2.89</v>
      </c>
      <c r="T93" s="74">
        <v>2</v>
      </c>
      <c r="U93" s="1">
        <f>U137</f>
        <v>0</v>
      </c>
      <c r="V93" s="1">
        <f>V137</f>
        <v>0</v>
      </c>
      <c r="W93" s="1" t="str">
        <f>W137</f>
        <v/>
      </c>
      <c r="X93" s="1" t="str">
        <f>X137</f>
        <v>0</v>
      </c>
      <c r="Y93" s="215" t="str">
        <f>IFERROR(IF(X93="","",VLOOKUP(X93,$AO$3:$AU$45,7,FALSE)),"")</f>
        <v/>
      </c>
      <c r="Z93" s="215" t="str">
        <f>IFERROR(IF(X93="","",VLOOKUP(X93,$AO$3:$AU$45,6,FALSE)),"")</f>
        <v/>
      </c>
    </row>
    <row r="94" spans="1:26">
      <c r="A94" s="1" t="s">
        <v>2911</v>
      </c>
      <c r="B94" s="3" t="s">
        <v>2875</v>
      </c>
      <c r="C94" s="3" t="s">
        <v>2585</v>
      </c>
      <c r="D94" s="3" t="s">
        <v>2585</v>
      </c>
      <c r="E94" s="1" t="str">
        <f t="shared" si="14"/>
        <v>Package Terminal Heat Pump (PTHP)&gt;12,500 and &lt;=13,500N/AN/A</v>
      </c>
      <c r="F94" s="3"/>
      <c r="G94" s="475">
        <v>11.1</v>
      </c>
      <c r="H94" s="475" t="s">
        <v>2682</v>
      </c>
      <c r="I94" s="475">
        <v>12.1</v>
      </c>
      <c r="J94" s="475" t="s">
        <v>2682</v>
      </c>
      <c r="K94" s="475">
        <v>10.1</v>
      </c>
      <c r="L94" s="473" t="s">
        <v>2585</v>
      </c>
      <c r="M94" s="473" t="s">
        <v>2585</v>
      </c>
      <c r="N94" s="473" t="s">
        <v>2585</v>
      </c>
      <c r="O94" s="475"/>
      <c r="P94" s="469">
        <v>3.15</v>
      </c>
      <c r="Q94" s="472">
        <v>3.43</v>
      </c>
      <c r="R94" s="487">
        <v>2.86</v>
      </c>
      <c r="T94" s="74"/>
      <c r="U94" s="1"/>
      <c r="V94" s="1"/>
      <c r="W94" s="1"/>
      <c r="Y94" s="216" t="str">
        <f>IFERROR(IF(X93="","",VLOOKUP(X93,$AO$3:$AU$45,4,FALSE)),"")</f>
        <v/>
      </c>
      <c r="Z94" s="216" t="str">
        <f>IFERROR(IF(X93="","",VLOOKUP(X93,$AO$3:$AU$45,2,FALSE)),"")</f>
        <v/>
      </c>
    </row>
    <row r="95" spans="1:26" ht="13.5" thickBot="1">
      <c r="A95" s="1" t="s">
        <v>2911</v>
      </c>
      <c r="B95" s="3" t="s">
        <v>2877</v>
      </c>
      <c r="C95" s="3" t="s">
        <v>2585</v>
      </c>
      <c r="D95" s="3" t="s">
        <v>2585</v>
      </c>
      <c r="E95" s="1" t="str">
        <f t="shared" si="14"/>
        <v>Package Terminal Heat Pump (PTHP)&gt;13,500 and &lt;15,000N/AN/A</v>
      </c>
      <c r="F95" s="3"/>
      <c r="G95" s="475">
        <v>10.8</v>
      </c>
      <c r="H95" s="475" t="s">
        <v>2682</v>
      </c>
      <c r="I95" s="475">
        <v>11.8</v>
      </c>
      <c r="J95" s="475" t="s">
        <v>2682</v>
      </c>
      <c r="K95" s="475">
        <v>9.8000000000000007</v>
      </c>
      <c r="L95" s="473" t="s">
        <v>2585</v>
      </c>
      <c r="M95" s="473" t="s">
        <v>2585</v>
      </c>
      <c r="N95" s="473" t="s">
        <v>2585</v>
      </c>
      <c r="O95" s="475"/>
      <c r="P95" s="469">
        <v>3.12</v>
      </c>
      <c r="Q95" s="472">
        <v>3.4</v>
      </c>
      <c r="R95" s="487">
        <v>2.84</v>
      </c>
      <c r="T95" s="74"/>
      <c r="U95" s="1"/>
      <c r="V95" s="1"/>
      <c r="W95" s="1"/>
      <c r="Y95" s="216" t="str">
        <f>IFERROR(IF(X93="","",VLOOKUP(X93,$AO$3:$AU$45,5,FALSE)),"")</f>
        <v/>
      </c>
      <c r="Z95" s="216" t="str">
        <f>IFERROR(IF(X93="","",VLOOKUP(X93,$AO$3:$AU$45,3,FALSE)),"")</f>
        <v/>
      </c>
    </row>
    <row r="96" spans="1:26">
      <c r="A96" s="1" t="s">
        <v>2911</v>
      </c>
      <c r="B96" s="3" t="s">
        <v>2879</v>
      </c>
      <c r="C96" s="3" t="s">
        <v>2585</v>
      </c>
      <c r="D96" s="3" t="s">
        <v>2585</v>
      </c>
      <c r="E96" s="1" t="str">
        <f t="shared" si="14"/>
        <v>Package Terminal Heat Pump (PTHP)&gt;=15,000N/AN/A</v>
      </c>
      <c r="F96" s="3"/>
      <c r="G96" s="475">
        <v>10.5</v>
      </c>
      <c r="H96" s="475" t="s">
        <v>2682</v>
      </c>
      <c r="I96" s="475">
        <v>11.4</v>
      </c>
      <c r="J96" s="475" t="s">
        <v>2682</v>
      </c>
      <c r="K96" s="475">
        <v>9.5</v>
      </c>
      <c r="L96" s="473" t="s">
        <v>2585</v>
      </c>
      <c r="M96" s="473" t="s">
        <v>2585</v>
      </c>
      <c r="N96" s="473" t="s">
        <v>2585</v>
      </c>
      <c r="O96" s="475"/>
      <c r="P96" s="469">
        <v>3.09</v>
      </c>
      <c r="Q96" s="472">
        <v>3.37</v>
      </c>
      <c r="R96" s="487">
        <v>2.81</v>
      </c>
      <c r="T96" s="74">
        <v>3</v>
      </c>
      <c r="U96" s="1">
        <f>U138</f>
        <v>0</v>
      </c>
      <c r="V96" s="1">
        <f>V138</f>
        <v>0</v>
      </c>
      <c r="W96" s="1" t="str">
        <f>W138</f>
        <v/>
      </c>
      <c r="X96" s="1" t="str">
        <f>X138</f>
        <v>0</v>
      </c>
      <c r="Y96" s="215" t="str">
        <f>IFERROR(IF(X96="","",VLOOKUP(X96,$AO$3:$AU$45,7,FALSE)),"")</f>
        <v/>
      </c>
      <c r="Z96" s="215" t="str">
        <f>IFERROR(IF(X96="","",VLOOKUP(X96,$AO$3:$AU$45,6,FALSE)),"")</f>
        <v/>
      </c>
    </row>
    <row r="97" spans="1:35">
      <c r="B97" s="3"/>
      <c r="C97" s="3"/>
      <c r="D97" s="3"/>
      <c r="F97" s="3"/>
      <c r="G97" s="22"/>
      <c r="H97" s="22"/>
      <c r="I97" s="462"/>
      <c r="J97" s="22"/>
      <c r="K97" s="22"/>
      <c r="T97" s="74"/>
      <c r="U97" s="1"/>
      <c r="V97" s="1"/>
      <c r="W97" s="1"/>
      <c r="Y97" s="216" t="str">
        <f>IFERROR(IF(X96="","",VLOOKUP(X96,$AO$3:$AU$45,4,FALSE)),"")</f>
        <v/>
      </c>
      <c r="Z97" s="216" t="str">
        <f>IFERROR(IF(X96="","",VLOOKUP(X96,$AO$3:$AU$45,2,FALSE)),"")</f>
        <v/>
      </c>
    </row>
    <row r="98" spans="1:35" ht="13.5" thickBot="1">
      <c r="B98" s="3"/>
      <c r="C98" s="3"/>
      <c r="D98" s="3"/>
      <c r="F98" s="3"/>
      <c r="G98" s="22"/>
      <c r="H98" s="22"/>
      <c r="I98" s="462"/>
      <c r="J98" s="22"/>
      <c r="K98" s="22"/>
      <c r="O98" s="3" t="s">
        <v>2913</v>
      </c>
      <c r="T98" s="74"/>
      <c r="U98" s="1"/>
      <c r="V98" s="1"/>
      <c r="W98" s="1"/>
      <c r="Y98" s="216" t="str">
        <f>IFERROR(IF(X96="","",VLOOKUP(X96,$AO$3:$AU$45,5,FALSE)),"")</f>
        <v/>
      </c>
      <c r="Z98" s="216" t="str">
        <f>IFERROR(IF(X96="","",VLOOKUP(X96,$AO$3:$AU$45,3,FALSE)),"")</f>
        <v/>
      </c>
    </row>
    <row r="99" spans="1:35" ht="13.5" thickBot="1">
      <c r="B99" s="3"/>
      <c r="C99" s="3"/>
      <c r="D99" s="3"/>
      <c r="F99" s="3"/>
      <c r="G99" s="938" t="s">
        <v>2715</v>
      </c>
      <c r="H99" s="939"/>
      <c r="I99" s="939"/>
      <c r="J99" s="939"/>
      <c r="K99" s="940"/>
      <c r="L99" s="938" t="s">
        <v>2752</v>
      </c>
      <c r="M99" s="939"/>
      <c r="N99" s="940"/>
      <c r="O99" s="3" t="s">
        <v>2914</v>
      </c>
      <c r="P99" s="938" t="s">
        <v>3322</v>
      </c>
      <c r="Q99" s="939"/>
      <c r="R99" s="940"/>
      <c r="T99" s="74">
        <v>4</v>
      </c>
      <c r="U99" s="1">
        <f>U139</f>
        <v>0</v>
      </c>
      <c r="V99" s="1">
        <f>V139</f>
        <v>0</v>
      </c>
      <c r="W99" s="1" t="str">
        <f>W139</f>
        <v/>
      </c>
      <c r="X99" s="1" t="str">
        <f>X139</f>
        <v>0</v>
      </c>
      <c r="Y99" s="215" t="str">
        <f>IFERROR(IF(X99="","",VLOOKUP(X99,$AO$3:$AU$45,7,FALSE)),"")</f>
        <v/>
      </c>
      <c r="Z99" s="215" t="str">
        <f>IFERROR(IF(X99="","",VLOOKUP(X99,$AO$3:$AU$45,6,FALSE)),"")</f>
        <v/>
      </c>
    </row>
    <row r="100" spans="1:35" ht="13.5" thickBot="1">
      <c r="E100" s="1" t="str">
        <f t="shared" si="0"/>
        <v/>
      </c>
      <c r="F100" s="3"/>
      <c r="G100" s="375" t="s">
        <v>2683</v>
      </c>
      <c r="H100" s="111"/>
      <c r="I100" s="111" t="s">
        <v>2684</v>
      </c>
      <c r="J100" s="111"/>
      <c r="K100" s="112" t="s">
        <v>2804</v>
      </c>
      <c r="L100" s="375" t="s">
        <v>2683</v>
      </c>
      <c r="M100" s="111" t="s">
        <v>2684</v>
      </c>
      <c r="N100" s="112" t="s">
        <v>2804</v>
      </c>
      <c r="P100" s="375" t="s">
        <v>2683</v>
      </c>
      <c r="Q100" s="111" t="s">
        <v>2684</v>
      </c>
      <c r="R100" s="112" t="s">
        <v>2804</v>
      </c>
      <c r="T100" s="74"/>
      <c r="U100" s="1"/>
      <c r="V100" s="1"/>
      <c r="W100" s="1"/>
      <c r="Y100" s="216" t="str">
        <f>IFERROR(IF(X99="","",VLOOKUP(X99,$AO$3:$AU$45,4,FALSE)),"")</f>
        <v/>
      </c>
      <c r="Z100" s="216" t="str">
        <f>IFERROR(IF(X99="","",VLOOKUP(X99,$AO$3:$AU$45,2,FALSE)),"")</f>
        <v/>
      </c>
    </row>
    <row r="101" spans="1:35" ht="13.5" thickBot="1">
      <c r="A101" s="3" t="s">
        <v>2830</v>
      </c>
      <c r="B101" s="378" t="s">
        <v>2820</v>
      </c>
      <c r="C101" s="3" t="s">
        <v>2585</v>
      </c>
      <c r="D101" s="3" t="s">
        <v>2821</v>
      </c>
      <c r="E101" s="1" t="str">
        <f t="shared" si="0"/>
        <v>Heat Pumps, Air-Cooled&lt;65,000N/ASplit System</v>
      </c>
      <c r="F101" s="3"/>
      <c r="G101" s="479">
        <v>15</v>
      </c>
      <c r="H101" s="480" t="s">
        <v>2681</v>
      </c>
      <c r="I101" s="481">
        <v>16</v>
      </c>
      <c r="J101" s="480" t="s">
        <v>2681</v>
      </c>
      <c r="K101" s="482">
        <v>14</v>
      </c>
      <c r="L101" s="469">
        <v>12.5</v>
      </c>
      <c r="M101" s="483">
        <v>13</v>
      </c>
      <c r="N101" s="484">
        <v>11.8</v>
      </c>
      <c r="O101" s="475" t="s">
        <v>2682</v>
      </c>
      <c r="P101" s="469">
        <v>8.5</v>
      </c>
      <c r="Q101" s="483">
        <v>9</v>
      </c>
      <c r="R101" s="484">
        <v>8.1999999999999993</v>
      </c>
      <c r="T101" s="74"/>
      <c r="U101" s="1"/>
      <c r="V101" s="1"/>
      <c r="W101" s="1"/>
      <c r="Y101" s="216" t="str">
        <f>IFERROR(IF(X99="","",VLOOKUP(X99,$AO$3:$AU$45,5,FALSE)),"")</f>
        <v/>
      </c>
      <c r="Z101" s="216" t="str">
        <f>IFERROR(IF(X99="","",VLOOKUP(X99,$AO$3:$AU$45,3,FALSE)),"")</f>
        <v/>
      </c>
    </row>
    <row r="102" spans="1:35">
      <c r="A102" s="3" t="s">
        <v>2830</v>
      </c>
      <c r="B102" s="378" t="s">
        <v>2820</v>
      </c>
      <c r="C102" s="3" t="s">
        <v>2585</v>
      </c>
      <c r="D102" s="3" t="s">
        <v>2825</v>
      </c>
      <c r="E102" s="1" t="str">
        <f t="shared" si="0"/>
        <v>Heat Pumps, Air-Cooled&lt;65,000N/ASingle Package</v>
      </c>
      <c r="F102" s="3"/>
      <c r="G102" s="485">
        <v>15</v>
      </c>
      <c r="H102" s="467" t="s">
        <v>2681</v>
      </c>
      <c r="I102" s="466">
        <v>16</v>
      </c>
      <c r="J102" s="467" t="s">
        <v>2681</v>
      </c>
      <c r="K102" s="486">
        <v>14</v>
      </c>
      <c r="L102" s="469">
        <v>12</v>
      </c>
      <c r="M102" s="472">
        <v>12</v>
      </c>
      <c r="N102" s="487">
        <v>11.8</v>
      </c>
      <c r="O102" s="475" t="s">
        <v>2682</v>
      </c>
      <c r="P102" s="469">
        <v>8.1999999999999993</v>
      </c>
      <c r="Q102" s="472">
        <v>8.1999999999999993</v>
      </c>
      <c r="R102" s="487">
        <v>8</v>
      </c>
      <c r="T102" s="74">
        <v>5</v>
      </c>
      <c r="U102" s="1">
        <f>U140</f>
        <v>0</v>
      </c>
      <c r="V102" s="1">
        <f>V140</f>
        <v>0</v>
      </c>
      <c r="W102" s="1" t="str">
        <f>W140</f>
        <v/>
      </c>
      <c r="X102" s="1" t="str">
        <f>X140</f>
        <v>0</v>
      </c>
      <c r="Y102" s="215" t="str">
        <f>IFERROR(IF(X102="","",VLOOKUP(X102,$AO$3:$AU$45,7,FALSE)),"")</f>
        <v/>
      </c>
      <c r="Z102" s="215" t="str">
        <f>IFERROR(IF(X102="","",VLOOKUP(X102,$AO$3:$AU$45,6,FALSE)),"")</f>
        <v/>
      </c>
    </row>
    <row r="103" spans="1:35">
      <c r="A103" s="3" t="s">
        <v>2830</v>
      </c>
      <c r="B103" s="599" t="s">
        <v>2828</v>
      </c>
      <c r="C103" s="3" t="s">
        <v>2816</v>
      </c>
      <c r="D103" s="3" t="s">
        <v>2585</v>
      </c>
      <c r="E103" s="1" t="str">
        <f t="shared" si="0"/>
        <v>Heat Pumps, Air-Cooled&gt;=65,000 and &lt;135,000Electric (or none)N/A</v>
      </c>
      <c r="F103" s="3"/>
      <c r="G103" s="485">
        <v>11.8</v>
      </c>
      <c r="H103" s="467" t="s">
        <v>2682</v>
      </c>
      <c r="I103" s="473" t="s">
        <v>2585</v>
      </c>
      <c r="J103" s="467"/>
      <c r="K103" s="486">
        <v>11</v>
      </c>
      <c r="L103" s="485">
        <v>13.6</v>
      </c>
      <c r="M103" s="473" t="s">
        <v>2585</v>
      </c>
      <c r="N103" s="486">
        <v>12</v>
      </c>
      <c r="O103" s="475" t="s">
        <v>2752</v>
      </c>
      <c r="T103" s="74"/>
      <c r="U103" s="1"/>
      <c r="V103" s="1"/>
      <c r="W103" s="1"/>
      <c r="Y103" s="216" t="str">
        <f>IFERROR(IF(X102="","",VLOOKUP(X102,$AO$3:$AU$45,4,FALSE)),"")</f>
        <v/>
      </c>
      <c r="Z103" s="216" t="str">
        <f>IFERROR(IF(X102="","",VLOOKUP(X102,$AO$3:$AU$45,2,FALSE)),"")</f>
        <v/>
      </c>
    </row>
    <row r="104" spans="1:35" ht="13.5" thickBot="1">
      <c r="A104" s="3" t="s">
        <v>2830</v>
      </c>
      <c r="B104" s="3" t="s">
        <v>2828</v>
      </c>
      <c r="C104" s="3" t="s">
        <v>2817</v>
      </c>
      <c r="D104" s="3" t="s">
        <v>2585</v>
      </c>
      <c r="E104" s="1" t="str">
        <f t="shared" si="0"/>
        <v>Heat Pumps, Air-Cooled&gt;=65,000 and &lt;135,000OtherN/A</v>
      </c>
      <c r="F104" s="3"/>
      <c r="G104" s="485">
        <v>11.6</v>
      </c>
      <c r="H104" s="467" t="s">
        <v>2682</v>
      </c>
      <c r="I104" s="473" t="s">
        <v>2585</v>
      </c>
      <c r="J104" s="467"/>
      <c r="K104" s="486">
        <v>10.8</v>
      </c>
      <c r="L104" s="485">
        <v>13.4</v>
      </c>
      <c r="M104" s="473" t="s">
        <v>2585</v>
      </c>
      <c r="N104" s="486">
        <v>11.8</v>
      </c>
      <c r="O104" s="475" t="s">
        <v>2752</v>
      </c>
      <c r="T104" s="76"/>
      <c r="U104" s="77"/>
      <c r="V104" s="77"/>
      <c r="W104" s="77"/>
      <c r="X104" s="77"/>
      <c r="Y104" s="421" t="str">
        <f>IFERROR(IF(X102="","",VLOOKUP(X102,$AO$3:$AU$45,5,FALSE)),"")</f>
        <v/>
      </c>
      <c r="Z104" s="421" t="str">
        <f>IFERROR(IF(X102="","",VLOOKUP(X102,$AO$3:$AU$45,3,FALSE)),"")</f>
        <v/>
      </c>
    </row>
    <row r="105" spans="1:35">
      <c r="A105" s="3" t="s">
        <v>2830</v>
      </c>
      <c r="B105" s="3" t="s">
        <v>2831</v>
      </c>
      <c r="C105" s="3" t="s">
        <v>2816</v>
      </c>
      <c r="D105" s="3" t="s">
        <v>2585</v>
      </c>
      <c r="E105" s="1" t="str">
        <f t="shared" si="0"/>
        <v>Heat Pumps, Air-Cooled&gt;=135,000 and &lt;240,000Electric (or none)N/A</v>
      </c>
      <c r="F105" s="3"/>
      <c r="G105" s="485">
        <v>10.9</v>
      </c>
      <c r="H105" s="467" t="s">
        <v>2682</v>
      </c>
      <c r="I105" s="473" t="s">
        <v>2585</v>
      </c>
      <c r="J105" s="467"/>
      <c r="K105" s="486">
        <v>10.6</v>
      </c>
      <c r="L105" s="485">
        <v>12.8</v>
      </c>
      <c r="M105" s="473" t="s">
        <v>2585</v>
      </c>
      <c r="N105" s="486">
        <v>11.6</v>
      </c>
      <c r="O105" s="475" t="s">
        <v>2752</v>
      </c>
      <c r="T105" s="211" t="s">
        <v>2842</v>
      </c>
      <c r="U105" s="1"/>
      <c r="V105" s="1"/>
      <c r="W105" s="1"/>
      <c r="AC105" s="211" t="s">
        <v>144</v>
      </c>
    </row>
    <row r="106" spans="1:35">
      <c r="A106" s="3" t="s">
        <v>2830</v>
      </c>
      <c r="B106" s="3" t="s">
        <v>2831</v>
      </c>
      <c r="C106" s="3" t="s">
        <v>2817</v>
      </c>
      <c r="D106" s="3" t="s">
        <v>2585</v>
      </c>
      <c r="E106" s="1" t="str">
        <f t="shared" si="0"/>
        <v>Heat Pumps, Air-Cooled&gt;=135,000 and &lt;240,000OtherN/A</v>
      </c>
      <c r="F106" s="3"/>
      <c r="G106" s="485">
        <v>10.7</v>
      </c>
      <c r="H106" s="467" t="s">
        <v>2682</v>
      </c>
      <c r="I106" s="473" t="s">
        <v>2585</v>
      </c>
      <c r="J106" s="467"/>
      <c r="K106" s="486">
        <v>10.4</v>
      </c>
      <c r="L106" s="485">
        <v>12.6</v>
      </c>
      <c r="M106" s="473" t="s">
        <v>2585</v>
      </c>
      <c r="N106" s="486">
        <v>11.4</v>
      </c>
      <c r="O106" s="475" t="s">
        <v>2752</v>
      </c>
      <c r="T106" s="226" t="s">
        <v>2844</v>
      </c>
      <c r="V106" s="1"/>
      <c r="W106" s="1"/>
      <c r="AC106" s="226" t="s">
        <v>2844</v>
      </c>
      <c r="AD106" s="22"/>
    </row>
    <row r="107" spans="1:35">
      <c r="A107" s="3" t="s">
        <v>2830</v>
      </c>
      <c r="B107" s="3" t="s">
        <v>2837</v>
      </c>
      <c r="C107" s="3" t="s">
        <v>2816</v>
      </c>
      <c r="D107" s="3" t="s">
        <v>2585</v>
      </c>
      <c r="E107" s="1" t="str">
        <f t="shared" si="0"/>
        <v>Heat Pumps, Air-Cooled&gt;=240,000 and &lt;760,000Electric (or none)N/A</v>
      </c>
      <c r="F107" s="3"/>
      <c r="G107" s="485">
        <v>10.3</v>
      </c>
      <c r="H107" s="467" t="s">
        <v>2682</v>
      </c>
      <c r="I107" s="473" t="s">
        <v>2585</v>
      </c>
      <c r="J107" s="467"/>
      <c r="K107" s="486">
        <v>9.5</v>
      </c>
      <c r="L107" s="485">
        <v>11.8</v>
      </c>
      <c r="M107" s="473" t="s">
        <v>2585</v>
      </c>
      <c r="N107" s="486">
        <v>10.6</v>
      </c>
      <c r="O107" s="475" t="s">
        <v>2752</v>
      </c>
      <c r="T107" s="103">
        <v>1</v>
      </c>
      <c r="U107" s="103">
        <f>'NC HVAC Worksheet'!F78</f>
        <v>0</v>
      </c>
      <c r="V107" s="103">
        <f>'NC HVAC Worksheet'!D78*12000</f>
        <v>0</v>
      </c>
      <c r="W107" s="103" t="str">
        <f>IF('NC HVAC Worksheet'!D78="","",IF(OR(U107="Package Terminal Air Conditioners (PTAC)",U107="Package Terminal Heat Pump (PTHP)"),VLOOKUP('NC HVAC Worksheet'!D78*12000,'HVAC Efficiency Tables'!$AL$22:$AN$30,3),IF(AND(U107="Heat Pumps, Air-Cooled",V107&gt;759000),"Ineligible",VLOOKUP('NC HVAC Worksheet'!D78*12000,'HVAC Efficiency Tables'!$AL$4:$AN$10,3))))</f>
        <v/>
      </c>
      <c r="X107" s="218" t="str">
        <f>U107&amp;W107</f>
        <v>0</v>
      </c>
      <c r="Y107" s="103" t="str">
        <f>Y11</f>
        <v/>
      </c>
      <c r="Z107" s="103" t="str">
        <f>Z11</f>
        <v/>
      </c>
      <c r="AC107" s="103">
        <v>1</v>
      </c>
      <c r="AD107" s="103">
        <f>'Retro HVAC Worksheet'!F78</f>
        <v>0</v>
      </c>
      <c r="AE107" s="103">
        <f>'Retro HVAC Worksheet'!D78*12000</f>
        <v>0</v>
      </c>
      <c r="AF107" s="103" t="str">
        <f>IF('Retro HVAC Worksheet'!D78="","",IF(OR(AD107="Package Terminal Air Conditioners (PTAC)",AD107="Package Terminal Heat Pump (PTHP)"),VLOOKUP('Retro HVAC Worksheet'!D78*12000,'HVAC Efficiency Tables'!$AL$22:$AN$30,3),IF(AND(AD107="Heat Pumps, Air-Cooled",AE107&gt;759000),"Ineligible",VLOOKUP('Retro HVAC Worksheet'!D78*12000,'HVAC Efficiency Tables'!$AL$4:$AN$10,3))))</f>
        <v/>
      </c>
      <c r="AG107" s="218" t="str">
        <f>AD107&amp;AF107</f>
        <v>0</v>
      </c>
      <c r="AH107" s="103" t="str">
        <f>AH11</f>
        <v/>
      </c>
      <c r="AI107" s="103" t="str">
        <f>AI11</f>
        <v/>
      </c>
    </row>
    <row r="108" spans="1:35" ht="13.5" thickBot="1">
      <c r="A108" s="3" t="s">
        <v>2830</v>
      </c>
      <c r="B108" s="3" t="s">
        <v>2837</v>
      </c>
      <c r="C108" s="3" t="s">
        <v>2817</v>
      </c>
      <c r="D108" s="3" t="s">
        <v>2585</v>
      </c>
      <c r="E108" s="1" t="str">
        <f t="shared" si="0"/>
        <v>Heat Pumps, Air-Cooled&gt;=240,000 and &lt;760,000OtherN/A</v>
      </c>
      <c r="F108" s="3"/>
      <c r="G108" s="488">
        <v>10.1</v>
      </c>
      <c r="H108" s="489" t="s">
        <v>2682</v>
      </c>
      <c r="I108" s="490" t="s">
        <v>2585</v>
      </c>
      <c r="J108" s="489"/>
      <c r="K108" s="491">
        <v>9.3000000000000007</v>
      </c>
      <c r="L108" s="488">
        <v>11.6</v>
      </c>
      <c r="M108" s="490" t="s">
        <v>2585</v>
      </c>
      <c r="N108" s="491">
        <v>9.4</v>
      </c>
      <c r="O108" s="475" t="s">
        <v>2752</v>
      </c>
      <c r="T108" s="103">
        <v>2</v>
      </c>
      <c r="U108" s="103">
        <f>'NC HVAC Worksheet'!F79</f>
        <v>0</v>
      </c>
      <c r="V108" s="103">
        <f>'NC HVAC Worksheet'!D79*12000</f>
        <v>0</v>
      </c>
      <c r="W108" s="103" t="str">
        <f>IF('NC HVAC Worksheet'!D79="","",IF(OR(U108="Package Terminal Air Conditioners (PTAC)",U108="Package Terminal Heat Pump (PTHP)"),VLOOKUP('NC HVAC Worksheet'!D79*12000,'HVAC Efficiency Tables'!$AL$22:$AN$30,3),IF(AND(U108="Heat Pumps, Air-Cooled",V108&gt;759000),"Ineligible",VLOOKUP('NC HVAC Worksheet'!D79*12000,'HVAC Efficiency Tables'!$AL$4:$AN$10,3))))</f>
        <v/>
      </c>
      <c r="X108" s="218" t="str">
        <f t="shared" ref="X108:X119" si="15">U108&amp;W108</f>
        <v>0</v>
      </c>
      <c r="Y108" s="103" t="str">
        <f>Y14</f>
        <v/>
      </c>
      <c r="Z108" s="103" t="str">
        <f>Z14</f>
        <v/>
      </c>
      <c r="AC108" s="103">
        <v>2</v>
      </c>
      <c r="AD108" s="103">
        <f>'Retro HVAC Worksheet'!F79</f>
        <v>0</v>
      </c>
      <c r="AE108" s="103">
        <f>'Retro HVAC Worksheet'!D79*12000</f>
        <v>0</v>
      </c>
      <c r="AF108" s="103" t="str">
        <f>IF('Retro HVAC Worksheet'!D79="","",IF(OR(AD108="Package Terminal Air Conditioners (PTAC)",AD108="Package Terminal Heat Pump (PTHP)"),VLOOKUP('Retro HVAC Worksheet'!D79*12000,'HVAC Efficiency Tables'!$AL$22:$AN$30,3),IF(AND(AD108="Heat Pumps, Air-Cooled",AE108&gt;759000),"Ineligible",VLOOKUP('Retro HVAC Worksheet'!D79*12000,'HVAC Efficiency Tables'!$AL$4:$AN$10,3))))</f>
        <v/>
      </c>
      <c r="AG108" s="218" t="str">
        <f t="shared" ref="AG108:AG121" si="16">AD108&amp;AF108</f>
        <v>0</v>
      </c>
      <c r="AH108" s="103" t="str">
        <f>AH14</f>
        <v/>
      </c>
      <c r="AI108" s="103" t="str">
        <f>AI14</f>
        <v/>
      </c>
    </row>
    <row r="109" spans="1:35">
      <c r="E109" s="1" t="str">
        <f t="shared" si="0"/>
        <v/>
      </c>
      <c r="F109" s="3"/>
      <c r="G109" s="22"/>
      <c r="H109" s="22"/>
      <c r="I109" s="22"/>
      <c r="J109" s="22"/>
      <c r="K109" s="22"/>
      <c r="T109" s="103">
        <v>3</v>
      </c>
      <c r="U109" s="103">
        <f>'NC HVAC Worksheet'!F80</f>
        <v>0</v>
      </c>
      <c r="V109" s="103">
        <f>'NC HVAC Worksheet'!D80*12000</f>
        <v>0</v>
      </c>
      <c r="W109" s="103" t="str">
        <f>IF('NC HVAC Worksheet'!D80="","",IF(OR(U109="Package Terminal Air Conditioners (PTAC)",U109="Package Terminal Heat Pump (PTHP)"),VLOOKUP('NC HVAC Worksheet'!D80*12000,'HVAC Efficiency Tables'!$AL$22:$AN$30,3),IF(AND(U109="Heat Pumps, Air-Cooled",V109&gt;759000),"Ineligible",VLOOKUP('NC HVAC Worksheet'!D80*12000,'HVAC Efficiency Tables'!$AL$4:$AN$10,3))))</f>
        <v/>
      </c>
      <c r="X109" s="218" t="str">
        <f t="shared" si="15"/>
        <v>0</v>
      </c>
      <c r="Y109" s="103" t="str">
        <f>Y17</f>
        <v/>
      </c>
      <c r="Z109" s="103" t="str">
        <f>Z17</f>
        <v/>
      </c>
      <c r="AC109" s="103">
        <v>3</v>
      </c>
      <c r="AD109" s="103">
        <f>'Retro HVAC Worksheet'!F80</f>
        <v>0</v>
      </c>
      <c r="AE109" s="103">
        <f>'Retro HVAC Worksheet'!D80*12000</f>
        <v>0</v>
      </c>
      <c r="AF109" s="103" t="str">
        <f>IF('Retro HVAC Worksheet'!D80="","",IF(OR(AD109="Package Terminal Air Conditioners (PTAC)",AD109="Package Terminal Heat Pump (PTHP)"),VLOOKUP('Retro HVAC Worksheet'!D80*12000,'HVAC Efficiency Tables'!$AL$22:$AN$30,3),IF(AND(AD109="Heat Pumps, Air-Cooled",AE109&gt;759000),"Ineligible",VLOOKUP('Retro HVAC Worksheet'!D80*12000,'HVAC Efficiency Tables'!$AL$4:$AN$10,3))))</f>
        <v/>
      </c>
      <c r="AG109" s="218" t="str">
        <f t="shared" si="16"/>
        <v>0</v>
      </c>
      <c r="AH109" s="103" t="str">
        <f>AH17</f>
        <v/>
      </c>
      <c r="AI109" s="103" t="str">
        <f>AI17</f>
        <v/>
      </c>
    </row>
    <row r="110" spans="1:35" ht="13.5" thickBot="1">
      <c r="F110" s="3"/>
      <c r="G110" s="22"/>
      <c r="H110" s="22"/>
      <c r="I110" s="22"/>
      <c r="J110" s="22"/>
      <c r="K110" s="22"/>
      <c r="T110" s="103">
        <v>4</v>
      </c>
      <c r="U110" s="103">
        <f>'NC HVAC Worksheet'!F81</f>
        <v>0</v>
      </c>
      <c r="V110" s="103">
        <f>'NC HVAC Worksheet'!D81*12000</f>
        <v>0</v>
      </c>
      <c r="W110" s="103" t="str">
        <f>IF('NC HVAC Worksheet'!D81="","",IF(OR(U110="Package Terminal Air Conditioners (PTAC)",U110="Package Terminal Heat Pump (PTHP)"),VLOOKUP('NC HVAC Worksheet'!D81*12000,'HVAC Efficiency Tables'!$AL$22:$AN$30,3),IF(AND(U110="Heat Pumps, Air-Cooled",V110&gt;759000),"Ineligible",VLOOKUP('NC HVAC Worksheet'!D81*12000,'HVAC Efficiency Tables'!$AL$4:$AN$10,3))))</f>
        <v/>
      </c>
      <c r="X110" s="218" t="str">
        <f t="shared" si="15"/>
        <v>0</v>
      </c>
      <c r="Y110" s="103" t="str">
        <f>Y20</f>
        <v/>
      </c>
      <c r="Z110" s="103" t="str">
        <f>Z20</f>
        <v/>
      </c>
      <c r="AC110" s="103">
        <v>4</v>
      </c>
      <c r="AD110" s="103">
        <f>'Retro HVAC Worksheet'!F81</f>
        <v>0</v>
      </c>
      <c r="AE110" s="103">
        <f>'Retro HVAC Worksheet'!D81*12000</f>
        <v>0</v>
      </c>
      <c r="AF110" s="103" t="str">
        <f>IF('Retro HVAC Worksheet'!D81="","",IF(OR(AD110="Package Terminal Air Conditioners (PTAC)",AD110="Package Terminal Heat Pump (PTHP)"),VLOOKUP('Retro HVAC Worksheet'!D81*12000,'HVAC Efficiency Tables'!$AL$22:$AN$30,3),IF(AND(AD110="Heat Pumps, Air-Cooled",AE110&gt;759000),"Ineligible",VLOOKUP('Retro HVAC Worksheet'!D81*12000,'HVAC Efficiency Tables'!$AL$4:$AN$10,3))))</f>
        <v/>
      </c>
      <c r="AG110" s="218" t="str">
        <f t="shared" si="16"/>
        <v>0</v>
      </c>
      <c r="AH110" s="103" t="str">
        <f>AH20</f>
        <v/>
      </c>
      <c r="AI110" s="103" t="str">
        <f>AI20</f>
        <v/>
      </c>
    </row>
    <row r="111" spans="1:35" ht="13.5" thickBot="1">
      <c r="F111" s="3"/>
      <c r="G111" s="938" t="s">
        <v>2682</v>
      </c>
      <c r="H111" s="941"/>
      <c r="I111" s="941"/>
      <c r="J111" s="941"/>
      <c r="K111" s="942"/>
      <c r="L111" s="938" t="s">
        <v>1041</v>
      </c>
      <c r="M111" s="941"/>
      <c r="N111" s="942"/>
      <c r="T111" s="103">
        <v>5</v>
      </c>
      <c r="U111" s="103">
        <f>'NC HVAC Worksheet'!F82</f>
        <v>0</v>
      </c>
      <c r="V111" s="103">
        <f>'NC HVAC Worksheet'!D82*12000</f>
        <v>0</v>
      </c>
      <c r="W111" s="103" t="str">
        <f>IF('NC HVAC Worksheet'!D82="","",IF(OR(U111="Package Terminal Air Conditioners (PTAC)",U111="Package Terminal Heat Pump (PTHP)"),VLOOKUP('NC HVAC Worksheet'!D82*12000,'HVAC Efficiency Tables'!$AL$22:$AN$30,3),IF(AND(U111="Heat Pumps, Air-Cooled",V111&gt;759000),"Ineligible",VLOOKUP('NC HVAC Worksheet'!D82*12000,'HVAC Efficiency Tables'!$AL$4:$AN$10,3))))</f>
        <v/>
      </c>
      <c r="X111" s="218" t="str">
        <f t="shared" si="15"/>
        <v>0</v>
      </c>
      <c r="Y111" s="103" t="str">
        <f>Y23</f>
        <v/>
      </c>
      <c r="Z111" s="103" t="str">
        <f>Z23</f>
        <v/>
      </c>
      <c r="AC111" s="103">
        <v>5</v>
      </c>
      <c r="AD111" s="103">
        <f>'Retro HVAC Worksheet'!F82</f>
        <v>0</v>
      </c>
      <c r="AE111" s="103">
        <f>'Retro HVAC Worksheet'!D82*12000</f>
        <v>0</v>
      </c>
      <c r="AF111" s="103" t="str">
        <f>IF('Retro HVAC Worksheet'!D82="","",IF(OR(AD111="Package Terminal Air Conditioners (PTAC)",AD111="Package Terminal Heat Pump (PTHP)"),VLOOKUP('Retro HVAC Worksheet'!D82*12000,'HVAC Efficiency Tables'!$AL$22:$AN$30,3),IF(AND(AD111="Heat Pumps, Air-Cooled",AE111&gt;759000),"Ineligible",VLOOKUP('Retro HVAC Worksheet'!D82*12000,'HVAC Efficiency Tables'!$AL$4:$AN$10,3))))</f>
        <v/>
      </c>
      <c r="AG111" s="218" t="str">
        <f t="shared" si="16"/>
        <v>0</v>
      </c>
      <c r="AH111" s="103" t="str">
        <f>AH23</f>
        <v/>
      </c>
      <c r="AI111" s="103" t="str">
        <f>AI23</f>
        <v/>
      </c>
    </row>
    <row r="112" spans="1:35">
      <c r="F112" s="3"/>
      <c r="G112" s="375" t="s">
        <v>2683</v>
      </c>
      <c r="H112" s="111"/>
      <c r="I112" s="111" t="s">
        <v>2684</v>
      </c>
      <c r="J112" s="111"/>
      <c r="K112" s="112" t="s">
        <v>2804</v>
      </c>
      <c r="L112" s="375" t="s">
        <v>2683</v>
      </c>
      <c r="M112" s="111" t="s">
        <v>2684</v>
      </c>
      <c r="N112" s="112" t="s">
        <v>2804</v>
      </c>
      <c r="P112" s="3" t="s">
        <v>2915</v>
      </c>
      <c r="T112" s="103">
        <v>6</v>
      </c>
      <c r="U112" s="103">
        <f>'NC HVAC Worksheet'!F83</f>
        <v>0</v>
      </c>
      <c r="V112" s="103">
        <f>'NC HVAC Worksheet'!D83*12000</f>
        <v>0</v>
      </c>
      <c r="W112" s="103" t="str">
        <f>IF('NC HVAC Worksheet'!D83="","",IF(OR(U112="Package Terminal Air Conditioners (PTAC)",U112="Package Terminal Heat Pump (PTHP)"),VLOOKUP('NC HVAC Worksheet'!D83*12000,'HVAC Efficiency Tables'!$AL$22:$AN$30,3),IF(AND(U112="Heat Pumps, Air-Cooled",V112&gt;759000),"Ineligible",VLOOKUP('NC HVAC Worksheet'!D83*12000,'HVAC Efficiency Tables'!$AL$4:$AN$10,3))))</f>
        <v/>
      </c>
      <c r="X112" s="218" t="str">
        <f t="shared" si="15"/>
        <v>0</v>
      </c>
      <c r="Y112" s="103" t="str">
        <f>Y26</f>
        <v/>
      </c>
      <c r="Z112" s="103" t="str">
        <f>Z26</f>
        <v/>
      </c>
      <c r="AC112" s="103">
        <v>6</v>
      </c>
      <c r="AD112" s="103">
        <f>'Retro HVAC Worksheet'!F83</f>
        <v>0</v>
      </c>
      <c r="AE112" s="103">
        <f>'Retro HVAC Worksheet'!D83*12000</f>
        <v>0</v>
      </c>
      <c r="AF112" s="103" t="str">
        <f>IF('Retro HVAC Worksheet'!D83="","",IF(OR(AD112="Package Terminal Air Conditioners (PTAC)",AD112="Package Terminal Heat Pump (PTHP)"),VLOOKUP('Retro HVAC Worksheet'!D83*12000,'HVAC Efficiency Tables'!$AL$22:$AN$30,3),IF(AND(AD112="Heat Pumps, Air-Cooled",AE112&gt;759000),"Ineligible",VLOOKUP('Retro HVAC Worksheet'!D83*12000,'HVAC Efficiency Tables'!$AL$4:$AN$10,3))))</f>
        <v/>
      </c>
      <c r="AG112" s="218" t="str">
        <f t="shared" si="16"/>
        <v>0</v>
      </c>
      <c r="AH112" s="103" t="str">
        <f>AH26</f>
        <v/>
      </c>
      <c r="AI112" s="103" t="str">
        <f>AI26</f>
        <v/>
      </c>
    </row>
    <row r="113" spans="1:35">
      <c r="A113" s="3" t="s">
        <v>2833</v>
      </c>
      <c r="B113" s="3" t="s">
        <v>2916</v>
      </c>
      <c r="C113" s="3" t="s">
        <v>2585</v>
      </c>
      <c r="D113" s="3" t="s">
        <v>2585</v>
      </c>
      <c r="E113" s="1" t="str">
        <f t="shared" si="0"/>
        <v>Heat Pumps, Water-Cooled&lt;17,000N/AN/A</v>
      </c>
      <c r="F113" s="3"/>
      <c r="G113" s="467">
        <v>14</v>
      </c>
      <c r="H113" s="467" t="s">
        <v>2682</v>
      </c>
      <c r="I113" s="473" t="s">
        <v>2585</v>
      </c>
      <c r="J113" s="473" t="s">
        <v>2585</v>
      </c>
      <c r="K113" s="474">
        <f>-0.02*(K47*K47)+1.12*K47</f>
        <v>11.180000000000003</v>
      </c>
      <c r="L113" s="473" t="s">
        <v>2585</v>
      </c>
      <c r="M113" s="473" t="s">
        <v>2585</v>
      </c>
      <c r="N113" s="473" t="s">
        <v>2585</v>
      </c>
      <c r="P113" s="478" t="s">
        <v>2907</v>
      </c>
      <c r="T113" s="103">
        <v>7</v>
      </c>
      <c r="U113" s="103">
        <f>'NC HVAC Worksheet'!F84</f>
        <v>0</v>
      </c>
      <c r="V113" s="103">
        <f>'NC HVAC Worksheet'!D84*12000</f>
        <v>0</v>
      </c>
      <c r="W113" s="103" t="str">
        <f>IF('NC HVAC Worksheet'!D84="","",IF(OR(U113="Package Terminal Air Conditioners (PTAC)",U113="Package Terminal Heat Pump (PTHP)"),VLOOKUP('NC HVAC Worksheet'!D84*12000,'HVAC Efficiency Tables'!$AL$22:$AN$30,3),IF(AND(U113="Heat Pumps, Air-Cooled",V113&gt;759000),"Ineligible",VLOOKUP('NC HVAC Worksheet'!D84*12000,'HVAC Efficiency Tables'!$AL$4:$AN$10,3))))</f>
        <v/>
      </c>
      <c r="X113" s="218" t="str">
        <f t="shared" si="15"/>
        <v>0</v>
      </c>
      <c r="Y113" s="103" t="str">
        <f>Y29</f>
        <v/>
      </c>
      <c r="Z113" s="103" t="str">
        <f>Z29</f>
        <v/>
      </c>
      <c r="AC113" s="103">
        <v>7</v>
      </c>
      <c r="AD113" s="103">
        <f>'Retro HVAC Worksheet'!F84</f>
        <v>0</v>
      </c>
      <c r="AE113" s="103">
        <f>'Retro HVAC Worksheet'!D84*12000</f>
        <v>0</v>
      </c>
      <c r="AF113" s="103" t="str">
        <f>IF('Retro HVAC Worksheet'!D84="","",IF(OR(AD113="Package Terminal Air Conditioners (PTAC)",AD113="Package Terminal Heat Pump (PTHP)"),VLOOKUP('Retro HVAC Worksheet'!D84*12000,'HVAC Efficiency Tables'!$AL$22:$AN$30,3),IF(AND(AD113="Heat Pumps, Air-Cooled",AE113&gt;759000),"Ineligible",VLOOKUP('Retro HVAC Worksheet'!D84*12000,'HVAC Efficiency Tables'!$AL$4:$AN$10,3))))</f>
        <v/>
      </c>
      <c r="AG113" s="218" t="str">
        <f t="shared" si="16"/>
        <v>0</v>
      </c>
      <c r="AH113" s="103" t="str">
        <f>AH29</f>
        <v/>
      </c>
      <c r="AI113" s="103" t="str">
        <f>AI29</f>
        <v/>
      </c>
    </row>
    <row r="114" spans="1:35">
      <c r="A114" s="3" t="s">
        <v>2833</v>
      </c>
      <c r="B114" s="3" t="s">
        <v>2917</v>
      </c>
      <c r="C114" s="3" t="s">
        <v>2585</v>
      </c>
      <c r="D114" s="3" t="s">
        <v>2585</v>
      </c>
      <c r="E114" s="1" t="str">
        <f t="shared" si="0"/>
        <v>Heat Pumps, Water-Cooled&gt;=17,000 and &lt;135,000N/AN/A</v>
      </c>
      <c r="F114" s="3"/>
      <c r="G114" s="467">
        <v>14</v>
      </c>
      <c r="H114" s="467" t="s">
        <v>2682</v>
      </c>
      <c r="I114" s="473" t="s">
        <v>2585</v>
      </c>
      <c r="J114" s="473" t="s">
        <v>2585</v>
      </c>
      <c r="K114" s="474">
        <v>11.18</v>
      </c>
      <c r="L114" s="473" t="s">
        <v>2585</v>
      </c>
      <c r="M114" s="473" t="s">
        <v>2585</v>
      </c>
      <c r="N114" s="473" t="s">
        <v>2585</v>
      </c>
      <c r="P114" s="478" t="s">
        <v>2908</v>
      </c>
      <c r="T114" s="103">
        <v>8</v>
      </c>
      <c r="U114" s="103">
        <f>'NC HVAC Worksheet'!F85</f>
        <v>0</v>
      </c>
      <c r="V114" s="103">
        <f>'NC HVAC Worksheet'!D85*12000</f>
        <v>0</v>
      </c>
      <c r="W114" s="103" t="str">
        <f>IF('NC HVAC Worksheet'!D85="","",IF(OR(U114="Package Terminal Air Conditioners (PTAC)",U114="Package Terminal Heat Pump (PTHP)"),VLOOKUP('NC HVAC Worksheet'!D85*12000,'HVAC Efficiency Tables'!$AL$22:$AN$30,3),IF(AND(U114="Heat Pumps, Air-Cooled",V114&gt;759000),"Ineligible",VLOOKUP('NC HVAC Worksheet'!D85*12000,'HVAC Efficiency Tables'!$AL$4:$AN$10,3))))</f>
        <v/>
      </c>
      <c r="X114" s="218" t="str">
        <f t="shared" si="15"/>
        <v>0</v>
      </c>
      <c r="Y114" s="103" t="str">
        <f>Y32</f>
        <v/>
      </c>
      <c r="Z114" s="103" t="str">
        <f>Z32</f>
        <v/>
      </c>
      <c r="AC114" s="103">
        <v>8</v>
      </c>
      <c r="AD114" s="103">
        <f>'Retro HVAC Worksheet'!F85</f>
        <v>0</v>
      </c>
      <c r="AE114" s="103">
        <f>'Retro HVAC Worksheet'!D85*12000</f>
        <v>0</v>
      </c>
      <c r="AF114" s="103" t="str">
        <f>IF('Retro HVAC Worksheet'!D85="","",IF(OR(AD114="Package Terminal Air Conditioners (PTAC)",AD114="Package Terminal Heat Pump (PTHP)"),VLOOKUP('Retro HVAC Worksheet'!D85*12000,'HVAC Efficiency Tables'!$AL$22:$AN$30,3),IF(AND(AD114="Heat Pumps, Air-Cooled",AE114&gt;759000),"Ineligible",VLOOKUP('Retro HVAC Worksheet'!D85*12000,'HVAC Efficiency Tables'!$AL$4:$AN$10,3))))</f>
        <v/>
      </c>
      <c r="AG114" s="218" t="str">
        <f t="shared" si="16"/>
        <v>0</v>
      </c>
      <c r="AH114" s="103" t="str">
        <f>AH32</f>
        <v/>
      </c>
      <c r="AI114" s="103" t="str">
        <f>AI32</f>
        <v/>
      </c>
    </row>
    <row r="115" spans="1:35">
      <c r="E115" s="1" t="str">
        <f t="shared" si="0"/>
        <v/>
      </c>
      <c r="F115" s="3"/>
      <c r="G115" s="22"/>
      <c r="H115" s="22"/>
      <c r="I115" s="22"/>
      <c r="J115" s="22"/>
      <c r="K115" s="22"/>
      <c r="T115" s="103">
        <v>9</v>
      </c>
      <c r="U115" s="103">
        <f>'NC HVAC Worksheet'!F86</f>
        <v>0</v>
      </c>
      <c r="V115" s="103">
        <f>'NC HVAC Worksheet'!D86*12000</f>
        <v>0</v>
      </c>
      <c r="W115" s="103" t="str">
        <f>IF('NC HVAC Worksheet'!D86="","",IF(OR(U115="Package Terminal Air Conditioners (PTAC)",U115="Package Terminal Heat Pump (PTHP)"),VLOOKUP('NC HVAC Worksheet'!D86*12000,'HVAC Efficiency Tables'!$AL$22:$AN$30,3),IF(AND(U115="Heat Pumps, Air-Cooled",V115&gt;759000),"Ineligible",VLOOKUP('NC HVAC Worksheet'!D86*12000,'HVAC Efficiency Tables'!$AL$4:$AN$10,3))))</f>
        <v/>
      </c>
      <c r="X115" s="218" t="str">
        <f t="shared" si="15"/>
        <v>0</v>
      </c>
      <c r="Y115" s="103" t="str">
        <f>Y35</f>
        <v/>
      </c>
      <c r="Z115" s="103" t="str">
        <f>Z35</f>
        <v/>
      </c>
      <c r="AC115" s="103">
        <v>9</v>
      </c>
      <c r="AD115" s="103">
        <f>'Retro HVAC Worksheet'!F86</f>
        <v>0</v>
      </c>
      <c r="AE115" s="103">
        <f>'Retro HVAC Worksheet'!D86*12000</f>
        <v>0</v>
      </c>
      <c r="AF115" s="103" t="str">
        <f>IF('Retro HVAC Worksheet'!D86="","",IF(OR(AD115="Package Terminal Air Conditioners (PTAC)",AD115="Package Terminal Heat Pump (PTHP)"),VLOOKUP('Retro HVAC Worksheet'!D86*12000,'HVAC Efficiency Tables'!$AL$22:$AN$30,3),IF(AND(AD115="Heat Pumps, Air-Cooled",AE115&gt;759000),"Ineligible",VLOOKUP('Retro HVAC Worksheet'!D86*12000,'HVAC Efficiency Tables'!$AL$4:$AN$10,3))))</f>
        <v/>
      </c>
      <c r="AG115" s="218" t="str">
        <f t="shared" si="16"/>
        <v>0</v>
      </c>
      <c r="AH115" s="103" t="str">
        <f>AH35</f>
        <v/>
      </c>
      <c r="AI115" s="103" t="str">
        <f>AI35</f>
        <v/>
      </c>
    </row>
    <row r="116" spans="1:35" ht="13.5" thickBot="1">
      <c r="B116" s="3"/>
      <c r="C116" s="3"/>
      <c r="D116" s="3"/>
      <c r="F116" s="3"/>
      <c r="G116" s="22"/>
      <c r="H116" s="22"/>
      <c r="I116" s="462"/>
      <c r="J116" s="22"/>
      <c r="K116" s="22"/>
      <c r="T116" s="103">
        <v>10</v>
      </c>
      <c r="U116" s="103">
        <f>'NC HVAC Worksheet'!F87</f>
        <v>0</v>
      </c>
      <c r="V116" s="103">
        <f>'NC HVAC Worksheet'!D87*12000</f>
        <v>0</v>
      </c>
      <c r="W116" s="103" t="str">
        <f>IF('NC HVAC Worksheet'!D87="","",IF(OR(U116="Package Terminal Air Conditioners (PTAC)",U116="Package Terminal Heat Pump (PTHP)"),VLOOKUP('NC HVAC Worksheet'!D87*12000,'HVAC Efficiency Tables'!$AL$22:$AN$30,3),IF(AND(U116="Heat Pumps, Air-Cooled",V116&gt;759000),"Ineligible",VLOOKUP('NC HVAC Worksheet'!D87*12000,'HVAC Efficiency Tables'!$AL$4:$AN$10,3))))</f>
        <v/>
      </c>
      <c r="X116" s="218" t="str">
        <f t="shared" si="15"/>
        <v>0</v>
      </c>
      <c r="Y116" s="103" t="str">
        <f>Y38</f>
        <v/>
      </c>
      <c r="Z116" s="103" t="str">
        <f>Z38</f>
        <v/>
      </c>
      <c r="AC116" s="103">
        <v>10</v>
      </c>
      <c r="AD116" s="103">
        <f>'Retro HVAC Worksheet'!F87</f>
        <v>0</v>
      </c>
      <c r="AE116" s="103">
        <f>'Retro HVAC Worksheet'!D87*12000</f>
        <v>0</v>
      </c>
      <c r="AF116" s="103" t="str">
        <f>IF('Retro HVAC Worksheet'!D87="","",IF(OR(AD116="Package Terminal Air Conditioners (PTAC)",AD116="Package Terminal Heat Pump (PTHP)"),VLOOKUP('Retro HVAC Worksheet'!D87*12000,'HVAC Efficiency Tables'!$AL$22:$AN$30,3),IF(AND(AD116="Heat Pumps, Air-Cooled",AE116&gt;759000),"Ineligible",VLOOKUP('Retro HVAC Worksheet'!D87*12000,'HVAC Efficiency Tables'!$AL$4:$AN$10,3))))</f>
        <v/>
      </c>
      <c r="AG116" s="218" t="str">
        <f t="shared" si="16"/>
        <v>0</v>
      </c>
      <c r="AH116" s="103" t="str">
        <f>AH38</f>
        <v/>
      </c>
      <c r="AI116" s="103" t="str">
        <f>AI38</f>
        <v/>
      </c>
    </row>
    <row r="117" spans="1:35" ht="13.5" thickBot="1">
      <c r="B117" s="378"/>
      <c r="C117" s="3"/>
      <c r="D117" s="3"/>
      <c r="F117" s="3"/>
      <c r="G117" s="938" t="s">
        <v>2715</v>
      </c>
      <c r="H117" s="941"/>
      <c r="I117" s="941"/>
      <c r="J117" s="941"/>
      <c r="K117" s="942"/>
      <c r="L117" s="938" t="s">
        <v>2752</v>
      </c>
      <c r="M117" s="941"/>
      <c r="N117" s="942"/>
      <c r="T117" s="103">
        <v>11</v>
      </c>
      <c r="U117" s="103">
        <f>'NC HVAC Worksheet'!F88</f>
        <v>0</v>
      </c>
      <c r="V117" s="103">
        <f>'NC HVAC Worksheet'!D88*12000</f>
        <v>0</v>
      </c>
      <c r="W117" s="103" t="str">
        <f>IF('NC HVAC Worksheet'!D88="","",IF(OR(U117="Package Terminal Air Conditioners (PTAC)",U117="Package Terminal Heat Pump (PTHP)"),VLOOKUP('NC HVAC Worksheet'!D88*12000,'HVAC Efficiency Tables'!$AL$22:$AN$30,3),IF(AND(U117="Heat Pumps, Air-Cooled",V117&gt;759000),"Ineligible",VLOOKUP('NC HVAC Worksheet'!D88*12000,'HVAC Efficiency Tables'!$AL$4:$AN$10,3))))</f>
        <v/>
      </c>
      <c r="X117" s="218" t="str">
        <f t="shared" si="15"/>
        <v>0</v>
      </c>
      <c r="Y117" s="103" t="str">
        <f>Y41</f>
        <v/>
      </c>
      <c r="Z117" s="103" t="str">
        <f>Z41</f>
        <v/>
      </c>
      <c r="AC117" s="103">
        <v>11</v>
      </c>
      <c r="AD117" s="103">
        <f>'Retro HVAC Worksheet'!F88</f>
        <v>0</v>
      </c>
      <c r="AE117" s="103">
        <f>'Retro HVAC Worksheet'!D88*12000</f>
        <v>0</v>
      </c>
      <c r="AF117" s="103" t="str">
        <f>IF('Retro HVAC Worksheet'!D88="","",IF(OR(AD117="Package Terminal Air Conditioners (PTAC)",AD117="Package Terminal Heat Pump (PTHP)"),VLOOKUP('Retro HVAC Worksheet'!D88*12000,'HVAC Efficiency Tables'!$AL$22:$AN$30,3),IF(AND(AD117="Heat Pumps, Air-Cooled",AE117&gt;759000),"Ineligible",VLOOKUP('Retro HVAC Worksheet'!D88*12000,'HVAC Efficiency Tables'!$AL$4:$AN$10,3))))</f>
        <v/>
      </c>
      <c r="AG117" s="218" t="str">
        <f t="shared" si="16"/>
        <v>0</v>
      </c>
      <c r="AH117" s="103" t="str">
        <f>AH41</f>
        <v/>
      </c>
      <c r="AI117" s="103" t="str">
        <f>AI41</f>
        <v/>
      </c>
    </row>
    <row r="118" spans="1:35" ht="13.5" thickBot="1">
      <c r="E118" s="1" t="str">
        <f t="shared" ref="E118:E149" si="17">IF(A118="","",A118&amp;B118&amp;C118&amp;D118)</f>
        <v/>
      </c>
      <c r="F118" s="3"/>
      <c r="G118" s="375" t="s">
        <v>2683</v>
      </c>
      <c r="H118" s="111"/>
      <c r="I118" s="111" t="s">
        <v>2684</v>
      </c>
      <c r="J118" s="111"/>
      <c r="K118" s="112" t="s">
        <v>2804</v>
      </c>
      <c r="L118" s="375" t="s">
        <v>2683</v>
      </c>
      <c r="M118" s="111" t="s">
        <v>2684</v>
      </c>
      <c r="N118" s="112" t="s">
        <v>2804</v>
      </c>
      <c r="P118" s="1" t="s">
        <v>2918</v>
      </c>
      <c r="T118" s="103">
        <v>12</v>
      </c>
      <c r="U118" s="103">
        <f>'NC HVAC Worksheet'!F89</f>
        <v>0</v>
      </c>
      <c r="V118" s="103">
        <f>'NC HVAC Worksheet'!D89*12000</f>
        <v>0</v>
      </c>
      <c r="W118" s="103" t="str">
        <f>IF('NC HVAC Worksheet'!D89="","",IF(OR(U118="Package Terminal Air Conditioners (PTAC)",U118="Package Terminal Heat Pump (PTHP)"),VLOOKUP('NC HVAC Worksheet'!D89*12000,'HVAC Efficiency Tables'!$AL$22:$AN$30,3),IF(AND(U118="Heat Pumps, Air-Cooled",V118&gt;759000),"Ineligible",VLOOKUP('NC HVAC Worksheet'!D89*12000,'HVAC Efficiency Tables'!$AL$4:$AN$10,3))))</f>
        <v/>
      </c>
      <c r="X118" s="218" t="str">
        <f t="shared" si="15"/>
        <v>0</v>
      </c>
      <c r="Y118" s="103" t="str">
        <f>Y44</f>
        <v/>
      </c>
      <c r="Z118" s="103" t="str">
        <f>Z44</f>
        <v/>
      </c>
      <c r="AC118" s="103">
        <v>12</v>
      </c>
      <c r="AD118" s="103">
        <f>'Retro HVAC Worksheet'!F89</f>
        <v>0</v>
      </c>
      <c r="AE118" s="103">
        <f>'Retro HVAC Worksheet'!D89*12000</f>
        <v>0</v>
      </c>
      <c r="AF118" s="103" t="str">
        <f>IF('Retro HVAC Worksheet'!D89="","",IF(OR(AD118="Package Terminal Air Conditioners (PTAC)",AD118="Package Terminal Heat Pump (PTHP)"),VLOOKUP('Retro HVAC Worksheet'!D89*12000,'HVAC Efficiency Tables'!$AL$22:$AN$30,3),IF(AND(AD118="Heat Pumps, Air-Cooled",AE118&gt;759000),"Ineligible",VLOOKUP('Retro HVAC Worksheet'!D89*12000,'HVAC Efficiency Tables'!$AL$4:$AN$10,3))))</f>
        <v/>
      </c>
      <c r="AG118" s="218" t="str">
        <f t="shared" si="16"/>
        <v>0</v>
      </c>
      <c r="AH118" s="103" t="str">
        <f>AH44</f>
        <v/>
      </c>
      <c r="AI118" s="103" t="str">
        <f>AI44</f>
        <v/>
      </c>
    </row>
    <row r="119" spans="1:35">
      <c r="A119" s="3" t="s">
        <v>2919</v>
      </c>
      <c r="B119" s="378" t="s">
        <v>2820</v>
      </c>
      <c r="C119" s="3" t="s">
        <v>2585</v>
      </c>
      <c r="D119" s="3" t="s">
        <v>2920</v>
      </c>
      <c r="E119" s="1" t="str">
        <f t="shared" si="17"/>
        <v>Heat Pump VRF, Air Cooled&lt;65,000N/AMultiSplit System</v>
      </c>
      <c r="F119" s="3"/>
      <c r="G119" s="492">
        <v>15</v>
      </c>
      <c r="H119" s="481" t="s">
        <v>2681</v>
      </c>
      <c r="I119" s="481">
        <v>16</v>
      </c>
      <c r="J119" s="481" t="s">
        <v>2681</v>
      </c>
      <c r="K119" s="493">
        <v>13</v>
      </c>
      <c r="L119" s="494">
        <v>12.5</v>
      </c>
      <c r="M119" s="481">
        <v>13</v>
      </c>
      <c r="N119" s="495">
        <v>11.2</v>
      </c>
      <c r="O119" s="1" t="s">
        <v>2682</v>
      </c>
      <c r="P119" s="478" t="s">
        <v>2907</v>
      </c>
      <c r="T119" s="103">
        <v>13</v>
      </c>
      <c r="U119" s="103">
        <f>'NC HVAC Worksheet'!F90</f>
        <v>0</v>
      </c>
      <c r="V119" s="103">
        <f>'NC HVAC Worksheet'!D90*12000</f>
        <v>0</v>
      </c>
      <c r="W119" s="103" t="str">
        <f>IF('NC HVAC Worksheet'!D90="","",IF(OR(U119="Package Terminal Air Conditioners (PTAC)",U119="Package Terminal Heat Pump (PTHP)"),VLOOKUP('NC HVAC Worksheet'!D90*12000,'HVAC Efficiency Tables'!$AL$22:$AN$30,3),IF(AND(U119="Heat Pumps, Air-Cooled",V119&gt;759000),"Ineligible",VLOOKUP('NC HVAC Worksheet'!D90*12000,'HVAC Efficiency Tables'!$AL$4:$AN$10,3))))</f>
        <v/>
      </c>
      <c r="X119" s="218" t="str">
        <f t="shared" si="15"/>
        <v>0</v>
      </c>
      <c r="Y119" s="103" t="str">
        <f>Y47</f>
        <v/>
      </c>
      <c r="Z119" s="103" t="str">
        <f>Z47</f>
        <v/>
      </c>
      <c r="AC119" s="103">
        <v>13</v>
      </c>
      <c r="AD119" s="103">
        <f>'Retro HVAC Worksheet'!F90</f>
        <v>0</v>
      </c>
      <c r="AE119" s="103">
        <f>'Retro HVAC Worksheet'!D90*12000</f>
        <v>0</v>
      </c>
      <c r="AF119" s="103" t="str">
        <f>IF('Retro HVAC Worksheet'!D90="","",IF(OR(AD119="Package Terminal Air Conditioners (PTAC)",AD119="Package Terminal Heat Pump (PTHP)"),VLOOKUP('Retro HVAC Worksheet'!D90*12000,'HVAC Efficiency Tables'!$AL$22:$AN$30,3),IF(AND(AD119="Heat Pumps, Air-Cooled",AE119&gt;759000),"Ineligible",VLOOKUP('Retro HVAC Worksheet'!D90*12000,'HVAC Efficiency Tables'!$AL$4:$AN$10,3))))</f>
        <v/>
      </c>
      <c r="AG119" s="218" t="str">
        <f t="shared" si="16"/>
        <v>0</v>
      </c>
      <c r="AH119" s="103" t="str">
        <f>AH47</f>
        <v/>
      </c>
      <c r="AI119" s="103" t="str">
        <f>AI47</f>
        <v/>
      </c>
    </row>
    <row r="120" spans="1:35">
      <c r="A120" s="3" t="s">
        <v>2919</v>
      </c>
      <c r="B120" s="378" t="s">
        <v>2820</v>
      </c>
      <c r="C120" s="3" t="s">
        <v>2585</v>
      </c>
      <c r="D120" s="3" t="s">
        <v>2921</v>
      </c>
      <c r="E120" s="1" t="str">
        <f t="shared" si="17"/>
        <v>Heat Pump VRF, Air Cooled&lt;65,000N/AMultiSplit System w/Heat Recovery</v>
      </c>
      <c r="F120" s="3"/>
      <c r="G120" s="465">
        <v>15</v>
      </c>
      <c r="H120" s="466" t="s">
        <v>2681</v>
      </c>
      <c r="I120" s="466">
        <v>16</v>
      </c>
      <c r="J120" s="466" t="s">
        <v>2681</v>
      </c>
      <c r="K120" s="496">
        <v>13</v>
      </c>
      <c r="L120" s="469">
        <v>12.5</v>
      </c>
      <c r="M120" s="466">
        <v>13</v>
      </c>
      <c r="N120" s="477">
        <v>11.2</v>
      </c>
      <c r="O120" s="1" t="s">
        <v>2682</v>
      </c>
      <c r="P120" s="478" t="s">
        <v>2914</v>
      </c>
      <c r="T120" s="103">
        <v>14</v>
      </c>
      <c r="U120" s="103">
        <f>'NC HVAC Worksheet'!F91</f>
        <v>0</v>
      </c>
      <c r="V120" s="103">
        <f>'NC HVAC Worksheet'!D91*12000</f>
        <v>0</v>
      </c>
      <c r="W120" s="103" t="str">
        <f>IF('NC HVAC Worksheet'!D91="","",IF(OR(U120="Package Terminal Air Conditioners (PTAC)",U120="Package Terminal Heat Pump (PTHP)"),VLOOKUP('NC HVAC Worksheet'!D91*12000,'HVAC Efficiency Tables'!$AL$22:$AN$30,3),IF(AND(U120="Heat Pumps, Air-Cooled",V120&gt;759000),"Ineligible",VLOOKUP('NC HVAC Worksheet'!D91*12000,'HVAC Efficiency Tables'!$AL$4:$AN$10,3))))</f>
        <v/>
      </c>
      <c r="X120" s="218" t="str">
        <f t="shared" ref="X120:X121" si="18">U120&amp;W120</f>
        <v>0</v>
      </c>
      <c r="Y120" s="103" t="str">
        <f>Y50</f>
        <v/>
      </c>
      <c r="Z120" s="103" t="str">
        <f>Z50</f>
        <v/>
      </c>
      <c r="AC120" s="103">
        <v>14</v>
      </c>
      <c r="AD120" s="103">
        <f>'Retro HVAC Worksheet'!F91</f>
        <v>0</v>
      </c>
      <c r="AE120" s="103">
        <f>'Retro HVAC Worksheet'!D91*12000</f>
        <v>0</v>
      </c>
      <c r="AF120" s="103" t="str">
        <f>IF('Retro HVAC Worksheet'!D91="","",IF(OR(AD120="Package Terminal Air Conditioners (PTAC)",AD120="Package Terminal Heat Pump (PTHP)"),VLOOKUP('Retro HVAC Worksheet'!D91*12000,'HVAC Efficiency Tables'!$AL$22:$AN$30,3),IF(AND(AD120="Heat Pumps, Air-Cooled",AE120&gt;759000),"Ineligible",VLOOKUP('Retro HVAC Worksheet'!D91*12000,'HVAC Efficiency Tables'!$AL$4:$AN$10,3))))</f>
        <v/>
      </c>
      <c r="AG120" s="218" t="str">
        <f t="shared" si="16"/>
        <v>0</v>
      </c>
      <c r="AH120" s="103" t="str">
        <f>AH50</f>
        <v/>
      </c>
      <c r="AI120" s="103" t="str">
        <f>AI50</f>
        <v/>
      </c>
    </row>
    <row r="121" spans="1:35">
      <c r="A121" s="3" t="s">
        <v>2919</v>
      </c>
      <c r="B121" s="3" t="s">
        <v>2828</v>
      </c>
      <c r="C121" s="3" t="s">
        <v>2816</v>
      </c>
      <c r="D121" s="3" t="s">
        <v>2920</v>
      </c>
      <c r="E121" s="1" t="str">
        <f t="shared" si="17"/>
        <v>Heat Pump VRF, Air Cooled&gt;=65,000 and &lt;135,000Electric (or none)MultiSplit System</v>
      </c>
      <c r="F121" s="3"/>
      <c r="G121" s="485">
        <v>11.3</v>
      </c>
      <c r="H121" s="466" t="s">
        <v>2682</v>
      </c>
      <c r="I121" s="473" t="s">
        <v>2585</v>
      </c>
      <c r="J121" s="466"/>
      <c r="K121" s="476">
        <v>11.2</v>
      </c>
      <c r="L121" s="497">
        <v>14.2</v>
      </c>
      <c r="M121" s="473" t="s">
        <v>2585</v>
      </c>
      <c r="N121" s="498">
        <v>12.8</v>
      </c>
      <c r="O121" s="1" t="s">
        <v>2752</v>
      </c>
      <c r="T121" s="103">
        <v>15</v>
      </c>
      <c r="U121" s="103">
        <f>'NC HVAC Worksheet'!F92</f>
        <v>0</v>
      </c>
      <c r="V121" s="103">
        <f>'NC HVAC Worksheet'!D92*12000</f>
        <v>0</v>
      </c>
      <c r="W121" s="103" t="str">
        <f>IF('NC HVAC Worksheet'!D92="","",IF(OR(U121="Package Terminal Air Conditioners (PTAC)",U121="Package Terminal Heat Pump (PTHP)"),VLOOKUP('NC HVAC Worksheet'!D92*12000,'HVAC Efficiency Tables'!$AL$22:$AN$30,3),IF(AND(U121="Heat Pumps, Air-Cooled",V121&gt;759000),"Ineligible",VLOOKUP('NC HVAC Worksheet'!D92*12000,'HVAC Efficiency Tables'!$AL$4:$AN$10,3))))</f>
        <v/>
      </c>
      <c r="X121" s="218" t="str">
        <f t="shared" si="18"/>
        <v>0</v>
      </c>
      <c r="Y121" s="103" t="str">
        <f>Y53</f>
        <v/>
      </c>
      <c r="Z121" s="103" t="str">
        <f>Z53</f>
        <v/>
      </c>
      <c r="AC121" s="103">
        <v>15</v>
      </c>
      <c r="AD121" s="103">
        <f>'Retro HVAC Worksheet'!F92</f>
        <v>0</v>
      </c>
      <c r="AE121" s="103">
        <f>'Retro HVAC Worksheet'!D92*12000</f>
        <v>0</v>
      </c>
      <c r="AF121" s="103" t="str">
        <f>IF('Retro HVAC Worksheet'!D92="","",IF(OR(AD121="Package Terminal Air Conditioners (PTAC)",AD121="Package Terminal Heat Pump (PTHP)"),VLOOKUP('Retro HVAC Worksheet'!D92*12000,'HVAC Efficiency Tables'!$AL$22:$AN$30,3),IF(AND(AD121="Heat Pumps, Air-Cooled",AE121&gt;759000),"Ineligible",VLOOKUP('Retro HVAC Worksheet'!D92*12000,'HVAC Efficiency Tables'!$AL$4:$AN$10,3))))</f>
        <v/>
      </c>
      <c r="AG121" s="218" t="str">
        <f t="shared" si="16"/>
        <v>0</v>
      </c>
      <c r="AH121" s="103" t="str">
        <f>AH53</f>
        <v/>
      </c>
      <c r="AI121" s="103" t="str">
        <f>AI53</f>
        <v/>
      </c>
    </row>
    <row r="122" spans="1:35">
      <c r="A122" s="3" t="s">
        <v>2919</v>
      </c>
      <c r="B122" s="3" t="s">
        <v>2828</v>
      </c>
      <c r="C122" s="3" t="s">
        <v>2816</v>
      </c>
      <c r="D122" s="3" t="s">
        <v>2921</v>
      </c>
      <c r="E122" s="1" t="str">
        <f t="shared" si="17"/>
        <v>Heat Pump VRF, Air Cooled&gt;=65,000 and &lt;135,000Electric (or none)MultiSplit System w/Heat Recovery</v>
      </c>
      <c r="F122" s="3"/>
      <c r="G122" s="485">
        <v>11.1</v>
      </c>
      <c r="H122" s="467" t="s">
        <v>2682</v>
      </c>
      <c r="I122" s="473" t="s">
        <v>2585</v>
      </c>
      <c r="J122" s="467"/>
      <c r="K122" s="476">
        <v>11.2</v>
      </c>
      <c r="L122" s="497">
        <v>14</v>
      </c>
      <c r="M122" s="473" t="s">
        <v>2585</v>
      </c>
      <c r="N122" s="498">
        <v>12.8</v>
      </c>
      <c r="O122" s="1" t="s">
        <v>2752</v>
      </c>
    </row>
    <row r="123" spans="1:35">
      <c r="A123" s="3" t="s">
        <v>2919</v>
      </c>
      <c r="B123" s="3" t="s">
        <v>2828</v>
      </c>
      <c r="C123" s="3" t="s">
        <v>2817</v>
      </c>
      <c r="D123" s="3" t="s">
        <v>2920</v>
      </c>
      <c r="E123" s="1" t="str">
        <f t="shared" si="17"/>
        <v>Heat Pump VRF, Air Cooled&gt;=65,000 and &lt;135,000OtherMultiSplit System</v>
      </c>
      <c r="F123" s="3"/>
      <c r="G123" s="465" t="s">
        <v>2585</v>
      </c>
      <c r="H123" s="467"/>
      <c r="I123" s="473" t="s">
        <v>2585</v>
      </c>
      <c r="J123" s="467"/>
      <c r="K123" s="499" t="s">
        <v>2585</v>
      </c>
      <c r="L123" s="500" t="s">
        <v>2585</v>
      </c>
      <c r="M123" s="473" t="s">
        <v>2585</v>
      </c>
      <c r="N123" s="499" t="s">
        <v>2585</v>
      </c>
      <c r="T123" s="226" t="s">
        <v>2904</v>
      </c>
      <c r="V123" s="1"/>
      <c r="W123" s="1"/>
    </row>
    <row r="124" spans="1:35">
      <c r="A124" s="3" t="s">
        <v>2919</v>
      </c>
      <c r="B124" s="3" t="s">
        <v>2828</v>
      </c>
      <c r="C124" s="3" t="s">
        <v>2817</v>
      </c>
      <c r="D124" s="3" t="s">
        <v>2921</v>
      </c>
      <c r="E124" s="1" t="str">
        <f t="shared" si="17"/>
        <v>Heat Pump VRF, Air Cooled&gt;=65,000 and &lt;135,000OtherMultiSplit System w/Heat Recovery</v>
      </c>
      <c r="F124" s="3"/>
      <c r="G124" s="465" t="s">
        <v>2585</v>
      </c>
      <c r="H124" s="467"/>
      <c r="I124" s="473" t="s">
        <v>2585</v>
      </c>
      <c r="J124" s="467"/>
      <c r="K124" s="499" t="s">
        <v>2585</v>
      </c>
      <c r="L124" s="500" t="s">
        <v>2585</v>
      </c>
      <c r="M124" s="473" t="s">
        <v>2585</v>
      </c>
      <c r="N124" s="499" t="s">
        <v>2585</v>
      </c>
      <c r="T124" s="103">
        <v>1</v>
      </c>
      <c r="U124" s="103">
        <f>'NC HVAC Worksheet'!F97</f>
        <v>0</v>
      </c>
      <c r="V124" s="103">
        <f>'NC HVAC Worksheet'!D97*12000</f>
        <v>0</v>
      </c>
      <c r="W124" s="103" t="str">
        <f>IF('NC HVAC Worksheet'!D97="","",IF(AND(U124="Heat Pumps, Water-Cooled",V124&lt;17000),"&lt;17,000",IF(AND(U124="Heat Pumps, Water-Cooled",V124&gt;16999,V124&lt;135000),"&gt;=17,000 and &lt;135,000",IF(AND(U124="Heat Pumps, Water-Cooled",V124&gt;134999),"Ineligible",VLOOKUP('NC HVAC Worksheet'!D97*12000,'HVAC Efficiency Tables'!$AL$4:$AN$10,3)))))</f>
        <v/>
      </c>
      <c r="X124" s="218" t="str">
        <f>U124&amp;W124</f>
        <v>0</v>
      </c>
      <c r="Y124" s="103" t="str">
        <f>Y58</f>
        <v/>
      </c>
      <c r="Z124" s="103" t="str">
        <f>Z58</f>
        <v/>
      </c>
    </row>
    <row r="125" spans="1:35">
      <c r="A125" s="3" t="s">
        <v>2919</v>
      </c>
      <c r="B125" s="3" t="s">
        <v>2831</v>
      </c>
      <c r="C125" s="3" t="s">
        <v>2816</v>
      </c>
      <c r="D125" s="3" t="s">
        <v>2920</v>
      </c>
      <c r="E125" s="1" t="str">
        <f t="shared" si="17"/>
        <v>Heat Pump VRF, Air Cooled&gt;=135,000 and &lt;240,000Electric (or none)MultiSplit System</v>
      </c>
      <c r="F125" s="3"/>
      <c r="G125" s="485">
        <v>10.9</v>
      </c>
      <c r="H125" s="467" t="s">
        <v>2682</v>
      </c>
      <c r="I125" s="473" t="s">
        <v>2585</v>
      </c>
      <c r="J125" s="467"/>
      <c r="K125" s="476">
        <v>11</v>
      </c>
      <c r="L125" s="497">
        <v>13.7</v>
      </c>
      <c r="M125" s="473" t="s">
        <v>2585</v>
      </c>
      <c r="N125" s="498">
        <v>12.4</v>
      </c>
      <c r="O125" s="1" t="s">
        <v>2752</v>
      </c>
      <c r="T125" s="103">
        <v>2</v>
      </c>
      <c r="U125" s="103">
        <f>'NC HVAC Worksheet'!F98</f>
        <v>0</v>
      </c>
      <c r="V125" s="103">
        <f>'NC HVAC Worksheet'!D98*12000</f>
        <v>0</v>
      </c>
      <c r="W125" s="103" t="str">
        <f>IF('NC HVAC Worksheet'!D98="","",IF(AND(U125="Heat Pumps, Water-Cooled",V125&lt;17000),"&lt;17,000",IF(AND(U125="Heat Pumps, Water-Cooled",V125&gt;16999,V125&lt;135000),"&gt;=17,000 and &lt;135,000",IF(AND(U125="Heat Pumps, Water-Cooled",V125&gt;134999),"Ineligible",VLOOKUP('NC HVAC Worksheet'!D98*12000,'HVAC Efficiency Tables'!$AL$4:$AN$10,3)))))</f>
        <v/>
      </c>
      <c r="X125" s="218" t="str">
        <f t="shared" ref="X125:X133" si="19">U125&amp;W125</f>
        <v>0</v>
      </c>
      <c r="Y125" s="103" t="str">
        <f>Y61</f>
        <v/>
      </c>
      <c r="Z125" s="103" t="str">
        <f>Z61</f>
        <v/>
      </c>
    </row>
    <row r="126" spans="1:35">
      <c r="A126" s="3" t="s">
        <v>2919</v>
      </c>
      <c r="B126" s="3" t="s">
        <v>2831</v>
      </c>
      <c r="C126" s="3" t="s">
        <v>2816</v>
      </c>
      <c r="D126" s="3" t="s">
        <v>2921</v>
      </c>
      <c r="E126" s="1" t="str">
        <f t="shared" si="17"/>
        <v>Heat Pump VRF, Air Cooled&gt;=135,000 and &lt;240,000Electric (or none)MultiSplit System w/Heat Recovery</v>
      </c>
      <c r="F126" s="3"/>
      <c r="G126" s="485">
        <v>10.7</v>
      </c>
      <c r="H126" s="467" t="s">
        <v>2682</v>
      </c>
      <c r="I126" s="473" t="s">
        <v>2585</v>
      </c>
      <c r="J126" s="467"/>
      <c r="K126" s="476">
        <v>11</v>
      </c>
      <c r="L126" s="497">
        <v>13.5</v>
      </c>
      <c r="M126" s="473" t="s">
        <v>2585</v>
      </c>
      <c r="N126" s="498">
        <v>12.4</v>
      </c>
      <c r="O126" s="1" t="s">
        <v>2752</v>
      </c>
      <c r="T126" s="103">
        <v>3</v>
      </c>
      <c r="U126" s="103">
        <f>'NC HVAC Worksheet'!F99</f>
        <v>0</v>
      </c>
      <c r="V126" s="103">
        <f>'NC HVAC Worksheet'!D99*12000</f>
        <v>0</v>
      </c>
      <c r="W126" s="103" t="str">
        <f>IF('NC HVAC Worksheet'!D99="","",IF(AND(U126="Heat Pumps, Water-Cooled",V126&lt;17000),"&lt;17,000",IF(AND(U126="Heat Pumps, Water-Cooled",V126&gt;16999,V126&lt;135000),"&gt;=17,000 and &lt;135,000",IF(AND(U126="Heat Pumps, Water-Cooled",V126&gt;134999),"Ineligible",VLOOKUP('NC HVAC Worksheet'!D99*12000,'HVAC Efficiency Tables'!$AL$4:$AN$10,3)))))</f>
        <v/>
      </c>
      <c r="X126" s="218" t="str">
        <f t="shared" si="19"/>
        <v>0</v>
      </c>
      <c r="Y126" s="103" t="str">
        <f>Y64</f>
        <v/>
      </c>
      <c r="Z126" s="103" t="str">
        <f>Z64</f>
        <v/>
      </c>
    </row>
    <row r="127" spans="1:35">
      <c r="A127" s="3" t="s">
        <v>2919</v>
      </c>
      <c r="B127" s="3" t="s">
        <v>2831</v>
      </c>
      <c r="C127" s="3" t="s">
        <v>2817</v>
      </c>
      <c r="D127" s="3" t="s">
        <v>2920</v>
      </c>
      <c r="E127" s="1" t="str">
        <f t="shared" si="17"/>
        <v>Heat Pump VRF, Air Cooled&gt;=135,000 and &lt;240,000OtherMultiSplit System</v>
      </c>
      <c r="F127" s="3"/>
      <c r="G127" s="465" t="s">
        <v>2585</v>
      </c>
      <c r="H127" s="467"/>
      <c r="I127" s="473" t="s">
        <v>2585</v>
      </c>
      <c r="J127" s="467"/>
      <c r="K127" s="499" t="s">
        <v>2585</v>
      </c>
      <c r="L127" s="500" t="s">
        <v>2585</v>
      </c>
      <c r="M127" s="473" t="s">
        <v>2585</v>
      </c>
      <c r="N127" s="499" t="s">
        <v>2585</v>
      </c>
      <c r="T127" s="103">
        <v>4</v>
      </c>
      <c r="U127" s="103">
        <f>'NC HVAC Worksheet'!F100</f>
        <v>0</v>
      </c>
      <c r="V127" s="103">
        <f>'NC HVAC Worksheet'!D100*12000</f>
        <v>0</v>
      </c>
      <c r="W127" s="103" t="str">
        <f>IF('NC HVAC Worksheet'!D100="","",IF(AND(U127="Heat Pumps, Water-Cooled",V127&lt;17000),"&lt;17,000",IF(AND(U127="Heat Pumps, Water-Cooled",V127&gt;16999,V127&lt;135000),"&gt;=17,000 and &lt;135,000",IF(AND(U127="Heat Pumps, Water-Cooled",V127&gt;134999),"Ineligible",VLOOKUP('NC HVAC Worksheet'!D100*12000,'HVAC Efficiency Tables'!$AL$4:$AN$10,3)))))</f>
        <v/>
      </c>
      <c r="X127" s="218" t="str">
        <f t="shared" si="19"/>
        <v>0</v>
      </c>
      <c r="Y127" s="103" t="str">
        <f>Y67</f>
        <v/>
      </c>
      <c r="Z127" s="103" t="str">
        <f>Z67</f>
        <v/>
      </c>
    </row>
    <row r="128" spans="1:35">
      <c r="A128" s="3" t="s">
        <v>2919</v>
      </c>
      <c r="B128" s="3" t="s">
        <v>2831</v>
      </c>
      <c r="C128" s="3" t="s">
        <v>2817</v>
      </c>
      <c r="D128" s="3" t="s">
        <v>2921</v>
      </c>
      <c r="E128" s="1" t="str">
        <f t="shared" si="17"/>
        <v>Heat Pump VRF, Air Cooled&gt;=135,000 and &lt;240,000OtherMultiSplit System w/Heat Recovery</v>
      </c>
      <c r="F128" s="3"/>
      <c r="G128" s="465" t="s">
        <v>2585</v>
      </c>
      <c r="H128" s="467"/>
      <c r="I128" s="473" t="s">
        <v>2585</v>
      </c>
      <c r="J128" s="467"/>
      <c r="K128" s="499" t="s">
        <v>2585</v>
      </c>
      <c r="L128" s="500" t="s">
        <v>2585</v>
      </c>
      <c r="M128" s="473" t="s">
        <v>2585</v>
      </c>
      <c r="N128" s="499" t="s">
        <v>2585</v>
      </c>
      <c r="T128" s="103">
        <v>5</v>
      </c>
      <c r="U128" s="103">
        <f>'NC HVAC Worksheet'!F101</f>
        <v>0</v>
      </c>
      <c r="V128" s="103">
        <f>'NC HVAC Worksheet'!D101*12000</f>
        <v>0</v>
      </c>
      <c r="W128" s="103" t="str">
        <f>IF('NC HVAC Worksheet'!D101="","",IF(AND(U128="Heat Pumps, Water-Cooled",V128&lt;17000),"&lt;17,000",IF(AND(U128="Heat Pumps, Water-Cooled",V128&gt;16999,V128&lt;135000),"&gt;=17,000 and &lt;135,000",IF(AND(U128="Heat Pumps, Water-Cooled",V128&gt;134999),"Ineligible",VLOOKUP('NC HVAC Worksheet'!D101*12000,'HVAC Efficiency Tables'!$AL$4:$AN$10,3)))))</f>
        <v/>
      </c>
      <c r="X128" s="218" t="str">
        <f t="shared" si="19"/>
        <v>0</v>
      </c>
      <c r="Y128" s="103" t="str">
        <f>Y70</f>
        <v/>
      </c>
      <c r="Z128" s="103" t="str">
        <f>Z70</f>
        <v/>
      </c>
    </row>
    <row r="129" spans="1:26">
      <c r="A129" s="3" t="s">
        <v>2919</v>
      </c>
      <c r="B129" s="3" t="s">
        <v>2834</v>
      </c>
      <c r="C129" s="3" t="s">
        <v>2816</v>
      </c>
      <c r="D129" s="3" t="s">
        <v>2920</v>
      </c>
      <c r="E129" s="1" t="str">
        <f t="shared" si="17"/>
        <v>Heat Pump VRF, Air Cooled&gt;=240,000Electric (or none)MultiSplit System</v>
      </c>
      <c r="F129" s="3"/>
      <c r="G129" s="485">
        <v>10.3</v>
      </c>
      <c r="H129" s="467" t="s">
        <v>2682</v>
      </c>
      <c r="I129" s="473" t="s">
        <v>2585</v>
      </c>
      <c r="J129" s="467"/>
      <c r="K129" s="486">
        <v>9.5</v>
      </c>
      <c r="L129" s="497">
        <v>12.5</v>
      </c>
      <c r="M129" s="473" t="s">
        <v>2585</v>
      </c>
      <c r="N129" s="487">
        <v>11.7</v>
      </c>
      <c r="O129" s="1" t="s">
        <v>2752</v>
      </c>
      <c r="P129" s="504" t="s">
        <v>2922</v>
      </c>
      <c r="T129" s="103">
        <v>6</v>
      </c>
      <c r="U129" s="103">
        <f>'NC HVAC Worksheet'!F102</f>
        <v>0</v>
      </c>
      <c r="V129" s="103">
        <f>'NC HVAC Worksheet'!D102*12000</f>
        <v>0</v>
      </c>
      <c r="W129" s="103" t="str">
        <f>IF('NC HVAC Worksheet'!D102="","",IF(AND(U129="Heat Pumps, Water-Cooled",V129&lt;17000),"&lt;17,000",IF(AND(U129="Heat Pumps, Water-Cooled",V129&gt;16999,V129&lt;135000),"&gt;=17,000 and &lt;135,000",IF(AND(U129="Heat Pumps, Water-Cooled",V129&gt;134999),"Ineligible",VLOOKUP('NC HVAC Worksheet'!D102*12000,'HVAC Efficiency Tables'!$AL$4:$AN$10,3)))))</f>
        <v/>
      </c>
      <c r="X129" s="218" t="str">
        <f t="shared" si="19"/>
        <v>0</v>
      </c>
      <c r="Y129" s="103" t="str">
        <f>Y73</f>
        <v/>
      </c>
      <c r="Z129" s="103" t="str">
        <f>Z73</f>
        <v/>
      </c>
    </row>
    <row r="130" spans="1:26">
      <c r="A130" s="3" t="s">
        <v>2919</v>
      </c>
      <c r="B130" s="3" t="s">
        <v>2834</v>
      </c>
      <c r="C130" s="3" t="s">
        <v>2816</v>
      </c>
      <c r="D130" s="3" t="s">
        <v>2921</v>
      </c>
      <c r="E130" s="1" t="str">
        <f t="shared" si="17"/>
        <v>Heat Pump VRF, Air Cooled&gt;=240,000Electric (or none)MultiSplit System w/Heat Recovery</v>
      </c>
      <c r="F130" s="3"/>
      <c r="G130" s="485">
        <v>10.1</v>
      </c>
      <c r="H130" s="467" t="s">
        <v>2682</v>
      </c>
      <c r="I130" s="473" t="s">
        <v>2585</v>
      </c>
      <c r="J130" s="467"/>
      <c r="K130" s="486">
        <v>9.3000000000000007</v>
      </c>
      <c r="L130" s="497">
        <v>12.3</v>
      </c>
      <c r="M130" s="473" t="s">
        <v>2585</v>
      </c>
      <c r="N130" s="487">
        <v>10.3</v>
      </c>
      <c r="O130" s="1" t="s">
        <v>2752</v>
      </c>
      <c r="T130" s="103">
        <v>7</v>
      </c>
      <c r="U130" s="103">
        <f>'NC HVAC Worksheet'!F103</f>
        <v>0</v>
      </c>
      <c r="V130" s="103">
        <f>'NC HVAC Worksheet'!D103*12000</f>
        <v>0</v>
      </c>
      <c r="W130" s="103" t="str">
        <f>IF('NC HVAC Worksheet'!D103="","",IF(AND(U130="Heat Pumps, Water-Cooled",V130&lt;17000),"&lt;17,000",IF(AND(U130="Heat Pumps, Water-Cooled",V130&gt;16999,V130&lt;135000),"&gt;=17,000 and &lt;135,000",IF(AND(U130="Heat Pumps, Water-Cooled",V130&gt;134999),"Ineligible",VLOOKUP('NC HVAC Worksheet'!D103*12000,'HVAC Efficiency Tables'!$AL$4:$AN$10,3)))))</f>
        <v/>
      </c>
      <c r="X130" s="218" t="str">
        <f t="shared" si="19"/>
        <v>0</v>
      </c>
      <c r="Y130" s="103" t="str">
        <f>Y76</f>
        <v/>
      </c>
      <c r="Z130" s="103" t="str">
        <f>Z76</f>
        <v/>
      </c>
    </row>
    <row r="131" spans="1:26">
      <c r="A131" s="3" t="s">
        <v>2919</v>
      </c>
      <c r="B131" s="3" t="s">
        <v>2834</v>
      </c>
      <c r="C131" s="3" t="s">
        <v>2817</v>
      </c>
      <c r="D131" s="3" t="s">
        <v>2920</v>
      </c>
      <c r="E131" s="1" t="str">
        <f t="shared" si="17"/>
        <v>Heat Pump VRF, Air Cooled&gt;=240,000OtherMultiSplit System</v>
      </c>
      <c r="F131" s="3"/>
      <c r="G131" s="465" t="s">
        <v>2585</v>
      </c>
      <c r="H131" s="467"/>
      <c r="I131" s="473" t="s">
        <v>2585</v>
      </c>
      <c r="J131" s="467"/>
      <c r="K131" s="499" t="s">
        <v>2585</v>
      </c>
      <c r="L131" s="469" t="s">
        <v>2585</v>
      </c>
      <c r="M131" s="473" t="s">
        <v>2585</v>
      </c>
      <c r="N131" s="471" t="s">
        <v>2585</v>
      </c>
      <c r="P131" s="504" t="s">
        <v>2923</v>
      </c>
      <c r="T131" s="103">
        <v>8</v>
      </c>
      <c r="U131" s="103">
        <f>'NC HVAC Worksheet'!F104</f>
        <v>0</v>
      </c>
      <c r="V131" s="103">
        <f>'NC HVAC Worksheet'!D104*12000</f>
        <v>0</v>
      </c>
      <c r="W131" s="103" t="str">
        <f>IF('NC HVAC Worksheet'!D104="","",IF(AND(U131="Heat Pumps, Water-Cooled",V131&lt;17000),"&lt;17,000",IF(AND(U131="Heat Pumps, Water-Cooled",V131&gt;16999,V131&lt;135000),"&gt;=17,000 and &lt;135,000",IF(AND(U131="Heat Pumps, Water-Cooled",V131&gt;134999),"Ineligible",VLOOKUP('NC HVAC Worksheet'!D104*12000,'HVAC Efficiency Tables'!$AL$4:$AN$10,3)))))</f>
        <v/>
      </c>
      <c r="X131" s="218" t="str">
        <f t="shared" si="19"/>
        <v>0</v>
      </c>
      <c r="Y131" s="103" t="str">
        <f>Y79</f>
        <v/>
      </c>
      <c r="Z131" s="103" t="str">
        <f>Z79</f>
        <v/>
      </c>
    </row>
    <row r="132" spans="1:26" ht="13.5" thickBot="1">
      <c r="A132" s="3" t="s">
        <v>2919</v>
      </c>
      <c r="B132" s="3" t="s">
        <v>2834</v>
      </c>
      <c r="C132" s="3" t="s">
        <v>2817</v>
      </c>
      <c r="D132" s="3" t="s">
        <v>2921</v>
      </c>
      <c r="E132" s="1" t="str">
        <f t="shared" si="17"/>
        <v>Heat Pump VRF, Air Cooled&gt;=240,000OtherMultiSplit System w/Heat Recovery</v>
      </c>
      <c r="F132" s="3"/>
      <c r="G132" s="502" t="s">
        <v>2585</v>
      </c>
      <c r="H132" s="489"/>
      <c r="I132" s="490" t="s">
        <v>2585</v>
      </c>
      <c r="J132" s="489"/>
      <c r="K132" s="503" t="s">
        <v>2585</v>
      </c>
      <c r="L132" s="506" t="s">
        <v>2585</v>
      </c>
      <c r="M132" s="490" t="s">
        <v>2585</v>
      </c>
      <c r="N132" s="507" t="s">
        <v>2585</v>
      </c>
      <c r="P132" s="504" t="s">
        <v>2923</v>
      </c>
      <c r="T132" s="103">
        <v>9</v>
      </c>
      <c r="U132" s="103">
        <f>'NC HVAC Worksheet'!F105</f>
        <v>0</v>
      </c>
      <c r="V132" s="103">
        <f>'NC HVAC Worksheet'!D105*12000</f>
        <v>0</v>
      </c>
      <c r="W132" s="103" t="str">
        <f>IF('NC HVAC Worksheet'!D105="","",IF(AND(U132="Heat Pumps, Water-Cooled",V132&lt;17000),"&lt;17,000",IF(AND(U132="Heat Pumps, Water-Cooled",V132&gt;16999,V132&lt;135000),"&gt;=17,000 and &lt;135,000",IF(AND(U132="Heat Pumps, Water-Cooled",V132&gt;134999),"Ineligible",VLOOKUP('NC HVAC Worksheet'!D105*12000,'HVAC Efficiency Tables'!$AL$4:$AN$10,3)))))</f>
        <v/>
      </c>
      <c r="X132" s="218" t="str">
        <f t="shared" si="19"/>
        <v>0</v>
      </c>
      <c r="Y132" s="103" t="str">
        <f>Y82</f>
        <v/>
      </c>
      <c r="Z132" s="103" t="str">
        <f>Z82</f>
        <v/>
      </c>
    </row>
    <row r="133" spans="1:26">
      <c r="A133" s="3"/>
      <c r="B133" s="3"/>
      <c r="C133" s="3"/>
      <c r="D133" s="3"/>
      <c r="F133" s="3"/>
      <c r="G133" s="462"/>
      <c r="H133" s="22"/>
      <c r="I133" s="22"/>
      <c r="J133" s="22"/>
      <c r="K133" s="22"/>
      <c r="M133" s="22"/>
      <c r="T133" s="103">
        <v>10</v>
      </c>
      <c r="U133" s="103">
        <f>'NC HVAC Worksheet'!F106</f>
        <v>0</v>
      </c>
      <c r="V133" s="103">
        <f>'NC HVAC Worksheet'!D106*12000</f>
        <v>0</v>
      </c>
      <c r="W133" s="103" t="str">
        <f>IF('NC HVAC Worksheet'!D106="","",IF(AND(U133="Heat Pumps, Water-Cooled",V133&lt;17000),"&lt;17,000",IF(AND(U133="Heat Pumps, Water-Cooled",V133&gt;16999,V133&lt;135000),"&gt;=17,000 and &lt;135,000",IF(AND(U133="Heat Pumps, Water-Cooled",V133&gt;134999),"Ineligible",VLOOKUP('NC HVAC Worksheet'!D106*12000,'HVAC Efficiency Tables'!$AL$4:$AN$10,3)))))</f>
        <v/>
      </c>
      <c r="X133" s="218" t="str">
        <f t="shared" si="19"/>
        <v>0</v>
      </c>
      <c r="Y133" s="103" t="str">
        <f>Y85</f>
        <v/>
      </c>
      <c r="Z133" s="103" t="str">
        <f>Z85</f>
        <v/>
      </c>
    </row>
    <row r="134" spans="1:26" ht="13.5" thickBot="1">
      <c r="A134" s="3"/>
      <c r="B134" s="3"/>
      <c r="C134" s="3"/>
      <c r="D134" s="3"/>
      <c r="F134" s="3"/>
      <c r="G134" s="462"/>
      <c r="H134" s="22"/>
      <c r="I134" s="22"/>
      <c r="J134" s="22"/>
      <c r="K134" s="22"/>
      <c r="M134" s="22"/>
      <c r="U134" s="1"/>
      <c r="V134" s="1"/>
      <c r="W134" s="1"/>
      <c r="X134" s="422"/>
    </row>
    <row r="135" spans="1:26" ht="13.5" thickBot="1">
      <c r="E135" s="1" t="str">
        <f t="shared" si="17"/>
        <v/>
      </c>
      <c r="F135" s="3"/>
      <c r="G135" s="938" t="s">
        <v>2715</v>
      </c>
      <c r="H135" s="941"/>
      <c r="I135" s="941"/>
      <c r="J135" s="941"/>
      <c r="K135" s="942"/>
      <c r="L135" s="938" t="s">
        <v>2752</v>
      </c>
      <c r="M135" s="941"/>
      <c r="N135" s="942"/>
      <c r="T135" s="226" t="s">
        <v>2912</v>
      </c>
      <c r="V135" s="1"/>
      <c r="W135" s="1"/>
    </row>
    <row r="136" spans="1:26" ht="13.5" thickBot="1">
      <c r="E136" s="1" t="str">
        <f t="shared" si="17"/>
        <v/>
      </c>
      <c r="F136" s="3"/>
      <c r="G136" s="375" t="s">
        <v>2683</v>
      </c>
      <c r="H136" s="111"/>
      <c r="I136" s="111" t="s">
        <v>2684</v>
      </c>
      <c r="J136" s="111"/>
      <c r="K136" s="112" t="s">
        <v>2804</v>
      </c>
      <c r="L136" s="375" t="s">
        <v>2683</v>
      </c>
      <c r="M136" s="111" t="s">
        <v>2684</v>
      </c>
      <c r="N136" s="112" t="s">
        <v>2804</v>
      </c>
      <c r="P136" s="3" t="s">
        <v>2924</v>
      </c>
      <c r="T136" s="103">
        <v>1</v>
      </c>
      <c r="U136" s="103">
        <f>'NC HVAC Worksheet'!F113</f>
        <v>0</v>
      </c>
      <c r="V136" s="103">
        <f>'NC HVAC Worksheet'!D113*12000</f>
        <v>0</v>
      </c>
      <c r="W136" s="103" t="str">
        <f>IF('NC HVAC Worksheet'!D113="","",IF(AND(U136="Heat Pump VRF, Water Cooled",V136&lt;135000),"&lt;135,000",IF(AND(U136="Heat Pump VRF, Water Cooled", V136&gt;134999),"Ineligible",IF('NC HVAC Worksheet'!D113="","",VLOOKUP('NC HVAC Worksheet'!D113*12000,'HVAC Efficiency Tables'!$AL$14:$AN$17,3)))))</f>
        <v/>
      </c>
      <c r="X136" s="218" t="str">
        <f>U136&amp;W136</f>
        <v>0</v>
      </c>
      <c r="Y136" s="103" t="str">
        <f>Y90</f>
        <v/>
      </c>
      <c r="Z136" s="103" t="str">
        <f>Z90</f>
        <v/>
      </c>
    </row>
    <row r="137" spans="1:26">
      <c r="A137" s="3" t="s">
        <v>2925</v>
      </c>
      <c r="B137" s="378" t="s">
        <v>2820</v>
      </c>
      <c r="C137" s="3" t="s">
        <v>2585</v>
      </c>
      <c r="D137" s="3" t="s">
        <v>2920</v>
      </c>
      <c r="E137" s="1" t="str">
        <f t="shared" si="17"/>
        <v>Air Conditioning VRF, Air Cooled&lt;65,000N/AMultiSplit System</v>
      </c>
      <c r="F137" s="3"/>
      <c r="G137" s="492">
        <v>15</v>
      </c>
      <c r="H137" s="481" t="s">
        <v>2681</v>
      </c>
      <c r="I137" s="481">
        <v>16</v>
      </c>
      <c r="J137" s="481" t="s">
        <v>2681</v>
      </c>
      <c r="K137" s="480">
        <v>14.3</v>
      </c>
      <c r="L137" s="494">
        <v>12.5</v>
      </c>
      <c r="M137" s="481">
        <v>13</v>
      </c>
      <c r="N137" s="505">
        <v>11.2</v>
      </c>
      <c r="O137" s="475" t="s">
        <v>2682</v>
      </c>
      <c r="P137" s="3" t="s">
        <v>2914</v>
      </c>
      <c r="T137" s="103">
        <v>2</v>
      </c>
      <c r="U137" s="103">
        <f>'NC HVAC Worksheet'!F114</f>
        <v>0</v>
      </c>
      <c r="V137" s="103">
        <f>'NC HVAC Worksheet'!D114*12000</f>
        <v>0</v>
      </c>
      <c r="W137" s="103" t="str">
        <f>IF('NC HVAC Worksheet'!D114="","",IF(AND(U137="Heat Pump VRF, Water Cooled",V137&lt;135000),"&lt;135,000",IF(AND(U137="Heat Pump VRF, Water Cooled", V137&gt;134999),"Ineligible",IF('NC HVAC Worksheet'!D114="","",VLOOKUP('NC HVAC Worksheet'!D114*12000,'HVAC Efficiency Tables'!$AL$14:$AN$17,3)))))</f>
        <v/>
      </c>
      <c r="X137" s="218" t="str">
        <f t="shared" ref="X137:X140" si="20">U137&amp;W137</f>
        <v>0</v>
      </c>
      <c r="Y137" s="103" t="str">
        <f>Y93</f>
        <v/>
      </c>
      <c r="Z137" s="103" t="str">
        <f>Z93</f>
        <v/>
      </c>
    </row>
    <row r="138" spans="1:26">
      <c r="A138" s="3" t="s">
        <v>2925</v>
      </c>
      <c r="B138" s="3" t="s">
        <v>2828</v>
      </c>
      <c r="C138" s="3" t="s">
        <v>2816</v>
      </c>
      <c r="D138" s="3" t="s">
        <v>2920</v>
      </c>
      <c r="E138" s="1" t="str">
        <f t="shared" si="17"/>
        <v>Air Conditioning VRF, Air Cooled&gt;=65,000 and &lt;135,000Electric (or none)MultiSplit System</v>
      </c>
      <c r="F138" s="3"/>
      <c r="G138" s="485">
        <v>11.7</v>
      </c>
      <c r="H138" s="466" t="s">
        <v>2682</v>
      </c>
      <c r="I138" s="473" t="s">
        <v>2585</v>
      </c>
      <c r="J138" s="466"/>
      <c r="K138" s="467">
        <v>11</v>
      </c>
      <c r="L138" s="497">
        <v>14.9</v>
      </c>
      <c r="M138" s="473" t="s">
        <v>2585</v>
      </c>
      <c r="N138" s="501">
        <v>13.9</v>
      </c>
      <c r="O138" s="475" t="s">
        <v>2752</v>
      </c>
      <c r="T138" s="103">
        <v>3</v>
      </c>
      <c r="U138" s="103">
        <f>'NC HVAC Worksheet'!F115</f>
        <v>0</v>
      </c>
      <c r="V138" s="103">
        <f>'NC HVAC Worksheet'!D115*12000</f>
        <v>0</v>
      </c>
      <c r="W138" s="103" t="str">
        <f>IF('NC HVAC Worksheet'!D115="","",IF(AND(U138="Heat Pump VRF, Water Cooled",V138&lt;135000),"&lt;135,000",IF(AND(U138="Heat Pump VRF, Water Cooled", V138&gt;134999),"Ineligible",IF('NC HVAC Worksheet'!D115="","",VLOOKUP('NC HVAC Worksheet'!D115*12000,'HVAC Efficiency Tables'!$AL$14:$AN$17,3)))))</f>
        <v/>
      </c>
      <c r="X138" s="218" t="str">
        <f>U138&amp;W138</f>
        <v>0</v>
      </c>
      <c r="Y138" s="103" t="str">
        <f>Y96</f>
        <v/>
      </c>
      <c r="Z138" s="103" t="str">
        <f>Z96</f>
        <v/>
      </c>
    </row>
    <row r="139" spans="1:26">
      <c r="A139" s="3" t="s">
        <v>2925</v>
      </c>
      <c r="B139" s="3" t="s">
        <v>2828</v>
      </c>
      <c r="C139" s="3" t="s">
        <v>2817</v>
      </c>
      <c r="D139" s="3" t="s">
        <v>2920</v>
      </c>
      <c r="E139" s="1" t="str">
        <f t="shared" si="17"/>
        <v>Air Conditioning VRF, Air Cooled&gt;=65,000 and &lt;135,000OtherMultiSplit System</v>
      </c>
      <c r="F139" s="3"/>
      <c r="G139" s="500" t="s">
        <v>2585</v>
      </c>
      <c r="H139" s="467"/>
      <c r="I139" s="473" t="s">
        <v>2585</v>
      </c>
      <c r="J139" s="467"/>
      <c r="K139" s="473" t="s">
        <v>2585</v>
      </c>
      <c r="L139" s="500" t="s">
        <v>2585</v>
      </c>
      <c r="M139" s="473" t="s">
        <v>2585</v>
      </c>
      <c r="N139" s="499" t="s">
        <v>2585</v>
      </c>
      <c r="O139" s="475" t="s">
        <v>2752</v>
      </c>
      <c r="T139" s="103">
        <v>4</v>
      </c>
      <c r="U139" s="103">
        <f>'NC HVAC Worksheet'!F116</f>
        <v>0</v>
      </c>
      <c r="V139" s="103">
        <f>'NC HVAC Worksheet'!D116*12000</f>
        <v>0</v>
      </c>
      <c r="W139" s="103" t="str">
        <f>IF('NC HVAC Worksheet'!D116="","",IF(AND(U139="Heat Pump VRF, Water Cooled",V139&lt;135000),"&lt;135,000",IF(AND(U139="Heat Pump VRF, Water Cooled", V139&gt;134999),"Ineligible",IF('NC HVAC Worksheet'!D116="","",VLOOKUP('NC HVAC Worksheet'!D116*12000,'HVAC Efficiency Tables'!$AL$14:$AN$17,3)))))</f>
        <v/>
      </c>
      <c r="X139" s="218" t="str">
        <f t="shared" si="20"/>
        <v>0</v>
      </c>
      <c r="Y139" s="103" t="str">
        <f>Y99</f>
        <v/>
      </c>
      <c r="Z139" s="103" t="str">
        <f>Z99</f>
        <v/>
      </c>
    </row>
    <row r="140" spans="1:26">
      <c r="A140" s="3" t="s">
        <v>2925</v>
      </c>
      <c r="B140" s="3" t="s">
        <v>2831</v>
      </c>
      <c r="C140" s="3" t="s">
        <v>2816</v>
      </c>
      <c r="D140" s="3" t="s">
        <v>2920</v>
      </c>
      <c r="E140" s="1" t="str">
        <f t="shared" si="17"/>
        <v>Air Conditioning VRF, Air Cooled&gt;=135,000 and &lt;240,000Electric (or none)MultiSplit System</v>
      </c>
      <c r="F140" s="3"/>
      <c r="G140" s="485">
        <v>11.7</v>
      </c>
      <c r="H140" s="467"/>
      <c r="I140" s="473" t="s">
        <v>2585</v>
      </c>
      <c r="J140" s="467"/>
      <c r="K140" s="467">
        <v>10.8</v>
      </c>
      <c r="L140" s="497">
        <v>14.4</v>
      </c>
      <c r="M140" s="473" t="s">
        <v>2585</v>
      </c>
      <c r="N140" s="501">
        <v>13.4</v>
      </c>
      <c r="O140" s="475" t="s">
        <v>2752</v>
      </c>
      <c r="T140" s="103">
        <v>5</v>
      </c>
      <c r="U140" s="103">
        <f>'NC HVAC Worksheet'!F117</f>
        <v>0</v>
      </c>
      <c r="V140" s="103">
        <f>'NC HVAC Worksheet'!D117*12000</f>
        <v>0</v>
      </c>
      <c r="W140" s="103" t="str">
        <f>IF('NC HVAC Worksheet'!D117="","",IF(AND(U140="Heat Pump VRF, Water Cooled",V140&lt;135000),"&lt;135,000",IF(AND(U140="Heat Pump VRF, Water Cooled", V140&gt;134999),"Ineligible",IF('NC HVAC Worksheet'!D117="","",VLOOKUP('NC HVAC Worksheet'!D117*12000,'HVAC Efficiency Tables'!$AL$14:$AN$17,3)))))</f>
        <v/>
      </c>
      <c r="X140" s="218" t="str">
        <f t="shared" si="20"/>
        <v>0</v>
      </c>
      <c r="Y140" s="103" t="str">
        <f>Y102</f>
        <v/>
      </c>
      <c r="Z140" s="103" t="str">
        <f>Z102</f>
        <v/>
      </c>
    </row>
    <row r="141" spans="1:26">
      <c r="A141" s="3" t="s">
        <v>2925</v>
      </c>
      <c r="B141" s="3" t="s">
        <v>2831</v>
      </c>
      <c r="C141" s="3" t="s">
        <v>2817</v>
      </c>
      <c r="D141" s="3" t="s">
        <v>2920</v>
      </c>
      <c r="E141" s="1" t="str">
        <f t="shared" si="17"/>
        <v>Air Conditioning VRF, Air Cooled&gt;=135,000 and &lt;240,000OtherMultiSplit System</v>
      </c>
      <c r="F141" s="3"/>
      <c r="G141" s="500" t="s">
        <v>2585</v>
      </c>
      <c r="H141" s="467"/>
      <c r="I141" s="473" t="s">
        <v>2585</v>
      </c>
      <c r="J141" s="467"/>
      <c r="K141" s="473" t="s">
        <v>2585</v>
      </c>
      <c r="L141" s="500" t="s">
        <v>2585</v>
      </c>
      <c r="M141" s="473" t="s">
        <v>2585</v>
      </c>
      <c r="N141" s="499" t="s">
        <v>2585</v>
      </c>
      <c r="O141" s="475" t="s">
        <v>2752</v>
      </c>
    </row>
    <row r="142" spans="1:26">
      <c r="A142" s="3" t="s">
        <v>2925</v>
      </c>
      <c r="B142" s="3" t="s">
        <v>2834</v>
      </c>
      <c r="C142" s="3" t="s">
        <v>2816</v>
      </c>
      <c r="D142" s="3" t="s">
        <v>2920</v>
      </c>
      <c r="E142" s="1" t="str">
        <f t="shared" si="17"/>
        <v>Air Conditioning VRF, Air Cooled&gt;=240,000Electric (or none)MultiSplit System</v>
      </c>
      <c r="F142" s="3"/>
      <c r="G142" s="485">
        <v>10.5</v>
      </c>
      <c r="H142" s="467"/>
      <c r="I142" s="473" t="s">
        <v>2585</v>
      </c>
      <c r="J142" s="467"/>
      <c r="K142" s="467">
        <v>9.8000000000000007</v>
      </c>
      <c r="L142" s="497">
        <v>13</v>
      </c>
      <c r="M142" s="473" t="s">
        <v>2585</v>
      </c>
      <c r="N142" s="501">
        <v>12.5</v>
      </c>
      <c r="O142" s="475" t="s">
        <v>2752</v>
      </c>
    </row>
    <row r="143" spans="1:26" ht="13.5" thickBot="1">
      <c r="A143" s="3" t="s">
        <v>2925</v>
      </c>
      <c r="B143" s="3" t="s">
        <v>2834</v>
      </c>
      <c r="C143" s="3" t="s">
        <v>2817</v>
      </c>
      <c r="D143" s="3" t="s">
        <v>2920</v>
      </c>
      <c r="E143" s="1" t="str">
        <f t="shared" si="17"/>
        <v>Air Conditioning VRF, Air Cooled&gt;=240,000OtherMultiSplit System</v>
      </c>
      <c r="F143" s="3"/>
      <c r="G143" s="509" t="s">
        <v>2585</v>
      </c>
      <c r="H143" s="489"/>
      <c r="I143" s="490" t="s">
        <v>2585</v>
      </c>
      <c r="J143" s="489"/>
      <c r="K143" s="490" t="s">
        <v>2585</v>
      </c>
      <c r="L143" s="509" t="s">
        <v>2585</v>
      </c>
      <c r="M143" s="490" t="s">
        <v>2585</v>
      </c>
      <c r="N143" s="503" t="s">
        <v>2585</v>
      </c>
      <c r="O143" s="475" t="s">
        <v>2752</v>
      </c>
    </row>
    <row r="144" spans="1:26">
      <c r="A144" s="3"/>
      <c r="B144" s="3"/>
      <c r="C144" s="3"/>
      <c r="D144" s="3"/>
      <c r="F144" s="3"/>
      <c r="G144" s="105"/>
      <c r="H144" s="376"/>
      <c r="I144" s="105"/>
      <c r="J144" s="376"/>
      <c r="K144" s="105"/>
      <c r="L144" s="377"/>
      <c r="M144" s="105"/>
      <c r="N144" s="377"/>
    </row>
    <row r="145" spans="1:35" ht="13.5" thickBot="1">
      <c r="A145" s="3"/>
      <c r="B145" s="3"/>
      <c r="C145" s="3"/>
      <c r="D145" s="3"/>
      <c r="F145" s="3"/>
      <c r="G145" s="462"/>
      <c r="H145" s="22"/>
      <c r="I145" s="462"/>
      <c r="J145" s="22"/>
      <c r="K145" s="462"/>
      <c r="L145" s="3"/>
      <c r="M145" s="462"/>
      <c r="N145" s="3"/>
    </row>
    <row r="146" spans="1:35" ht="13.5" thickBot="1">
      <c r="A146" s="3"/>
      <c r="B146" s="3"/>
      <c r="C146" s="3"/>
      <c r="D146" s="3"/>
      <c r="F146" s="3"/>
      <c r="G146" s="938" t="s">
        <v>2682</v>
      </c>
      <c r="H146" s="941"/>
      <c r="I146" s="941"/>
      <c r="J146" s="941"/>
      <c r="K146" s="942"/>
      <c r="L146" s="938" t="s">
        <v>1041</v>
      </c>
      <c r="M146" s="941"/>
      <c r="N146" s="942"/>
      <c r="T146" s="211" t="s">
        <v>2842</v>
      </c>
      <c r="U146"/>
      <c r="AC146" s="211" t="s">
        <v>144</v>
      </c>
      <c r="AD146"/>
      <c r="AE146" s="22"/>
      <c r="AF146" s="22"/>
    </row>
    <row r="147" spans="1:35" ht="13.5" thickBot="1">
      <c r="A147" s="3"/>
      <c r="B147" s="3"/>
      <c r="C147" s="3"/>
      <c r="D147" s="3"/>
      <c r="F147" s="3"/>
      <c r="G147" s="375" t="s">
        <v>2683</v>
      </c>
      <c r="H147" s="111"/>
      <c r="I147" s="111" t="s">
        <v>2684</v>
      </c>
      <c r="J147" s="111"/>
      <c r="K147" s="112" t="s">
        <v>2804</v>
      </c>
      <c r="L147" s="375" t="s">
        <v>2683</v>
      </c>
      <c r="M147" s="111" t="s">
        <v>2684</v>
      </c>
      <c r="N147" s="112" t="s">
        <v>2804</v>
      </c>
      <c r="P147" s="3" t="s">
        <v>2926</v>
      </c>
      <c r="T147" s="226" t="s">
        <v>2927</v>
      </c>
      <c r="AC147" s="226" t="s">
        <v>2927</v>
      </c>
      <c r="AD147" s="22"/>
      <c r="AE147" s="22"/>
      <c r="AF147" s="22"/>
    </row>
    <row r="148" spans="1:35">
      <c r="A148" s="3" t="s">
        <v>2928</v>
      </c>
      <c r="B148" s="3" t="s">
        <v>2839</v>
      </c>
      <c r="C148" s="3" t="s">
        <v>2585</v>
      </c>
      <c r="D148" s="3" t="s">
        <v>2920</v>
      </c>
      <c r="E148" s="1" t="str">
        <f t="shared" si="17"/>
        <v>Heat Pump VRF, Water Cooled&lt;135,000N/AMultiSplit System</v>
      </c>
      <c r="F148" s="3"/>
      <c r="G148" s="465">
        <v>14</v>
      </c>
      <c r="H148" s="467" t="s">
        <v>2682</v>
      </c>
      <c r="I148" s="473" t="s">
        <v>2585</v>
      </c>
      <c r="J148" s="473" t="s">
        <v>2585</v>
      </c>
      <c r="K148" s="496">
        <v>11.2</v>
      </c>
      <c r="L148" s="500" t="s">
        <v>2585</v>
      </c>
      <c r="M148" s="473" t="s">
        <v>2585</v>
      </c>
      <c r="N148" s="499" t="s">
        <v>2585</v>
      </c>
      <c r="P148" s="478" t="s">
        <v>2907</v>
      </c>
      <c r="T148" s="214">
        <v>1</v>
      </c>
      <c r="U148" s="21" t="str">
        <f>U249</f>
        <v/>
      </c>
      <c r="V148" s="21">
        <f t="shared" ref="V148:W148" si="21">V249</f>
        <v>0</v>
      </c>
      <c r="W148" s="21" t="str">
        <f t="shared" si="21"/>
        <v/>
      </c>
      <c r="X148" s="21" t="str">
        <f>X249</f>
        <v/>
      </c>
      <c r="Y148" s="215" t="str">
        <f>IFERROR(IF(X148="","","N/A"),"")</f>
        <v/>
      </c>
      <c r="Z148" s="215" t="str">
        <f>IFERROR(IF(X148="","",VLOOKUP(X148,$AO$3:$AU$45,6,FALSE)),"")</f>
        <v/>
      </c>
      <c r="AC148" s="214">
        <v>1</v>
      </c>
      <c r="AD148" s="21" t="str">
        <f>AD249</f>
        <v/>
      </c>
      <c r="AE148" s="21">
        <f t="shared" ref="AE148:AF148" si="22">AE249</f>
        <v>0</v>
      </c>
      <c r="AF148" s="21" t="str">
        <f t="shared" si="22"/>
        <v/>
      </c>
      <c r="AG148" s="21" t="str">
        <f>AG249</f>
        <v/>
      </c>
      <c r="AH148" s="215" t="str">
        <f>IFERROR(IF(AG148="","","N/A"),"")</f>
        <v/>
      </c>
      <c r="AI148" s="215" t="str">
        <f>IFERROR(IF(AG148="","",VLOOKUP(AG148,$AO$3:$AU$45,6,FALSE)),"")</f>
        <v/>
      </c>
    </row>
    <row r="149" spans="1:35" ht="13.5" thickBot="1">
      <c r="A149" s="3" t="s">
        <v>2928</v>
      </c>
      <c r="B149" s="3" t="s">
        <v>2839</v>
      </c>
      <c r="C149" s="3" t="s">
        <v>2585</v>
      </c>
      <c r="D149" s="3" t="s">
        <v>2921</v>
      </c>
      <c r="E149" s="1" t="str">
        <f t="shared" si="17"/>
        <v>Heat Pump VRF, Water Cooled&lt;135,000N/AMultiSplit System w/Heat Recovery</v>
      </c>
      <c r="F149" s="3"/>
      <c r="G149" s="502">
        <v>13.8</v>
      </c>
      <c r="H149" s="489" t="s">
        <v>2682</v>
      </c>
      <c r="I149" s="490" t="s">
        <v>2585</v>
      </c>
      <c r="J149" s="490" t="s">
        <v>2585</v>
      </c>
      <c r="K149" s="508">
        <v>11.2</v>
      </c>
      <c r="L149" s="509" t="s">
        <v>2585</v>
      </c>
      <c r="M149" s="490" t="s">
        <v>2585</v>
      </c>
      <c r="N149" s="503" t="s">
        <v>2585</v>
      </c>
      <c r="P149" s="478" t="s">
        <v>2914</v>
      </c>
      <c r="T149" s="74"/>
      <c r="U149" s="1"/>
      <c r="V149" s="1"/>
      <c r="W149" s="1"/>
      <c r="Y149" s="216" t="str">
        <f t="shared" ref="Y149:Y177" si="23">IFERROR(IF(X149="","","N/A"),"")</f>
        <v/>
      </c>
      <c r="Z149" s="216" t="str">
        <f>IFERROR(IF(X148="","",VLOOKUP(X148,$AO$3:$AU$45,2,FALSE)),"")</f>
        <v/>
      </c>
      <c r="AC149" s="74"/>
      <c r="AH149" s="216" t="str">
        <f t="shared" ref="AH149:AH177" si="24">IFERROR(IF(AG149="","","N/A"),"")</f>
        <v/>
      </c>
      <c r="AI149" s="216" t="str">
        <f>IFERROR(IF(AG148="","",VLOOKUP(AG148,$AO$3:$AU$45,2,FALSE)),"")</f>
        <v/>
      </c>
    </row>
    <row r="150" spans="1:35" ht="13.5" thickBot="1">
      <c r="T150" s="74"/>
      <c r="U150" s="1"/>
      <c r="V150" s="1"/>
      <c r="W150" s="1"/>
      <c r="Y150" s="216" t="str">
        <f t="shared" si="23"/>
        <v/>
      </c>
      <c r="Z150" s="216" t="str">
        <f>IFERROR(IF(X148="","",VLOOKUP(X148,$AO$3:$AU$45,3,FALSE)),"")</f>
        <v/>
      </c>
      <c r="AC150" s="74"/>
      <c r="AH150" s="216" t="str">
        <f t="shared" si="24"/>
        <v/>
      </c>
      <c r="AI150" s="216" t="str">
        <f>IFERROR(IF(AG148="","",VLOOKUP(AG148,$AO$3:$AU$45,3,FALSE)),"")</f>
        <v/>
      </c>
    </row>
    <row r="151" spans="1:35">
      <c r="T151" s="74">
        <v>2</v>
      </c>
      <c r="U151" s="1" t="str">
        <f>U250</f>
        <v/>
      </c>
      <c r="V151" s="1">
        <f t="shared" ref="V151:X151" si="25">V250</f>
        <v>0</v>
      </c>
      <c r="W151" s="1" t="str">
        <f t="shared" si="25"/>
        <v/>
      </c>
      <c r="X151" s="1" t="str">
        <f t="shared" si="25"/>
        <v/>
      </c>
      <c r="Y151" s="215" t="str">
        <f t="shared" si="23"/>
        <v/>
      </c>
      <c r="Z151" s="215" t="str">
        <f>IFERROR(IF(X151="","",VLOOKUP(X151,$AO$3:$AU$45,6,FALSE)),"")</f>
        <v/>
      </c>
      <c r="AC151" s="74">
        <v>2</v>
      </c>
      <c r="AD151" s="1" t="str">
        <f>AD250</f>
        <v/>
      </c>
      <c r="AE151" s="1">
        <f t="shared" ref="AE151:AG151" si="26">AE250</f>
        <v>0</v>
      </c>
      <c r="AF151" s="1" t="str">
        <f t="shared" si="26"/>
        <v/>
      </c>
      <c r="AG151" s="1" t="str">
        <f t="shared" si="26"/>
        <v/>
      </c>
      <c r="AH151" s="215" t="str">
        <f t="shared" si="24"/>
        <v/>
      </c>
      <c r="AI151" s="215" t="str">
        <f>IFERROR(IF(AG151="","",VLOOKUP(AG151,$AO$3:$AU$45,6,FALSE)),"")</f>
        <v/>
      </c>
    </row>
    <row r="152" spans="1:35">
      <c r="T152" s="74"/>
      <c r="U152" s="1"/>
      <c r="V152" s="1"/>
      <c r="W152" s="1"/>
      <c r="Y152" s="216" t="str">
        <f t="shared" si="23"/>
        <v/>
      </c>
      <c r="Z152" s="216" t="str">
        <f>IFERROR(IF(X151="","",VLOOKUP(X151,$AO$3:$AU$45,2,FALSE)),"")</f>
        <v/>
      </c>
      <c r="AC152" s="74"/>
      <c r="AH152" s="216" t="str">
        <f t="shared" si="24"/>
        <v/>
      </c>
      <c r="AI152" s="216" t="str">
        <f>IFERROR(IF(AG151="","",VLOOKUP(AG151,$AO$3:$AU$45,2,FALSE)),"")</f>
        <v/>
      </c>
    </row>
    <row r="153" spans="1:35" ht="13.5" thickBot="1">
      <c r="T153" s="74"/>
      <c r="U153" s="1"/>
      <c r="V153" s="1"/>
      <c r="W153" s="1"/>
      <c r="Y153" s="216" t="str">
        <f t="shared" si="23"/>
        <v/>
      </c>
      <c r="Z153" s="216" t="str">
        <f>IFERROR(IF(X151="","",VLOOKUP(X151,$AO$3:$AU$45,3,FALSE)),"")</f>
        <v/>
      </c>
      <c r="AC153" s="74"/>
      <c r="AH153" s="216" t="str">
        <f t="shared" si="24"/>
        <v/>
      </c>
      <c r="AI153" s="216" t="str">
        <f>IFERROR(IF(AG151="","",VLOOKUP(AG151,$AO$3:$AU$45,3,FALSE)),"")</f>
        <v/>
      </c>
    </row>
    <row r="154" spans="1:35">
      <c r="T154" s="74">
        <v>3</v>
      </c>
      <c r="U154" s="1" t="str">
        <f>U251</f>
        <v/>
      </c>
      <c r="V154" s="1">
        <f t="shared" ref="V154:X154" si="27">V251</f>
        <v>0</v>
      </c>
      <c r="W154" s="1" t="str">
        <f t="shared" si="27"/>
        <v/>
      </c>
      <c r="X154" s="1" t="str">
        <f t="shared" si="27"/>
        <v/>
      </c>
      <c r="Y154" s="215" t="str">
        <f t="shared" si="23"/>
        <v/>
      </c>
      <c r="Z154" s="215" t="str">
        <f>IFERROR(IF(X154="","",VLOOKUP(X154,$AO$3:$AU$45,6,FALSE)),"")</f>
        <v/>
      </c>
      <c r="AC154" s="74">
        <v>3</v>
      </c>
      <c r="AD154" s="1" t="str">
        <f>AD251</f>
        <v/>
      </c>
      <c r="AE154" s="1">
        <f t="shared" ref="AE154:AG154" si="28">AE251</f>
        <v>0</v>
      </c>
      <c r="AF154" s="1" t="str">
        <f t="shared" si="28"/>
        <v/>
      </c>
      <c r="AG154" s="1" t="str">
        <f t="shared" si="28"/>
        <v/>
      </c>
      <c r="AH154" s="215" t="str">
        <f t="shared" si="24"/>
        <v/>
      </c>
      <c r="AI154" s="215" t="str">
        <f>IFERROR(IF(AG154="","",VLOOKUP(AG154,$AO$3:$AU$45,6,FALSE)),"")</f>
        <v/>
      </c>
    </row>
    <row r="155" spans="1:35">
      <c r="T155" s="74"/>
      <c r="U155" s="1"/>
      <c r="V155" s="1"/>
      <c r="W155" s="1"/>
      <c r="Y155" s="216" t="str">
        <f t="shared" si="23"/>
        <v/>
      </c>
      <c r="Z155" s="216" t="str">
        <f>IFERROR(IF(X154="","",VLOOKUP(X154,$AO$3:$AU$45,2,FALSE)),"")</f>
        <v/>
      </c>
      <c r="AC155" s="74"/>
      <c r="AH155" s="216" t="str">
        <f t="shared" si="24"/>
        <v/>
      </c>
      <c r="AI155" s="216" t="str">
        <f>IFERROR(IF(AG154="","",VLOOKUP(AG154,$AO$3:$AU$45,2,FALSE)),"")</f>
        <v/>
      </c>
    </row>
    <row r="156" spans="1:35" ht="13.5" thickBot="1">
      <c r="T156" s="74"/>
      <c r="U156" s="1"/>
      <c r="V156" s="1"/>
      <c r="W156" s="1"/>
      <c r="Y156" s="216" t="str">
        <f t="shared" si="23"/>
        <v/>
      </c>
      <c r="Z156" s="216" t="str">
        <f>IFERROR(IF(X154="","",VLOOKUP(X154,$AO$3:$AU$45,3,FALSE)),"")</f>
        <v/>
      </c>
      <c r="AC156" s="74"/>
      <c r="AH156" s="216" t="str">
        <f t="shared" si="24"/>
        <v/>
      </c>
      <c r="AI156" s="216" t="str">
        <f>IFERROR(IF(AG154="","",VLOOKUP(AG154,$AO$3:$AU$45,3,FALSE)),"")</f>
        <v/>
      </c>
    </row>
    <row r="157" spans="1:35">
      <c r="T157" s="74">
        <v>4</v>
      </c>
      <c r="U157" s="1" t="str">
        <f>U252</f>
        <v/>
      </c>
      <c r="V157" s="1">
        <f t="shared" ref="V157:X157" si="29">V252</f>
        <v>0</v>
      </c>
      <c r="W157" s="1" t="str">
        <f t="shared" si="29"/>
        <v/>
      </c>
      <c r="X157" s="1" t="str">
        <f t="shared" si="29"/>
        <v/>
      </c>
      <c r="Y157" s="215" t="str">
        <f t="shared" si="23"/>
        <v/>
      </c>
      <c r="Z157" s="215" t="str">
        <f>IFERROR(IF(X157="","",VLOOKUP(X157,$AO$3:$AU$45,6,FALSE)),"")</f>
        <v/>
      </c>
      <c r="AC157" s="74">
        <v>4</v>
      </c>
      <c r="AD157" s="1" t="str">
        <f>AD252</f>
        <v/>
      </c>
      <c r="AE157" s="1">
        <f t="shared" ref="AE157:AG157" si="30">AE252</f>
        <v>0</v>
      </c>
      <c r="AF157" s="1" t="str">
        <f t="shared" si="30"/>
        <v/>
      </c>
      <c r="AG157" s="1" t="str">
        <f t="shared" si="30"/>
        <v/>
      </c>
      <c r="AH157" s="215" t="str">
        <f t="shared" si="24"/>
        <v/>
      </c>
      <c r="AI157" s="215" t="str">
        <f>IFERROR(IF(AG157="","",VLOOKUP(AG157,$AO$3:$AU$45,6,FALSE)),"")</f>
        <v/>
      </c>
    </row>
    <row r="158" spans="1:35">
      <c r="T158" s="74"/>
      <c r="U158" s="1"/>
      <c r="V158" s="1"/>
      <c r="W158" s="1"/>
      <c r="Y158" s="216" t="str">
        <f t="shared" si="23"/>
        <v/>
      </c>
      <c r="Z158" s="216" t="str">
        <f>IFERROR(IF(X157="","",VLOOKUP(X157,$AO$3:$AU$45,2,FALSE)),"")</f>
        <v/>
      </c>
      <c r="AC158" s="74"/>
      <c r="AH158" s="216" t="str">
        <f t="shared" si="24"/>
        <v/>
      </c>
      <c r="AI158" s="216" t="str">
        <f>IFERROR(IF(AG157="","",VLOOKUP(AG157,$AO$3:$AU$45,2,FALSE)),"")</f>
        <v/>
      </c>
    </row>
    <row r="159" spans="1:35" ht="13.5" thickBot="1">
      <c r="T159" s="74"/>
      <c r="U159" s="1"/>
      <c r="V159" s="1"/>
      <c r="W159" s="1"/>
      <c r="Y159" s="216" t="str">
        <f t="shared" si="23"/>
        <v/>
      </c>
      <c r="Z159" s="216" t="str">
        <f>IFERROR(IF(X157="","",VLOOKUP(X157,$AO$3:$AU$45,3,FALSE)),"")</f>
        <v/>
      </c>
      <c r="AC159" s="74"/>
      <c r="AH159" s="216" t="str">
        <f t="shared" si="24"/>
        <v/>
      </c>
      <c r="AI159" s="216" t="str">
        <f>IFERROR(IF(AG157="","",VLOOKUP(AG157,$AO$3:$AU$45,3,FALSE)),"")</f>
        <v/>
      </c>
    </row>
    <row r="160" spans="1:35">
      <c r="T160" s="74">
        <v>5</v>
      </c>
      <c r="U160" s="1" t="str">
        <f>U253</f>
        <v/>
      </c>
      <c r="V160" s="1">
        <f t="shared" ref="V160:X160" si="31">V253</f>
        <v>0</v>
      </c>
      <c r="W160" s="1" t="str">
        <f t="shared" si="31"/>
        <v/>
      </c>
      <c r="X160" s="1" t="str">
        <f t="shared" si="31"/>
        <v/>
      </c>
      <c r="Y160" s="215" t="str">
        <f t="shared" si="23"/>
        <v/>
      </c>
      <c r="Z160" s="215" t="str">
        <f>IFERROR(IF(X160="","",VLOOKUP(X160,$AO$3:$AU$45,6,FALSE)),"")</f>
        <v/>
      </c>
      <c r="AC160" s="74">
        <v>5</v>
      </c>
      <c r="AD160" s="1" t="str">
        <f>AD253</f>
        <v/>
      </c>
      <c r="AE160" s="1">
        <f t="shared" ref="AE160:AG160" si="32">AE253</f>
        <v>0</v>
      </c>
      <c r="AF160" s="1" t="str">
        <f t="shared" si="32"/>
        <v/>
      </c>
      <c r="AG160" s="1" t="str">
        <f t="shared" si="32"/>
        <v/>
      </c>
      <c r="AH160" s="215" t="str">
        <f t="shared" si="24"/>
        <v/>
      </c>
      <c r="AI160" s="215" t="str">
        <f>IFERROR(IF(AG160="","",VLOOKUP(AG160,$AO$3:$AU$45,6,FALSE)),"")</f>
        <v/>
      </c>
    </row>
    <row r="161" spans="20:35">
      <c r="T161" s="74"/>
      <c r="U161" s="1"/>
      <c r="V161" s="1"/>
      <c r="W161" s="1"/>
      <c r="Y161" s="216" t="str">
        <f t="shared" si="23"/>
        <v/>
      </c>
      <c r="Z161" s="216" t="str">
        <f>IFERROR(IF(X160="","",VLOOKUP(X160,$AO$3:$AU$45,2,FALSE)),"")</f>
        <v/>
      </c>
      <c r="AC161" s="74"/>
      <c r="AH161" s="216" t="str">
        <f t="shared" si="24"/>
        <v/>
      </c>
      <c r="AI161" s="216" t="str">
        <f>IFERROR(IF(AG160="","",VLOOKUP(AG160,$AO$3:$AU$45,2,FALSE)),"")</f>
        <v/>
      </c>
    </row>
    <row r="162" spans="20:35" ht="13.5" thickBot="1">
      <c r="T162" s="74"/>
      <c r="U162" s="1"/>
      <c r="V162" s="1"/>
      <c r="W162" s="1"/>
      <c r="Y162" s="216" t="str">
        <f t="shared" si="23"/>
        <v/>
      </c>
      <c r="Z162" s="216" t="str">
        <f>IFERROR(IF(X160="","",VLOOKUP(X160,$AO$3:$AU$45,3,FALSE)),"")</f>
        <v/>
      </c>
      <c r="AC162" s="74"/>
      <c r="AH162" s="216" t="str">
        <f t="shared" si="24"/>
        <v/>
      </c>
      <c r="AI162" s="216" t="str">
        <f>IFERROR(IF(AG160="","",VLOOKUP(AG160,$AO$3:$AU$45,3,FALSE)),"")</f>
        <v/>
      </c>
    </row>
    <row r="163" spans="20:35">
      <c r="T163" s="74">
        <v>6</v>
      </c>
      <c r="U163" s="1" t="str">
        <f>U254</f>
        <v/>
      </c>
      <c r="V163" s="1">
        <f t="shared" ref="V163:X163" si="33">V254</f>
        <v>0</v>
      </c>
      <c r="W163" s="1" t="str">
        <f t="shared" si="33"/>
        <v/>
      </c>
      <c r="X163" s="1" t="str">
        <f t="shared" si="33"/>
        <v/>
      </c>
      <c r="Y163" s="215" t="str">
        <f t="shared" si="23"/>
        <v/>
      </c>
      <c r="Z163" s="215" t="str">
        <f>IFERROR(IF(X163="","",VLOOKUP(X163,$AO$3:$AU$45,6,FALSE)),"")</f>
        <v/>
      </c>
      <c r="AC163" s="74">
        <v>6</v>
      </c>
      <c r="AD163" s="1" t="str">
        <f>AD254</f>
        <v/>
      </c>
      <c r="AE163" s="1">
        <f t="shared" ref="AE163:AG163" si="34">AE254</f>
        <v>0</v>
      </c>
      <c r="AF163" s="1" t="str">
        <f t="shared" si="34"/>
        <v/>
      </c>
      <c r="AG163" s="1" t="str">
        <f t="shared" si="34"/>
        <v/>
      </c>
      <c r="AH163" s="215" t="str">
        <f t="shared" si="24"/>
        <v/>
      </c>
      <c r="AI163" s="215" t="str">
        <f>IFERROR(IF(AG163="","",VLOOKUP(AG163,$AO$3:$AU$45,6,FALSE)),"")</f>
        <v/>
      </c>
    </row>
    <row r="164" spans="20:35">
      <c r="T164" s="74"/>
      <c r="U164" s="1"/>
      <c r="V164" s="1"/>
      <c r="W164" s="1"/>
      <c r="Y164" s="216" t="str">
        <f t="shared" si="23"/>
        <v/>
      </c>
      <c r="Z164" s="216" t="str">
        <f>IFERROR(IF(X163="","",VLOOKUP(X163,$AO$3:$AU$45,2,FALSE)),"")</f>
        <v/>
      </c>
      <c r="AC164" s="74"/>
      <c r="AH164" s="216" t="str">
        <f t="shared" si="24"/>
        <v/>
      </c>
      <c r="AI164" s="216" t="str">
        <f>IFERROR(IF(AG163="","",VLOOKUP(AG163,$AO$3:$AU$45,2,FALSE)),"")</f>
        <v/>
      </c>
    </row>
    <row r="165" spans="20:35" ht="13.5" thickBot="1">
      <c r="T165" s="74"/>
      <c r="U165" s="1"/>
      <c r="V165" s="1"/>
      <c r="W165" s="1"/>
      <c r="Y165" s="216" t="str">
        <f t="shared" si="23"/>
        <v/>
      </c>
      <c r="Z165" s="216" t="str">
        <f>IFERROR(IF(X163="","",VLOOKUP(X163,$AO$3:$AU$45,3,FALSE)),"")</f>
        <v/>
      </c>
      <c r="AC165" s="74"/>
      <c r="AH165" s="216" t="str">
        <f t="shared" si="24"/>
        <v/>
      </c>
      <c r="AI165" s="216" t="str">
        <f>IFERROR(IF(AG163="","",VLOOKUP(AG163,$AO$3:$AU$45,3,FALSE)),"")</f>
        <v/>
      </c>
    </row>
    <row r="166" spans="20:35">
      <c r="T166" s="74">
        <v>7</v>
      </c>
      <c r="U166" s="1" t="str">
        <f>U255</f>
        <v/>
      </c>
      <c r="V166" s="1">
        <f t="shared" ref="V166:X166" si="35">V255</f>
        <v>0</v>
      </c>
      <c r="W166" s="1" t="str">
        <f t="shared" si="35"/>
        <v/>
      </c>
      <c r="X166" s="1" t="str">
        <f t="shared" si="35"/>
        <v/>
      </c>
      <c r="Y166" s="215" t="str">
        <f t="shared" si="23"/>
        <v/>
      </c>
      <c r="Z166" s="215" t="str">
        <f>IFERROR(IF(X166="","",VLOOKUP(X166,$AO$3:$AU$45,6,FALSE)),"")</f>
        <v/>
      </c>
      <c r="AC166" s="74">
        <v>7</v>
      </c>
      <c r="AD166" s="1" t="str">
        <f>AD255</f>
        <v/>
      </c>
      <c r="AE166" s="1">
        <f t="shared" ref="AE166:AG166" si="36">AE255</f>
        <v>0</v>
      </c>
      <c r="AF166" s="1" t="str">
        <f t="shared" si="36"/>
        <v/>
      </c>
      <c r="AG166" s="1" t="str">
        <f t="shared" si="36"/>
        <v/>
      </c>
      <c r="AH166" s="215" t="str">
        <f t="shared" si="24"/>
        <v/>
      </c>
      <c r="AI166" s="215" t="str">
        <f>IFERROR(IF(AG166="","",VLOOKUP(AG166,$AO$3:$AU$45,6,FALSE)),"")</f>
        <v/>
      </c>
    </row>
    <row r="167" spans="20:35">
      <c r="T167" s="74"/>
      <c r="U167" s="1"/>
      <c r="V167" s="1"/>
      <c r="W167" s="1"/>
      <c r="Y167" s="216" t="str">
        <f t="shared" si="23"/>
        <v/>
      </c>
      <c r="Z167" s="216" t="str">
        <f>IFERROR(IF(X166="","",VLOOKUP(X166,$AO$3:$AU$45,2,FALSE)),"")</f>
        <v/>
      </c>
      <c r="AC167" s="74"/>
      <c r="AH167" s="216" t="str">
        <f t="shared" si="24"/>
        <v/>
      </c>
      <c r="AI167" s="216" t="str">
        <f>IFERROR(IF(AG166="","",VLOOKUP(AG166,$AO$3:$AU$45,2,FALSE)),"")</f>
        <v/>
      </c>
    </row>
    <row r="168" spans="20:35" ht="13.5" thickBot="1">
      <c r="T168" s="74"/>
      <c r="U168" s="1"/>
      <c r="V168" s="1"/>
      <c r="W168" s="1"/>
      <c r="Y168" s="216" t="str">
        <f t="shared" si="23"/>
        <v/>
      </c>
      <c r="Z168" s="216" t="str">
        <f>IFERROR(IF(X166="","",VLOOKUP(X166,$AO$3:$AU$45,3,FALSE)),"")</f>
        <v/>
      </c>
      <c r="AC168" s="74"/>
      <c r="AH168" s="216" t="str">
        <f t="shared" si="24"/>
        <v/>
      </c>
      <c r="AI168" s="216" t="str">
        <f>IFERROR(IF(AG166="","",VLOOKUP(AG166,$AO$3:$AU$45,3,FALSE)),"")</f>
        <v/>
      </c>
    </row>
    <row r="169" spans="20:35">
      <c r="T169" s="74">
        <v>8</v>
      </c>
      <c r="U169" s="1" t="str">
        <f>U256</f>
        <v/>
      </c>
      <c r="V169" s="1">
        <f t="shared" ref="V169:X169" si="37">V256</f>
        <v>0</v>
      </c>
      <c r="W169" s="1" t="str">
        <f t="shared" si="37"/>
        <v/>
      </c>
      <c r="X169" s="1" t="str">
        <f t="shared" si="37"/>
        <v/>
      </c>
      <c r="Y169" s="215" t="str">
        <f t="shared" si="23"/>
        <v/>
      </c>
      <c r="Z169" s="215" t="str">
        <f>IFERROR(IF(X169="","",VLOOKUP(X169,$AO$3:$AU$45,6,FALSE)),"")</f>
        <v/>
      </c>
      <c r="AC169" s="74">
        <v>8</v>
      </c>
      <c r="AD169" s="1" t="str">
        <f>AD256</f>
        <v/>
      </c>
      <c r="AE169" s="1">
        <f t="shared" ref="AE169:AG169" si="38">AE256</f>
        <v>0</v>
      </c>
      <c r="AF169" s="1" t="str">
        <f t="shared" si="38"/>
        <v/>
      </c>
      <c r="AG169" s="1" t="str">
        <f t="shared" si="38"/>
        <v/>
      </c>
      <c r="AH169" s="215" t="str">
        <f t="shared" si="24"/>
        <v/>
      </c>
      <c r="AI169" s="215" t="str">
        <f>IFERROR(IF(AG169="","",VLOOKUP(AG169,$AO$3:$AU$45,6,FALSE)),"")</f>
        <v/>
      </c>
    </row>
    <row r="170" spans="20:35">
      <c r="T170" s="74"/>
      <c r="U170" s="1"/>
      <c r="V170" s="1"/>
      <c r="W170" s="1"/>
      <c r="Y170" s="216" t="str">
        <f t="shared" si="23"/>
        <v/>
      </c>
      <c r="Z170" s="216" t="str">
        <f>IFERROR(IF(X169="","",VLOOKUP(X169,$AO$3:$AU$45,2,FALSE)),"")</f>
        <v/>
      </c>
      <c r="AC170" s="74"/>
      <c r="AH170" s="216" t="str">
        <f t="shared" si="24"/>
        <v/>
      </c>
      <c r="AI170" s="216" t="str">
        <f>IFERROR(IF(AG169="","",VLOOKUP(AG169,$AO$3:$AU$45,2,FALSE)),"")</f>
        <v/>
      </c>
    </row>
    <row r="171" spans="20:35" ht="13.5" thickBot="1">
      <c r="T171" s="74"/>
      <c r="U171" s="1"/>
      <c r="V171" s="1"/>
      <c r="W171" s="1"/>
      <c r="Y171" s="216" t="str">
        <f t="shared" si="23"/>
        <v/>
      </c>
      <c r="Z171" s="216" t="str">
        <f>IFERROR(IF(X169="","",VLOOKUP(X169,$AO$3:$AU$45,3,FALSE)),"")</f>
        <v/>
      </c>
      <c r="AC171" s="74"/>
      <c r="AH171" s="216" t="str">
        <f t="shared" si="24"/>
        <v/>
      </c>
      <c r="AI171" s="216" t="str">
        <f>IFERROR(IF(AG169="","",VLOOKUP(AG169,$AO$3:$AU$45,3,FALSE)),"")</f>
        <v/>
      </c>
    </row>
    <row r="172" spans="20:35">
      <c r="T172" s="74">
        <v>9</v>
      </c>
      <c r="U172" s="1" t="str">
        <f>U257</f>
        <v/>
      </c>
      <c r="V172" s="1">
        <f t="shared" ref="V172:X172" si="39">V257</f>
        <v>0</v>
      </c>
      <c r="W172" s="1" t="str">
        <f t="shared" si="39"/>
        <v/>
      </c>
      <c r="X172" s="1" t="str">
        <f t="shared" si="39"/>
        <v/>
      </c>
      <c r="Y172" s="215" t="str">
        <f t="shared" si="23"/>
        <v/>
      </c>
      <c r="Z172" s="215" t="str">
        <f>IFERROR(IF(X172="","",VLOOKUP(X172,$AO$3:$AU$45,6,FALSE)),"")</f>
        <v/>
      </c>
      <c r="AC172" s="74">
        <v>9</v>
      </c>
      <c r="AD172" s="1" t="str">
        <f>AD257</f>
        <v/>
      </c>
      <c r="AE172" s="1">
        <f t="shared" ref="AE172:AG172" si="40">AE257</f>
        <v>0</v>
      </c>
      <c r="AF172" s="1" t="str">
        <f t="shared" si="40"/>
        <v/>
      </c>
      <c r="AG172" s="1" t="str">
        <f t="shared" si="40"/>
        <v/>
      </c>
      <c r="AH172" s="215" t="str">
        <f t="shared" si="24"/>
        <v/>
      </c>
      <c r="AI172" s="215" t="str">
        <f>IFERROR(IF(AG172="","",VLOOKUP(AG172,$AO$3:$AU$45,6,FALSE)),"")</f>
        <v/>
      </c>
    </row>
    <row r="173" spans="20:35">
      <c r="T173" s="74"/>
      <c r="U173" s="1"/>
      <c r="V173" s="1"/>
      <c r="W173" s="1"/>
      <c r="Y173" s="216" t="str">
        <f t="shared" si="23"/>
        <v/>
      </c>
      <c r="Z173" s="216" t="str">
        <f>IFERROR(IF(X172="","",VLOOKUP(X172,$AO$3:$AU$45,2,FALSE)),"")</f>
        <v/>
      </c>
      <c r="AC173" s="74"/>
      <c r="AH173" s="216" t="str">
        <f t="shared" si="24"/>
        <v/>
      </c>
      <c r="AI173" s="216" t="str">
        <f>IFERROR(IF(AG172="","",VLOOKUP(AG172,$AO$3:$AU$45,2,FALSE)),"")</f>
        <v/>
      </c>
    </row>
    <row r="174" spans="20:35" ht="13.5" thickBot="1">
      <c r="T174" s="74"/>
      <c r="U174" s="1"/>
      <c r="V174" s="1"/>
      <c r="W174" s="1"/>
      <c r="Y174" s="216" t="str">
        <f t="shared" si="23"/>
        <v/>
      </c>
      <c r="Z174" s="216" t="str">
        <f>IFERROR(IF(X172="","",VLOOKUP(X172,$AO$3:$AU$45,3,FALSE)),"")</f>
        <v/>
      </c>
      <c r="AC174" s="74"/>
      <c r="AH174" s="216" t="str">
        <f t="shared" si="24"/>
        <v/>
      </c>
      <c r="AI174" s="216" t="str">
        <f>IFERROR(IF(AG172="","",VLOOKUP(AG172,$AO$3:$AU$45,3,FALSE)),"")</f>
        <v/>
      </c>
    </row>
    <row r="175" spans="20:35">
      <c r="T175" s="74">
        <v>10</v>
      </c>
      <c r="U175" s="1" t="str">
        <f>U258</f>
        <v/>
      </c>
      <c r="V175" s="1">
        <f t="shared" ref="V175:X175" si="41">V258</f>
        <v>0</v>
      </c>
      <c r="W175" s="1" t="str">
        <f t="shared" si="41"/>
        <v/>
      </c>
      <c r="X175" s="1" t="str">
        <f t="shared" si="41"/>
        <v/>
      </c>
      <c r="Y175" s="215" t="str">
        <f t="shared" si="23"/>
        <v/>
      </c>
      <c r="Z175" s="215" t="str">
        <f>IFERROR(IF(X175="","",VLOOKUP(X175,$AO$3:$AU$45,6,FALSE)),"")</f>
        <v/>
      </c>
      <c r="AC175" s="74">
        <v>10</v>
      </c>
      <c r="AD175" s="1" t="str">
        <f>AD258</f>
        <v/>
      </c>
      <c r="AE175" s="1">
        <f t="shared" ref="AE175:AG175" si="42">AE258</f>
        <v>0</v>
      </c>
      <c r="AF175" s="1" t="str">
        <f t="shared" si="42"/>
        <v/>
      </c>
      <c r="AG175" s="1" t="str">
        <f t="shared" si="42"/>
        <v/>
      </c>
      <c r="AH175" s="215" t="str">
        <f t="shared" si="24"/>
        <v/>
      </c>
      <c r="AI175" s="215" t="str">
        <f>IFERROR(IF(AG175="","",VLOOKUP(AG175,$AO$3:$AU$45,6,FALSE)),"")</f>
        <v/>
      </c>
    </row>
    <row r="176" spans="20:35">
      <c r="T176" s="74"/>
      <c r="U176" s="1"/>
      <c r="V176" s="1"/>
      <c r="W176" s="1"/>
      <c r="Y176" s="216" t="str">
        <f t="shared" si="23"/>
        <v/>
      </c>
      <c r="Z176" s="216" t="str">
        <f>IFERROR(IF(X175="","",VLOOKUP(X175,$AO$3:$AU$45,2,FALSE)),"")</f>
        <v/>
      </c>
      <c r="AC176" s="74"/>
      <c r="AH176" s="216" t="str">
        <f t="shared" si="24"/>
        <v/>
      </c>
      <c r="AI176" s="216" t="str">
        <f>IFERROR(IF(AG175="","",VLOOKUP(AG175,$AO$3:$AU$45,2,FALSE)),"")</f>
        <v/>
      </c>
    </row>
    <row r="177" spans="20:35" ht="13.5" thickBot="1">
      <c r="T177" s="76"/>
      <c r="U177" s="77"/>
      <c r="V177" s="77"/>
      <c r="W177" s="77"/>
      <c r="X177" s="77"/>
      <c r="Y177" s="421" t="str">
        <f t="shared" si="23"/>
        <v/>
      </c>
      <c r="Z177" s="421" t="str">
        <f>IFERROR(IF(X175="","",VLOOKUP(X175,$AO$3:$AU$45,3,FALSE)),"")</f>
        <v/>
      </c>
      <c r="AC177" s="76"/>
      <c r="AD177" s="77"/>
      <c r="AE177" s="77"/>
      <c r="AF177" s="77"/>
      <c r="AG177" s="77"/>
      <c r="AH177" s="421" t="str">
        <f t="shared" si="24"/>
        <v/>
      </c>
      <c r="AI177" s="421" t="str">
        <f>IFERROR(IF(AG175="","",VLOOKUP(AG175,$AO$3:$AU$45,3,FALSE)),"")</f>
        <v/>
      </c>
    </row>
    <row r="178" spans="20:35">
      <c r="U178"/>
      <c r="V178"/>
    </row>
    <row r="179" spans="20:35" ht="13.5" thickBot="1">
      <c r="T179" s="226" t="s">
        <v>2929</v>
      </c>
      <c r="AC179" s="226" t="s">
        <v>2929</v>
      </c>
      <c r="AD179" s="22"/>
      <c r="AE179" s="22"/>
      <c r="AF179" s="22"/>
    </row>
    <row r="180" spans="20:35">
      <c r="T180" s="214">
        <v>1</v>
      </c>
      <c r="U180" s="21" t="str">
        <f>U262</f>
        <v/>
      </c>
      <c r="V180" s="21">
        <f>V262</f>
        <v>0</v>
      </c>
      <c r="W180" s="21" t="str">
        <f t="shared" ref="W180:X180" si="43">W262</f>
        <v/>
      </c>
      <c r="X180" s="21" t="str">
        <f t="shared" si="43"/>
        <v/>
      </c>
      <c r="Y180" s="215" t="str">
        <f>IFERROR(IF(X180="","","N/A"),"")</f>
        <v/>
      </c>
      <c r="Z180" s="215" t="str">
        <f>IFERROR(IF(X180="","",VLOOKUP(X180,$AO$3:$AU$45,6,FALSE)),"")</f>
        <v/>
      </c>
      <c r="AC180" s="214">
        <v>1</v>
      </c>
      <c r="AD180" s="21" t="str">
        <f>AD262</f>
        <v/>
      </c>
      <c r="AE180" s="21">
        <f>AE262</f>
        <v>0</v>
      </c>
      <c r="AF180" s="21" t="str">
        <f t="shared" ref="AF180:AG180" si="44">AF262</f>
        <v/>
      </c>
      <c r="AG180" s="21" t="str">
        <f t="shared" si="44"/>
        <v/>
      </c>
      <c r="AH180" s="215" t="str">
        <f>IFERROR(IF(AG180="","","N/A"),"")</f>
        <v/>
      </c>
      <c r="AI180" s="215" t="str">
        <f>IFERROR(IF(AG180="","",VLOOKUP(AG180,$AO$3:$AU$45,6,FALSE)),"")</f>
        <v/>
      </c>
    </row>
    <row r="181" spans="20:35">
      <c r="T181" s="74"/>
      <c r="U181" s="1"/>
      <c r="V181" s="1"/>
      <c r="W181" s="1"/>
      <c r="Y181" s="216" t="str">
        <f t="shared" ref="Y181:Y209" si="45">IFERROR(IF(X181="","","N/A"),"")</f>
        <v/>
      </c>
      <c r="Z181" s="216" t="str">
        <f>IFERROR(IF(X180="","",VLOOKUP(X180,$AO$3:$AU$45,2,FALSE)),"")</f>
        <v/>
      </c>
      <c r="AC181" s="74"/>
      <c r="AH181" s="216" t="str">
        <f t="shared" ref="AH181:AH209" si="46">IFERROR(IF(AG181="","","N/A"),"")</f>
        <v/>
      </c>
      <c r="AI181" s="216" t="str">
        <f>IFERROR(IF(AG180="","",VLOOKUP(AG180,$AO$3:$AU$45,2,FALSE)),"")</f>
        <v/>
      </c>
    </row>
    <row r="182" spans="20:35" ht="13.5" thickBot="1">
      <c r="T182" s="74"/>
      <c r="U182" s="1"/>
      <c r="V182" s="1"/>
      <c r="W182" s="1"/>
      <c r="Y182" s="216" t="str">
        <f t="shared" si="45"/>
        <v/>
      </c>
      <c r="Z182" s="216" t="str">
        <f>IFERROR(IF(X180="","",VLOOKUP(X180,$AO$3:$AU$45,3,FALSE)),"")</f>
        <v/>
      </c>
      <c r="AC182" s="74"/>
      <c r="AH182" s="216" t="str">
        <f t="shared" si="46"/>
        <v/>
      </c>
      <c r="AI182" s="216" t="str">
        <f>IFERROR(IF(AG180="","",VLOOKUP(AG180,$AO$3:$AU$45,3,FALSE)),"")</f>
        <v/>
      </c>
    </row>
    <row r="183" spans="20:35">
      <c r="T183" s="74">
        <v>2</v>
      </c>
      <c r="U183" s="1" t="str">
        <f>U263</f>
        <v/>
      </c>
      <c r="V183" s="1">
        <f>V263</f>
        <v>0</v>
      </c>
      <c r="W183" s="1" t="str">
        <f t="shared" ref="W183:X183" si="47">W263</f>
        <v/>
      </c>
      <c r="X183" s="1" t="str">
        <f t="shared" si="47"/>
        <v/>
      </c>
      <c r="Y183" s="215" t="str">
        <f t="shared" si="45"/>
        <v/>
      </c>
      <c r="Z183" s="215" t="str">
        <f>IFERROR(IF(X183="","",VLOOKUP(X183,$AO$3:$AU$45,6,FALSE)),"")</f>
        <v/>
      </c>
      <c r="AC183" s="74">
        <v>2</v>
      </c>
      <c r="AD183" s="1" t="str">
        <f>AD263</f>
        <v/>
      </c>
      <c r="AE183" s="1">
        <f>AE263</f>
        <v>0</v>
      </c>
      <c r="AF183" s="1" t="str">
        <f t="shared" ref="AF183:AG183" si="48">AF263</f>
        <v/>
      </c>
      <c r="AG183" s="1" t="str">
        <f t="shared" si="48"/>
        <v/>
      </c>
      <c r="AH183" s="215" t="str">
        <f t="shared" si="46"/>
        <v/>
      </c>
      <c r="AI183" s="215" t="str">
        <f>IFERROR(IF(AG183="","",VLOOKUP(AG183,$AO$3:$AU$45,6,FALSE)),"")</f>
        <v/>
      </c>
    </row>
    <row r="184" spans="20:35">
      <c r="T184" s="74"/>
      <c r="U184" s="1"/>
      <c r="V184" s="1"/>
      <c r="W184" s="1"/>
      <c r="Y184" s="216" t="str">
        <f t="shared" si="45"/>
        <v/>
      </c>
      <c r="Z184" s="216" t="str">
        <f>IFERROR(IF(X183="","",VLOOKUP(X183,$AO$3:$AU$45,2,FALSE)),"")</f>
        <v/>
      </c>
      <c r="AC184" s="74"/>
      <c r="AH184" s="216" t="str">
        <f t="shared" si="46"/>
        <v/>
      </c>
      <c r="AI184" s="216" t="str">
        <f>IFERROR(IF(AG183="","",VLOOKUP(AG183,$AO$3:$AU$45,2,FALSE)),"")</f>
        <v/>
      </c>
    </row>
    <row r="185" spans="20:35" ht="13.5" thickBot="1">
      <c r="T185" s="74"/>
      <c r="U185" s="1"/>
      <c r="V185" s="1"/>
      <c r="W185" s="1"/>
      <c r="Y185" s="216" t="str">
        <f t="shared" si="45"/>
        <v/>
      </c>
      <c r="Z185" s="216" t="str">
        <f>IFERROR(IF(X183="","",VLOOKUP(X183,$AO$3:$AU$45,3,FALSE)),"")</f>
        <v/>
      </c>
      <c r="AC185" s="74"/>
      <c r="AH185" s="216" t="str">
        <f t="shared" si="46"/>
        <v/>
      </c>
      <c r="AI185" s="216" t="str">
        <f>IFERROR(IF(AG183="","",VLOOKUP(AG183,$AO$3:$AU$45,3,FALSE)),"")</f>
        <v/>
      </c>
    </row>
    <row r="186" spans="20:35">
      <c r="T186" s="74">
        <v>3</v>
      </c>
      <c r="U186" s="1" t="str">
        <f>U264</f>
        <v/>
      </c>
      <c r="V186" s="1">
        <f>V264</f>
        <v>0</v>
      </c>
      <c r="W186" s="1" t="str">
        <f t="shared" ref="W186:X186" si="49">W264</f>
        <v/>
      </c>
      <c r="X186" s="1" t="str">
        <f t="shared" si="49"/>
        <v/>
      </c>
      <c r="Y186" s="215" t="str">
        <f t="shared" si="45"/>
        <v/>
      </c>
      <c r="Z186" s="215" t="str">
        <f>IFERROR(IF(X186="","",VLOOKUP(X186,$AO$3:$AU$45,6,FALSE)),"")</f>
        <v/>
      </c>
      <c r="AC186" s="74">
        <v>3</v>
      </c>
      <c r="AD186" s="1" t="str">
        <f>AD264</f>
        <v/>
      </c>
      <c r="AE186" s="1">
        <f>AE264</f>
        <v>0</v>
      </c>
      <c r="AF186" s="1" t="str">
        <f t="shared" ref="AF186:AG186" si="50">AF264</f>
        <v/>
      </c>
      <c r="AG186" s="1" t="str">
        <f t="shared" si="50"/>
        <v/>
      </c>
      <c r="AH186" s="215" t="str">
        <f t="shared" si="46"/>
        <v/>
      </c>
      <c r="AI186" s="215" t="str">
        <f>IFERROR(IF(AG186="","",VLOOKUP(AG186,$AO$3:$AU$45,6,FALSE)),"")</f>
        <v/>
      </c>
    </row>
    <row r="187" spans="20:35">
      <c r="T187" s="74"/>
      <c r="U187" s="1"/>
      <c r="V187" s="1"/>
      <c r="W187" s="1"/>
      <c r="Y187" s="216" t="str">
        <f t="shared" si="45"/>
        <v/>
      </c>
      <c r="Z187" s="216" t="str">
        <f>IFERROR(IF(X186="","",VLOOKUP(X186,$AO$3:$AU$45,2,FALSE)),"")</f>
        <v/>
      </c>
      <c r="AC187" s="74"/>
      <c r="AH187" s="216" t="str">
        <f t="shared" si="46"/>
        <v/>
      </c>
      <c r="AI187" s="216" t="str">
        <f>IFERROR(IF(AG186="","",VLOOKUP(AG186,$AO$3:$AU$45,2,FALSE)),"")</f>
        <v/>
      </c>
    </row>
    <row r="188" spans="20:35" ht="13.5" thickBot="1">
      <c r="T188" s="74"/>
      <c r="U188" s="1"/>
      <c r="V188" s="1"/>
      <c r="W188" s="1"/>
      <c r="Y188" s="216" t="str">
        <f t="shared" si="45"/>
        <v/>
      </c>
      <c r="Z188" s="216" t="str">
        <f>IFERROR(IF(X186="","",VLOOKUP(X186,$AO$3:$AU$45,3,FALSE)),"")</f>
        <v/>
      </c>
      <c r="AC188" s="74"/>
      <c r="AH188" s="216" t="str">
        <f t="shared" si="46"/>
        <v/>
      </c>
      <c r="AI188" s="216" t="str">
        <f>IFERROR(IF(AG186="","",VLOOKUP(AG186,$AO$3:$AU$45,3,FALSE)),"")</f>
        <v/>
      </c>
    </row>
    <row r="189" spans="20:35">
      <c r="T189" s="74">
        <v>4</v>
      </c>
      <c r="U189" s="1" t="str">
        <f>U265</f>
        <v/>
      </c>
      <c r="V189" s="1">
        <f>V265</f>
        <v>0</v>
      </c>
      <c r="W189" s="1" t="str">
        <f t="shared" ref="W189:X189" si="51">W265</f>
        <v/>
      </c>
      <c r="X189" s="1" t="str">
        <f t="shared" si="51"/>
        <v/>
      </c>
      <c r="Y189" s="215" t="str">
        <f t="shared" si="45"/>
        <v/>
      </c>
      <c r="Z189" s="215" t="str">
        <f>IFERROR(IF(X189="","",VLOOKUP(X189,$AO$3:$AU$45,6,FALSE)),"")</f>
        <v/>
      </c>
      <c r="AC189" s="74">
        <v>4</v>
      </c>
      <c r="AD189" s="1" t="str">
        <f>AD265</f>
        <v/>
      </c>
      <c r="AE189" s="1">
        <f>AE265</f>
        <v>0</v>
      </c>
      <c r="AF189" s="1" t="str">
        <f t="shared" ref="AF189:AG189" si="52">AF265</f>
        <v/>
      </c>
      <c r="AG189" s="1" t="str">
        <f t="shared" si="52"/>
        <v/>
      </c>
      <c r="AH189" s="215" t="str">
        <f t="shared" si="46"/>
        <v/>
      </c>
      <c r="AI189" s="215" t="str">
        <f>IFERROR(IF(AG189="","",VLOOKUP(AG189,$AO$3:$AU$45,6,FALSE)),"")</f>
        <v/>
      </c>
    </row>
    <row r="190" spans="20:35">
      <c r="T190" s="74"/>
      <c r="U190" s="1"/>
      <c r="V190" s="1"/>
      <c r="W190" s="1"/>
      <c r="Y190" s="216" t="str">
        <f t="shared" si="45"/>
        <v/>
      </c>
      <c r="Z190" s="216" t="str">
        <f>IFERROR(IF(X189="","",VLOOKUP(X189,$AO$3:$AU$45,2,FALSE)),"")</f>
        <v/>
      </c>
      <c r="AC190" s="74"/>
      <c r="AH190" s="216" t="str">
        <f t="shared" si="46"/>
        <v/>
      </c>
      <c r="AI190" s="216" t="str">
        <f>IFERROR(IF(AG189="","",VLOOKUP(AG189,$AO$3:$AU$45,2,FALSE)),"")</f>
        <v/>
      </c>
    </row>
    <row r="191" spans="20:35" ht="13.5" thickBot="1">
      <c r="T191" s="74"/>
      <c r="U191" s="1"/>
      <c r="V191" s="1"/>
      <c r="W191" s="1"/>
      <c r="Y191" s="216" t="str">
        <f t="shared" si="45"/>
        <v/>
      </c>
      <c r="Z191" s="216" t="str">
        <f>IFERROR(IF(X189="","",VLOOKUP(X189,$AO$3:$AU$45,3,FALSE)),"")</f>
        <v/>
      </c>
      <c r="AC191" s="74"/>
      <c r="AH191" s="216" t="str">
        <f t="shared" si="46"/>
        <v/>
      </c>
      <c r="AI191" s="216" t="str">
        <f>IFERROR(IF(AG189="","",VLOOKUP(AG189,$AO$3:$AU$45,3,FALSE)),"")</f>
        <v/>
      </c>
    </row>
    <row r="192" spans="20:35">
      <c r="T192" s="74">
        <v>5</v>
      </c>
      <c r="U192" s="1" t="str">
        <f>U266</f>
        <v/>
      </c>
      <c r="V192" s="1">
        <f>V266</f>
        <v>0</v>
      </c>
      <c r="W192" s="1" t="str">
        <f t="shared" ref="W192:X192" si="53">W266</f>
        <v/>
      </c>
      <c r="X192" s="1" t="str">
        <f t="shared" si="53"/>
        <v/>
      </c>
      <c r="Y192" s="215" t="str">
        <f t="shared" si="45"/>
        <v/>
      </c>
      <c r="Z192" s="215" t="str">
        <f>IFERROR(IF(X192="","",VLOOKUP(X192,$AO$3:$AU$45,6,FALSE)),"")</f>
        <v/>
      </c>
      <c r="AC192" s="74">
        <v>5</v>
      </c>
      <c r="AD192" s="1" t="str">
        <f>AD266</f>
        <v/>
      </c>
      <c r="AE192" s="1">
        <f>AE266</f>
        <v>0</v>
      </c>
      <c r="AF192" s="1" t="str">
        <f t="shared" ref="AF192:AG192" si="54">AF266</f>
        <v/>
      </c>
      <c r="AG192" s="1" t="str">
        <f t="shared" si="54"/>
        <v/>
      </c>
      <c r="AH192" s="215" t="str">
        <f t="shared" si="46"/>
        <v/>
      </c>
      <c r="AI192" s="215" t="str">
        <f>IFERROR(IF(AG192="","",VLOOKUP(AG192,$AO$3:$AU$45,6,FALSE)),"")</f>
        <v/>
      </c>
    </row>
    <row r="193" spans="20:35">
      <c r="T193" s="74"/>
      <c r="U193" s="1"/>
      <c r="V193" s="1"/>
      <c r="W193" s="1"/>
      <c r="Y193" s="216" t="str">
        <f t="shared" si="45"/>
        <v/>
      </c>
      <c r="Z193" s="216" t="str">
        <f>IFERROR(IF(X192="","",VLOOKUP(X192,$AO$3:$AU$45,2,FALSE)),"")</f>
        <v/>
      </c>
      <c r="AC193" s="74"/>
      <c r="AH193" s="216" t="str">
        <f t="shared" si="46"/>
        <v/>
      </c>
      <c r="AI193" s="216" t="str">
        <f>IFERROR(IF(AG192="","",VLOOKUP(AG192,$AO$3:$AU$45,2,FALSE)),"")</f>
        <v/>
      </c>
    </row>
    <row r="194" spans="20:35" ht="13.5" thickBot="1">
      <c r="T194" s="74"/>
      <c r="U194" s="1"/>
      <c r="V194" s="1"/>
      <c r="W194" s="1"/>
      <c r="Y194" s="216" t="str">
        <f t="shared" si="45"/>
        <v/>
      </c>
      <c r="Z194" s="216" t="str">
        <f>IFERROR(IF(X192="","",VLOOKUP(X192,$AO$3:$AU$45,3,FALSE)),"")</f>
        <v/>
      </c>
      <c r="AC194" s="74"/>
      <c r="AH194" s="216" t="str">
        <f t="shared" si="46"/>
        <v/>
      </c>
      <c r="AI194" s="216" t="str">
        <f>IFERROR(IF(AG192="","",VLOOKUP(AG192,$AO$3:$AU$45,3,FALSE)),"")</f>
        <v/>
      </c>
    </row>
    <row r="195" spans="20:35">
      <c r="T195" s="74">
        <v>6</v>
      </c>
      <c r="U195" s="1" t="str">
        <f>U267</f>
        <v/>
      </c>
      <c r="V195" s="1">
        <f>V267</f>
        <v>0</v>
      </c>
      <c r="W195" s="1" t="str">
        <f t="shared" ref="W195:X195" si="55">W267</f>
        <v/>
      </c>
      <c r="X195" s="1" t="str">
        <f t="shared" si="55"/>
        <v/>
      </c>
      <c r="Y195" s="215" t="str">
        <f t="shared" si="45"/>
        <v/>
      </c>
      <c r="Z195" s="215" t="str">
        <f>IFERROR(IF(X195="","",VLOOKUP(X195,$AO$3:$AU$45,6,FALSE)),"")</f>
        <v/>
      </c>
      <c r="AC195" s="74">
        <v>6</v>
      </c>
      <c r="AD195" s="1" t="str">
        <f>AD267</f>
        <v/>
      </c>
      <c r="AE195" s="1">
        <f>AE267</f>
        <v>0</v>
      </c>
      <c r="AF195" s="1" t="str">
        <f t="shared" ref="AF195:AG195" si="56">AF267</f>
        <v/>
      </c>
      <c r="AG195" s="1" t="str">
        <f t="shared" si="56"/>
        <v/>
      </c>
      <c r="AH195" s="215" t="str">
        <f t="shared" si="46"/>
        <v/>
      </c>
      <c r="AI195" s="215" t="str">
        <f>IFERROR(IF(AG195="","",VLOOKUP(AG195,$AO$3:$AU$45,6,FALSE)),"")</f>
        <v/>
      </c>
    </row>
    <row r="196" spans="20:35">
      <c r="T196" s="74"/>
      <c r="U196" s="1"/>
      <c r="V196" s="1"/>
      <c r="W196" s="1"/>
      <c r="Y196" s="216" t="str">
        <f t="shared" si="45"/>
        <v/>
      </c>
      <c r="Z196" s="216" t="str">
        <f>IFERROR(IF(X195="","",VLOOKUP(X195,$AO$3:$AU$45,2,FALSE)),"")</f>
        <v/>
      </c>
      <c r="AC196" s="74"/>
      <c r="AH196" s="216" t="str">
        <f t="shared" si="46"/>
        <v/>
      </c>
      <c r="AI196" s="216" t="str">
        <f>IFERROR(IF(AG195="","",VLOOKUP(AG195,$AO$3:$AU$45,2,FALSE)),"")</f>
        <v/>
      </c>
    </row>
    <row r="197" spans="20:35" ht="13.5" thickBot="1">
      <c r="T197" s="74"/>
      <c r="U197" s="1"/>
      <c r="V197" s="1"/>
      <c r="W197" s="1"/>
      <c r="Y197" s="216" t="str">
        <f t="shared" si="45"/>
        <v/>
      </c>
      <c r="Z197" s="216" t="str">
        <f>IFERROR(IF(X195="","",VLOOKUP(X195,$AO$3:$AU$45,3,FALSE)),"")</f>
        <v/>
      </c>
      <c r="AC197" s="74"/>
      <c r="AH197" s="216" t="str">
        <f t="shared" si="46"/>
        <v/>
      </c>
      <c r="AI197" s="216" t="str">
        <f>IFERROR(IF(AG195="","",VLOOKUP(AG195,$AO$3:$AU$45,3,FALSE)),"")</f>
        <v/>
      </c>
    </row>
    <row r="198" spans="20:35">
      <c r="T198" s="74">
        <v>7</v>
      </c>
      <c r="U198" s="1" t="str">
        <f>U268</f>
        <v/>
      </c>
      <c r="V198" s="1">
        <f>V268</f>
        <v>0</v>
      </c>
      <c r="W198" s="1" t="str">
        <f t="shared" ref="W198:X198" si="57">W268</f>
        <v/>
      </c>
      <c r="X198" s="1" t="str">
        <f t="shared" si="57"/>
        <v/>
      </c>
      <c r="Y198" s="215" t="str">
        <f t="shared" si="45"/>
        <v/>
      </c>
      <c r="Z198" s="215" t="str">
        <f>IFERROR(IF(X198="","",VLOOKUP(X198,$AO$3:$AU$45,6,FALSE)),"")</f>
        <v/>
      </c>
      <c r="AC198" s="74">
        <v>7</v>
      </c>
      <c r="AD198" s="1" t="str">
        <f>AD268</f>
        <v/>
      </c>
      <c r="AE198" s="1">
        <f>AE268</f>
        <v>0</v>
      </c>
      <c r="AF198" s="1" t="str">
        <f t="shared" ref="AF198:AG198" si="58">AF268</f>
        <v/>
      </c>
      <c r="AG198" s="1" t="str">
        <f t="shared" si="58"/>
        <v/>
      </c>
      <c r="AH198" s="215" t="str">
        <f t="shared" si="46"/>
        <v/>
      </c>
      <c r="AI198" s="215" t="str">
        <f>IFERROR(IF(AG198="","",VLOOKUP(AG198,$AO$3:$AU$45,6,FALSE)),"")</f>
        <v/>
      </c>
    </row>
    <row r="199" spans="20:35">
      <c r="T199" s="74"/>
      <c r="U199" s="1"/>
      <c r="V199" s="1"/>
      <c r="W199" s="1"/>
      <c r="Y199" s="216" t="str">
        <f t="shared" si="45"/>
        <v/>
      </c>
      <c r="Z199" s="216" t="str">
        <f>IFERROR(IF(X198="","",VLOOKUP(X198,$AO$3:$AU$45,2,FALSE)),"")</f>
        <v/>
      </c>
      <c r="AC199" s="74"/>
      <c r="AH199" s="216" t="str">
        <f t="shared" si="46"/>
        <v/>
      </c>
      <c r="AI199" s="216" t="str">
        <f>IFERROR(IF(AG198="","",VLOOKUP(AG198,$AO$3:$AU$45,2,FALSE)),"")</f>
        <v/>
      </c>
    </row>
    <row r="200" spans="20:35" ht="13.5" thickBot="1">
      <c r="T200" s="74"/>
      <c r="U200" s="1"/>
      <c r="V200" s="1"/>
      <c r="W200" s="1"/>
      <c r="Y200" s="216" t="str">
        <f t="shared" si="45"/>
        <v/>
      </c>
      <c r="Z200" s="216" t="str">
        <f>IFERROR(IF(X198="","",VLOOKUP(X198,$AO$3:$AU$45,3,FALSE)),"")</f>
        <v/>
      </c>
      <c r="AC200" s="74"/>
      <c r="AH200" s="216" t="str">
        <f t="shared" si="46"/>
        <v/>
      </c>
      <c r="AI200" s="216" t="str">
        <f>IFERROR(IF(AG198="","",VLOOKUP(AG198,$AO$3:$AU$45,3,FALSE)),"")</f>
        <v/>
      </c>
    </row>
    <row r="201" spans="20:35">
      <c r="T201" s="74">
        <v>8</v>
      </c>
      <c r="U201" s="1" t="str">
        <f>U269</f>
        <v/>
      </c>
      <c r="V201" s="1">
        <f>V269</f>
        <v>0</v>
      </c>
      <c r="W201" s="1" t="str">
        <f t="shared" ref="W201:X201" si="59">W269</f>
        <v/>
      </c>
      <c r="X201" s="1" t="str">
        <f t="shared" si="59"/>
        <v/>
      </c>
      <c r="Y201" s="215" t="str">
        <f t="shared" si="45"/>
        <v/>
      </c>
      <c r="Z201" s="215" t="str">
        <f>IFERROR(IF(X201="","",VLOOKUP(X201,$AO$3:$AU$45,6,FALSE)),"")</f>
        <v/>
      </c>
      <c r="AC201" s="74">
        <v>8</v>
      </c>
      <c r="AD201" s="1" t="str">
        <f>AD269</f>
        <v/>
      </c>
      <c r="AE201" s="1">
        <f>AE269</f>
        <v>0</v>
      </c>
      <c r="AF201" s="1" t="str">
        <f t="shared" ref="AF201:AG201" si="60">AF269</f>
        <v/>
      </c>
      <c r="AG201" s="1" t="str">
        <f t="shared" si="60"/>
        <v/>
      </c>
      <c r="AH201" s="215" t="str">
        <f t="shared" si="46"/>
        <v/>
      </c>
      <c r="AI201" s="215" t="str">
        <f>IFERROR(IF(AG201="","",VLOOKUP(AG201,$AO$3:$AU$45,6,FALSE)),"")</f>
        <v/>
      </c>
    </row>
    <row r="202" spans="20:35">
      <c r="T202" s="74"/>
      <c r="U202" s="1"/>
      <c r="V202" s="1"/>
      <c r="W202" s="1"/>
      <c r="Y202" s="216" t="str">
        <f t="shared" si="45"/>
        <v/>
      </c>
      <c r="Z202" s="216" t="str">
        <f>IFERROR(IF(X201="","",VLOOKUP(X201,$AO$3:$AU$45,2,FALSE)),"")</f>
        <v/>
      </c>
      <c r="AC202" s="74"/>
      <c r="AH202" s="216" t="str">
        <f t="shared" si="46"/>
        <v/>
      </c>
      <c r="AI202" s="216" t="str">
        <f>IFERROR(IF(AG201="","",VLOOKUP(AG201,$AO$3:$AU$45,2,FALSE)),"")</f>
        <v/>
      </c>
    </row>
    <row r="203" spans="20:35" ht="13.5" thickBot="1">
      <c r="T203" s="74"/>
      <c r="U203" s="1"/>
      <c r="V203" s="1"/>
      <c r="W203" s="1"/>
      <c r="Y203" s="216" t="str">
        <f t="shared" si="45"/>
        <v/>
      </c>
      <c r="Z203" s="216" t="str">
        <f>IFERROR(IF(X201="","",VLOOKUP(X201,$AO$3:$AU$45,3,FALSE)),"")</f>
        <v/>
      </c>
      <c r="AC203" s="74"/>
      <c r="AH203" s="216" t="str">
        <f t="shared" si="46"/>
        <v/>
      </c>
      <c r="AI203" s="216" t="str">
        <f>IFERROR(IF(AG201="","",VLOOKUP(AG201,$AO$3:$AU$45,3,FALSE)),"")</f>
        <v/>
      </c>
    </row>
    <row r="204" spans="20:35">
      <c r="T204" s="74">
        <v>9</v>
      </c>
      <c r="U204" s="1" t="str">
        <f>U270</f>
        <v/>
      </c>
      <c r="V204" s="1">
        <f>V270</f>
        <v>0</v>
      </c>
      <c r="W204" s="1" t="str">
        <f t="shared" ref="W204:X204" si="61">W270</f>
        <v/>
      </c>
      <c r="X204" s="1" t="str">
        <f t="shared" si="61"/>
        <v/>
      </c>
      <c r="Y204" s="215" t="str">
        <f t="shared" si="45"/>
        <v/>
      </c>
      <c r="Z204" s="215" t="str">
        <f>IFERROR(IF(X204="","",VLOOKUP(X204,$AO$3:$AU$45,6,FALSE)),"")</f>
        <v/>
      </c>
      <c r="AC204" s="74">
        <v>9</v>
      </c>
      <c r="AD204" s="1" t="str">
        <f>AD270</f>
        <v/>
      </c>
      <c r="AE204" s="1">
        <f>AE270</f>
        <v>0</v>
      </c>
      <c r="AF204" s="1" t="str">
        <f t="shared" ref="AF204:AG204" si="62">AF270</f>
        <v/>
      </c>
      <c r="AG204" s="1" t="str">
        <f t="shared" si="62"/>
        <v/>
      </c>
      <c r="AH204" s="215" t="str">
        <f t="shared" si="46"/>
        <v/>
      </c>
      <c r="AI204" s="215" t="str">
        <f>IFERROR(IF(AG204="","",VLOOKUP(AG204,$AO$3:$AU$45,6,FALSE)),"")</f>
        <v/>
      </c>
    </row>
    <row r="205" spans="20:35">
      <c r="T205" s="74"/>
      <c r="U205" s="1"/>
      <c r="V205" s="1"/>
      <c r="W205" s="1"/>
      <c r="Y205" s="216" t="str">
        <f t="shared" si="45"/>
        <v/>
      </c>
      <c r="Z205" s="216" t="str">
        <f>IFERROR(IF(X204="","",VLOOKUP(X204,$AO$3:$AU$45,2,FALSE)),"")</f>
        <v/>
      </c>
      <c r="AC205" s="74"/>
      <c r="AH205" s="216" t="str">
        <f t="shared" si="46"/>
        <v/>
      </c>
      <c r="AI205" s="216" t="str">
        <f>IFERROR(IF(AG204="","",VLOOKUP(AG204,$AO$3:$AU$45,2,FALSE)),"")</f>
        <v/>
      </c>
    </row>
    <row r="206" spans="20:35" ht="13.5" thickBot="1">
      <c r="T206" s="74"/>
      <c r="U206" s="1"/>
      <c r="V206" s="1"/>
      <c r="W206" s="1"/>
      <c r="Y206" s="216" t="str">
        <f t="shared" si="45"/>
        <v/>
      </c>
      <c r="Z206" s="216" t="str">
        <f>IFERROR(IF(X204="","",VLOOKUP(X204,$AO$3:$AU$45,3,FALSE)),"")</f>
        <v/>
      </c>
      <c r="AC206" s="74"/>
      <c r="AH206" s="216" t="str">
        <f t="shared" si="46"/>
        <v/>
      </c>
      <c r="AI206" s="216" t="str">
        <f>IFERROR(IF(AG204="","",VLOOKUP(AG204,$AO$3:$AU$45,3,FALSE)),"")</f>
        <v/>
      </c>
    </row>
    <row r="207" spans="20:35">
      <c r="T207" s="74">
        <v>10</v>
      </c>
      <c r="U207" s="1" t="str">
        <f>U271</f>
        <v/>
      </c>
      <c r="V207" s="1">
        <f>V271</f>
        <v>0</v>
      </c>
      <c r="W207" s="1" t="str">
        <f t="shared" ref="W207:X207" si="63">W271</f>
        <v/>
      </c>
      <c r="X207" s="1" t="str">
        <f t="shared" si="63"/>
        <v/>
      </c>
      <c r="Y207" s="215" t="str">
        <f t="shared" si="45"/>
        <v/>
      </c>
      <c r="Z207" s="215" t="str">
        <f>IFERROR(IF(X207="","",VLOOKUP(X207,$AO$3:$AU$45,6,FALSE)),"")</f>
        <v/>
      </c>
      <c r="AC207" s="74">
        <v>10</v>
      </c>
      <c r="AD207" s="1" t="str">
        <f>AD271</f>
        <v/>
      </c>
      <c r="AE207" s="1">
        <f>AE271</f>
        <v>0</v>
      </c>
      <c r="AF207" s="1" t="str">
        <f t="shared" ref="AF207:AG207" si="64">AF271</f>
        <v/>
      </c>
      <c r="AG207" s="1" t="str">
        <f t="shared" si="64"/>
        <v/>
      </c>
      <c r="AH207" s="215" t="str">
        <f t="shared" si="46"/>
        <v/>
      </c>
      <c r="AI207" s="215" t="str">
        <f>IFERROR(IF(AG207="","",VLOOKUP(AG207,$AO$3:$AU$45,6,FALSE)),"")</f>
        <v/>
      </c>
    </row>
    <row r="208" spans="20:35">
      <c r="T208" s="74"/>
      <c r="U208" s="1"/>
      <c r="V208" s="1"/>
      <c r="W208" s="1"/>
      <c r="Y208" s="216" t="str">
        <f t="shared" si="45"/>
        <v/>
      </c>
      <c r="Z208" s="216" t="str">
        <f>IFERROR(IF(X207="","",VLOOKUP(X207,$AO$3:$AU$45,2,FALSE)),"")</f>
        <v/>
      </c>
      <c r="AC208" s="74"/>
      <c r="AH208" s="216" t="str">
        <f t="shared" si="46"/>
        <v/>
      </c>
      <c r="AI208" s="216" t="str">
        <f>IFERROR(IF(AG207="","",VLOOKUP(AG207,$AO$3:$AU$45,2,FALSE)),"")</f>
        <v/>
      </c>
    </row>
    <row r="209" spans="20:35" ht="13.5" thickBot="1">
      <c r="T209" s="76"/>
      <c r="U209" s="77"/>
      <c r="V209" s="77"/>
      <c r="W209" s="77"/>
      <c r="X209" s="77"/>
      <c r="Y209" s="421" t="str">
        <f t="shared" si="45"/>
        <v/>
      </c>
      <c r="Z209" s="421" t="str">
        <f>IFERROR(IF(X207="","",VLOOKUP(X207,$AO$3:$AU$45,3,FALSE)),"")</f>
        <v/>
      </c>
      <c r="AC209" s="76"/>
      <c r="AD209" s="77"/>
      <c r="AE209" s="77"/>
      <c r="AF209" s="77"/>
      <c r="AG209" s="77"/>
      <c r="AH209" s="421" t="str">
        <f t="shared" si="46"/>
        <v/>
      </c>
      <c r="AI209" s="421" t="str">
        <f>IFERROR(IF(AG207="","",VLOOKUP(AG207,$AO$3:$AU$45,3,FALSE)),"")</f>
        <v/>
      </c>
    </row>
    <row r="210" spans="20:35">
      <c r="U210"/>
      <c r="V210"/>
    </row>
    <row r="211" spans="20:35" ht="13.5" thickBot="1">
      <c r="T211" s="226" t="s">
        <v>2930</v>
      </c>
      <c r="AC211" s="226" t="s">
        <v>2930</v>
      </c>
      <c r="AD211" s="22"/>
      <c r="AE211" s="22"/>
      <c r="AF211" s="22"/>
    </row>
    <row r="212" spans="20:35">
      <c r="T212" s="214">
        <v>1</v>
      </c>
      <c r="U212" s="21" t="str">
        <f>U275</f>
        <v/>
      </c>
      <c r="V212" s="21">
        <f t="shared" ref="V212:X212" si="65">V275</f>
        <v>0</v>
      </c>
      <c r="W212" s="21" t="str">
        <f t="shared" si="65"/>
        <v/>
      </c>
      <c r="X212" s="21" t="str">
        <f t="shared" si="65"/>
        <v/>
      </c>
      <c r="Y212" s="215" t="str">
        <f>IFERROR(IF(X212="","","N/A"),"")</f>
        <v/>
      </c>
      <c r="Z212" s="215" t="str">
        <f>IFERROR(IF(X212="","",VLOOKUP(X212,$AO$3:$AU$45,6,FALSE)),"")</f>
        <v/>
      </c>
      <c r="AC212" s="214">
        <v>1</v>
      </c>
      <c r="AD212" s="21" t="str">
        <f>AD275</f>
        <v/>
      </c>
      <c r="AE212" s="21">
        <f t="shared" ref="AE212:AG212" si="66">AE275</f>
        <v>0</v>
      </c>
      <c r="AF212" s="21" t="str">
        <f t="shared" si="66"/>
        <v/>
      </c>
      <c r="AG212" s="21" t="str">
        <f t="shared" si="66"/>
        <v/>
      </c>
      <c r="AH212" s="215" t="str">
        <f>IFERROR(IF(AG212="","","N/A"),"")</f>
        <v/>
      </c>
      <c r="AI212" s="215" t="str">
        <f>IFERROR(IF(AG212="","",VLOOKUP(AG212,$AO$3:$AU$45,6,FALSE)),"")</f>
        <v/>
      </c>
    </row>
    <row r="213" spans="20:35">
      <c r="T213" s="74"/>
      <c r="U213" s="1"/>
      <c r="V213" s="1"/>
      <c r="W213" s="1"/>
      <c r="Y213" s="216" t="str">
        <f t="shared" ref="Y213:Y241" si="67">IFERROR(IF(X213="","","N/A"),"")</f>
        <v/>
      </c>
      <c r="Z213" s="216" t="str">
        <f>IFERROR(IF(X212="","",VLOOKUP(X212,$AO$3:$AU$45,2,FALSE)),"")</f>
        <v/>
      </c>
      <c r="AC213" s="74"/>
      <c r="AH213" s="216" t="str">
        <f t="shared" ref="AH213:AH241" si="68">IFERROR(IF(AG213="","","N/A"),"")</f>
        <v/>
      </c>
      <c r="AI213" s="216" t="str">
        <f>IFERROR(IF(AG212="","",VLOOKUP(AG212,$AO$3:$AU$45,2,FALSE)),"")</f>
        <v/>
      </c>
    </row>
    <row r="214" spans="20:35" ht="13.5" thickBot="1">
      <c r="T214" s="74"/>
      <c r="U214" s="1"/>
      <c r="V214" s="1"/>
      <c r="W214" s="1"/>
      <c r="Y214" s="216" t="str">
        <f t="shared" si="67"/>
        <v/>
      </c>
      <c r="Z214" s="216" t="str">
        <f>IFERROR(IF(X212="","",VLOOKUP(X212,$AO$3:$AU$45,3,FALSE)),"")</f>
        <v/>
      </c>
      <c r="AC214" s="74"/>
      <c r="AH214" s="216" t="str">
        <f t="shared" si="68"/>
        <v/>
      </c>
      <c r="AI214" s="216" t="str">
        <f>IFERROR(IF(AG212="","",VLOOKUP(AG212,$AO$3:$AU$45,3,FALSE)),"")</f>
        <v/>
      </c>
    </row>
    <row r="215" spans="20:35">
      <c r="T215" s="74">
        <v>2</v>
      </c>
      <c r="U215" s="1" t="str">
        <f>U276</f>
        <v/>
      </c>
      <c r="V215" s="1">
        <f t="shared" ref="V215:X215" si="69">V276</f>
        <v>0</v>
      </c>
      <c r="W215" s="1" t="str">
        <f t="shared" si="69"/>
        <v/>
      </c>
      <c r="X215" s="1" t="str">
        <f t="shared" si="69"/>
        <v/>
      </c>
      <c r="Y215" s="215" t="str">
        <f t="shared" si="67"/>
        <v/>
      </c>
      <c r="Z215" s="215" t="str">
        <f>IFERROR(IF(X215="","",VLOOKUP(X215,$AO$3:$AU$45,6,FALSE)),"")</f>
        <v/>
      </c>
      <c r="AC215" s="74">
        <v>2</v>
      </c>
      <c r="AD215" s="1" t="str">
        <f>AD276</f>
        <v/>
      </c>
      <c r="AE215" s="1">
        <f t="shared" ref="AE215:AG215" si="70">AE276</f>
        <v>0</v>
      </c>
      <c r="AF215" s="1" t="str">
        <f t="shared" si="70"/>
        <v/>
      </c>
      <c r="AG215" s="1" t="str">
        <f t="shared" si="70"/>
        <v/>
      </c>
      <c r="AH215" s="215" t="str">
        <f t="shared" si="68"/>
        <v/>
      </c>
      <c r="AI215" s="215" t="str">
        <f>IFERROR(IF(AG215="","",VLOOKUP(AG215,$AO$3:$AU$45,6,FALSE)),"")</f>
        <v/>
      </c>
    </row>
    <row r="216" spans="20:35">
      <c r="T216" s="74"/>
      <c r="U216" s="1"/>
      <c r="V216" s="1"/>
      <c r="W216" s="1"/>
      <c r="Y216" s="216" t="str">
        <f t="shared" si="67"/>
        <v/>
      </c>
      <c r="Z216" s="216" t="str">
        <f>IFERROR(IF(X215="","",VLOOKUP(X215,$AO$3:$AU$45,2,FALSE)),"")</f>
        <v/>
      </c>
      <c r="AC216" s="74"/>
      <c r="AH216" s="216" t="str">
        <f t="shared" si="68"/>
        <v/>
      </c>
      <c r="AI216" s="216" t="str">
        <f>IFERROR(IF(AG215="","",VLOOKUP(AG215,$AO$3:$AU$45,2,FALSE)),"")</f>
        <v/>
      </c>
    </row>
    <row r="217" spans="20:35" ht="13.5" thickBot="1">
      <c r="T217" s="74"/>
      <c r="U217" s="1"/>
      <c r="V217" s="1"/>
      <c r="W217" s="1"/>
      <c r="Y217" s="216" t="str">
        <f t="shared" si="67"/>
        <v/>
      </c>
      <c r="Z217" s="216" t="str">
        <f>IFERROR(IF(X215="","",VLOOKUP(X215,$AO$3:$AU$45,3,FALSE)),"")</f>
        <v/>
      </c>
      <c r="AC217" s="74"/>
      <c r="AH217" s="216" t="str">
        <f t="shared" si="68"/>
        <v/>
      </c>
      <c r="AI217" s="216" t="str">
        <f>IFERROR(IF(AG215="","",VLOOKUP(AG215,$AO$3:$AU$45,3,FALSE)),"")</f>
        <v/>
      </c>
    </row>
    <row r="218" spans="20:35">
      <c r="T218" s="74">
        <v>3</v>
      </c>
      <c r="U218" s="1" t="str">
        <f>U277</f>
        <v/>
      </c>
      <c r="V218" s="1">
        <f t="shared" ref="V218:X218" si="71">V277</f>
        <v>0</v>
      </c>
      <c r="W218" s="1" t="str">
        <f t="shared" si="71"/>
        <v/>
      </c>
      <c r="X218" s="1" t="str">
        <f t="shared" si="71"/>
        <v/>
      </c>
      <c r="Y218" s="215" t="str">
        <f t="shared" si="67"/>
        <v/>
      </c>
      <c r="Z218" s="215" t="str">
        <f>IFERROR(IF(X218="","",VLOOKUP(X218,$AO$3:$AU$45,6,FALSE)),"")</f>
        <v/>
      </c>
      <c r="AC218" s="74">
        <v>3</v>
      </c>
      <c r="AD218" s="1" t="str">
        <f>AD277</f>
        <v/>
      </c>
      <c r="AE218" s="1">
        <f t="shared" ref="AE218:AG218" si="72">AE277</f>
        <v>0</v>
      </c>
      <c r="AF218" s="1" t="str">
        <f t="shared" si="72"/>
        <v/>
      </c>
      <c r="AG218" s="1" t="str">
        <f t="shared" si="72"/>
        <v/>
      </c>
      <c r="AH218" s="215" t="str">
        <f t="shared" si="68"/>
        <v/>
      </c>
      <c r="AI218" s="215" t="str">
        <f>IFERROR(IF(AG218="","",VLOOKUP(AG218,$AO$3:$AU$45,6,FALSE)),"")</f>
        <v/>
      </c>
    </row>
    <row r="219" spans="20:35">
      <c r="T219" s="74"/>
      <c r="U219" s="1"/>
      <c r="V219" s="1"/>
      <c r="W219" s="1"/>
      <c r="Y219" s="216" t="str">
        <f t="shared" si="67"/>
        <v/>
      </c>
      <c r="Z219" s="216" t="str">
        <f>IFERROR(IF(X218="","",VLOOKUP(X218,$AO$3:$AU$45,2,FALSE)),"")</f>
        <v/>
      </c>
      <c r="AC219" s="74"/>
      <c r="AH219" s="216" t="str">
        <f t="shared" si="68"/>
        <v/>
      </c>
      <c r="AI219" s="216" t="str">
        <f>IFERROR(IF(AG218="","",VLOOKUP(AG218,$AO$3:$AU$45,2,FALSE)),"")</f>
        <v/>
      </c>
    </row>
    <row r="220" spans="20:35" ht="13.5" thickBot="1">
      <c r="T220" s="74"/>
      <c r="U220" s="1"/>
      <c r="V220" s="1"/>
      <c r="W220" s="1"/>
      <c r="Y220" s="216" t="str">
        <f t="shared" si="67"/>
        <v/>
      </c>
      <c r="Z220" s="216" t="str">
        <f>IFERROR(IF(X218="","",VLOOKUP(X218,$AO$3:$AU$45,3,FALSE)),"")</f>
        <v/>
      </c>
      <c r="AC220" s="74"/>
      <c r="AH220" s="216" t="str">
        <f t="shared" si="68"/>
        <v/>
      </c>
      <c r="AI220" s="216" t="str">
        <f>IFERROR(IF(AG218="","",VLOOKUP(AG218,$AO$3:$AU$45,3,FALSE)),"")</f>
        <v/>
      </c>
    </row>
    <row r="221" spans="20:35">
      <c r="T221" s="74">
        <v>4</v>
      </c>
      <c r="U221" s="1" t="str">
        <f>U278</f>
        <v/>
      </c>
      <c r="V221" s="1">
        <f t="shared" ref="V221:X221" si="73">V278</f>
        <v>0</v>
      </c>
      <c r="W221" s="1" t="str">
        <f t="shared" si="73"/>
        <v/>
      </c>
      <c r="X221" s="1" t="str">
        <f t="shared" si="73"/>
        <v/>
      </c>
      <c r="Y221" s="215" t="str">
        <f t="shared" si="67"/>
        <v/>
      </c>
      <c r="Z221" s="215" t="str">
        <f>IFERROR(IF(X221="","",VLOOKUP(X221,$AO$3:$AU$45,6,FALSE)),"")</f>
        <v/>
      </c>
      <c r="AC221" s="74">
        <v>4</v>
      </c>
      <c r="AD221" s="1" t="str">
        <f>AD278</f>
        <v/>
      </c>
      <c r="AE221" s="1">
        <f t="shared" ref="AE221:AG221" si="74">AE278</f>
        <v>0</v>
      </c>
      <c r="AF221" s="1" t="str">
        <f t="shared" si="74"/>
        <v/>
      </c>
      <c r="AG221" s="1" t="str">
        <f t="shared" si="74"/>
        <v/>
      </c>
      <c r="AH221" s="215" t="str">
        <f t="shared" si="68"/>
        <v/>
      </c>
      <c r="AI221" s="215" t="str">
        <f>IFERROR(IF(AG221="","",VLOOKUP(AG221,$AO$3:$AU$45,6,FALSE)),"")</f>
        <v/>
      </c>
    </row>
    <row r="222" spans="20:35">
      <c r="T222" s="74"/>
      <c r="U222" s="1"/>
      <c r="V222" s="1"/>
      <c r="W222" s="1"/>
      <c r="Y222" s="216" t="str">
        <f t="shared" si="67"/>
        <v/>
      </c>
      <c r="Z222" s="216" t="str">
        <f>IFERROR(IF(X221="","",VLOOKUP(X221,$AO$3:$AU$45,2,FALSE)),"")</f>
        <v/>
      </c>
      <c r="AC222" s="74"/>
      <c r="AH222" s="216" t="str">
        <f t="shared" si="68"/>
        <v/>
      </c>
      <c r="AI222" s="216" t="str">
        <f>IFERROR(IF(AG221="","",VLOOKUP(AG221,$AO$3:$AU$45,2,FALSE)),"")</f>
        <v/>
      </c>
    </row>
    <row r="223" spans="20:35" ht="13.5" thickBot="1">
      <c r="T223" s="74"/>
      <c r="U223" s="1"/>
      <c r="V223" s="1"/>
      <c r="W223" s="1"/>
      <c r="Y223" s="216" t="str">
        <f t="shared" si="67"/>
        <v/>
      </c>
      <c r="Z223" s="216" t="str">
        <f>IFERROR(IF(X221="","",VLOOKUP(X221,$AO$3:$AU$45,3,FALSE)),"")</f>
        <v/>
      </c>
      <c r="AC223" s="74"/>
      <c r="AH223" s="216" t="str">
        <f t="shared" si="68"/>
        <v/>
      </c>
      <c r="AI223" s="216" t="str">
        <f>IFERROR(IF(AG221="","",VLOOKUP(AG221,$AO$3:$AU$45,3,FALSE)),"")</f>
        <v/>
      </c>
    </row>
    <row r="224" spans="20:35">
      <c r="T224" s="74">
        <v>5</v>
      </c>
      <c r="U224" s="1" t="str">
        <f>U279</f>
        <v/>
      </c>
      <c r="V224" s="1">
        <f t="shared" ref="V224:X224" si="75">V279</f>
        <v>0</v>
      </c>
      <c r="W224" s="1" t="str">
        <f t="shared" si="75"/>
        <v/>
      </c>
      <c r="X224" s="1" t="str">
        <f t="shared" si="75"/>
        <v/>
      </c>
      <c r="Y224" s="215" t="str">
        <f t="shared" si="67"/>
        <v/>
      </c>
      <c r="Z224" s="215" t="str">
        <f>IFERROR(IF(X224="","",VLOOKUP(X224,$AO$3:$AU$45,6,FALSE)),"")</f>
        <v/>
      </c>
      <c r="AC224" s="74">
        <v>5</v>
      </c>
      <c r="AD224" s="1" t="str">
        <f>AD279</f>
        <v/>
      </c>
      <c r="AE224" s="1">
        <f t="shared" ref="AE224:AG224" si="76">AE279</f>
        <v>0</v>
      </c>
      <c r="AF224" s="1" t="str">
        <f t="shared" si="76"/>
        <v/>
      </c>
      <c r="AG224" s="1" t="str">
        <f t="shared" si="76"/>
        <v/>
      </c>
      <c r="AH224" s="215" t="str">
        <f t="shared" si="68"/>
        <v/>
      </c>
      <c r="AI224" s="215" t="str">
        <f>IFERROR(IF(AG224="","",VLOOKUP(AG224,$AO$3:$AU$45,6,FALSE)),"")</f>
        <v/>
      </c>
    </row>
    <row r="225" spans="20:35">
      <c r="T225" s="74"/>
      <c r="U225" s="1"/>
      <c r="V225" s="1"/>
      <c r="W225" s="1"/>
      <c r="Y225" s="216" t="str">
        <f t="shared" si="67"/>
        <v/>
      </c>
      <c r="Z225" s="216" t="str">
        <f>IFERROR(IF(X224="","",VLOOKUP(X224,$AO$3:$AU$45,2,FALSE)),"")</f>
        <v/>
      </c>
      <c r="AC225" s="74"/>
      <c r="AH225" s="216" t="str">
        <f t="shared" si="68"/>
        <v/>
      </c>
      <c r="AI225" s="216" t="str">
        <f>IFERROR(IF(AG224="","",VLOOKUP(AG224,$AO$3:$AU$45,2,FALSE)),"")</f>
        <v/>
      </c>
    </row>
    <row r="226" spans="20:35" ht="13.5" thickBot="1">
      <c r="T226" s="74"/>
      <c r="U226" s="1"/>
      <c r="V226" s="1"/>
      <c r="W226" s="1"/>
      <c r="Y226" s="216" t="str">
        <f t="shared" si="67"/>
        <v/>
      </c>
      <c r="Z226" s="216" t="str">
        <f>IFERROR(IF(X224="","",VLOOKUP(X224,$AO$3:$AU$45,3,FALSE)),"")</f>
        <v/>
      </c>
      <c r="AC226" s="74"/>
      <c r="AH226" s="216" t="str">
        <f t="shared" si="68"/>
        <v/>
      </c>
      <c r="AI226" s="216" t="str">
        <f>IFERROR(IF(AG224="","",VLOOKUP(AG224,$AO$3:$AU$45,3,FALSE)),"")</f>
        <v/>
      </c>
    </row>
    <row r="227" spans="20:35">
      <c r="T227" s="74">
        <v>6</v>
      </c>
      <c r="U227" s="1" t="str">
        <f>U280</f>
        <v/>
      </c>
      <c r="V227" s="1">
        <f t="shared" ref="V227:X227" si="77">V280</f>
        <v>0</v>
      </c>
      <c r="W227" s="1" t="str">
        <f t="shared" si="77"/>
        <v/>
      </c>
      <c r="X227" s="1" t="str">
        <f t="shared" si="77"/>
        <v/>
      </c>
      <c r="Y227" s="215" t="str">
        <f t="shared" si="67"/>
        <v/>
      </c>
      <c r="Z227" s="215" t="str">
        <f>IFERROR(IF(X227="","",VLOOKUP(X227,$AO$3:$AU$45,6,FALSE)),"")</f>
        <v/>
      </c>
      <c r="AC227" s="74">
        <v>6</v>
      </c>
      <c r="AD227" s="1" t="str">
        <f>AD280</f>
        <v/>
      </c>
      <c r="AE227" s="1">
        <f t="shared" ref="AE227:AG227" si="78">AE280</f>
        <v>0</v>
      </c>
      <c r="AF227" s="1" t="str">
        <f t="shared" si="78"/>
        <v/>
      </c>
      <c r="AG227" s="1" t="str">
        <f t="shared" si="78"/>
        <v/>
      </c>
      <c r="AH227" s="215" t="str">
        <f t="shared" si="68"/>
        <v/>
      </c>
      <c r="AI227" s="215" t="str">
        <f>IFERROR(IF(AG227="","",VLOOKUP(AG227,$AO$3:$AU$45,6,FALSE)),"")</f>
        <v/>
      </c>
    </row>
    <row r="228" spans="20:35">
      <c r="T228" s="74"/>
      <c r="U228" s="1"/>
      <c r="V228" s="1"/>
      <c r="W228" s="1"/>
      <c r="Y228" s="216" t="str">
        <f t="shared" si="67"/>
        <v/>
      </c>
      <c r="Z228" s="216" t="str">
        <f>IFERROR(IF(X227="","",VLOOKUP(X227,$AO$3:$AU$45,2,FALSE)),"")</f>
        <v/>
      </c>
      <c r="AC228" s="74"/>
      <c r="AH228" s="216" t="str">
        <f t="shared" si="68"/>
        <v/>
      </c>
      <c r="AI228" s="216" t="str">
        <f>IFERROR(IF(AG227="","",VLOOKUP(AG227,$AO$3:$AU$45,2,FALSE)),"")</f>
        <v/>
      </c>
    </row>
    <row r="229" spans="20:35" ht="13.5" thickBot="1">
      <c r="T229" s="74"/>
      <c r="U229" s="1"/>
      <c r="V229" s="1"/>
      <c r="W229" s="1"/>
      <c r="Y229" s="216" t="str">
        <f t="shared" si="67"/>
        <v/>
      </c>
      <c r="Z229" s="216" t="str">
        <f>IFERROR(IF(X227="","",VLOOKUP(X227,$AO$3:$AU$45,3,FALSE)),"")</f>
        <v/>
      </c>
      <c r="AC229" s="74"/>
      <c r="AH229" s="216" t="str">
        <f t="shared" si="68"/>
        <v/>
      </c>
      <c r="AI229" s="216" t="str">
        <f>IFERROR(IF(AG227="","",VLOOKUP(AG227,$AO$3:$AU$45,3,FALSE)),"")</f>
        <v/>
      </c>
    </row>
    <row r="230" spans="20:35">
      <c r="T230" s="74">
        <v>7</v>
      </c>
      <c r="U230" s="1" t="str">
        <f>U281</f>
        <v/>
      </c>
      <c r="V230" s="1">
        <f t="shared" ref="V230:X230" si="79">V281</f>
        <v>0</v>
      </c>
      <c r="W230" s="1" t="str">
        <f t="shared" si="79"/>
        <v/>
      </c>
      <c r="X230" s="1" t="str">
        <f t="shared" si="79"/>
        <v/>
      </c>
      <c r="Y230" s="215" t="str">
        <f t="shared" si="67"/>
        <v/>
      </c>
      <c r="Z230" s="215" t="str">
        <f>IFERROR(IF(X230="","",VLOOKUP(X230,$AO$3:$AU$45,6,FALSE)),"")</f>
        <v/>
      </c>
      <c r="AC230" s="74">
        <v>7</v>
      </c>
      <c r="AD230" s="1" t="str">
        <f>AD281</f>
        <v/>
      </c>
      <c r="AE230" s="1">
        <f t="shared" ref="AE230:AG230" si="80">AE281</f>
        <v>0</v>
      </c>
      <c r="AF230" s="1" t="str">
        <f t="shared" si="80"/>
        <v/>
      </c>
      <c r="AG230" s="1" t="str">
        <f t="shared" si="80"/>
        <v/>
      </c>
      <c r="AH230" s="215" t="str">
        <f t="shared" si="68"/>
        <v/>
      </c>
      <c r="AI230" s="215" t="str">
        <f>IFERROR(IF(AG230="","",VLOOKUP(AG230,$AO$3:$AU$45,6,FALSE)),"")</f>
        <v/>
      </c>
    </row>
    <row r="231" spans="20:35">
      <c r="T231" s="74"/>
      <c r="U231" s="1"/>
      <c r="V231" s="1"/>
      <c r="W231" s="1"/>
      <c r="Y231" s="216" t="str">
        <f t="shared" si="67"/>
        <v/>
      </c>
      <c r="Z231" s="216" t="str">
        <f>IFERROR(IF(X230="","",VLOOKUP(X230,$AO$3:$AU$45,2,FALSE)),"")</f>
        <v/>
      </c>
      <c r="AC231" s="74"/>
      <c r="AH231" s="216" t="str">
        <f t="shared" si="68"/>
        <v/>
      </c>
      <c r="AI231" s="216" t="str">
        <f>IFERROR(IF(AG230="","",VLOOKUP(AG230,$AO$3:$AU$45,2,FALSE)),"")</f>
        <v/>
      </c>
    </row>
    <row r="232" spans="20:35" ht="13.5" thickBot="1">
      <c r="T232" s="74"/>
      <c r="U232" s="1"/>
      <c r="V232" s="1"/>
      <c r="W232" s="1"/>
      <c r="Y232" s="216" t="str">
        <f t="shared" si="67"/>
        <v/>
      </c>
      <c r="Z232" s="216" t="str">
        <f>IFERROR(IF(X230="","",VLOOKUP(X230,$AO$3:$AU$45,3,FALSE)),"")</f>
        <v/>
      </c>
      <c r="AC232" s="74"/>
      <c r="AH232" s="216" t="str">
        <f t="shared" si="68"/>
        <v/>
      </c>
      <c r="AI232" s="216" t="str">
        <f>IFERROR(IF(AG230="","",VLOOKUP(AG230,$AO$3:$AU$45,3,FALSE)),"")</f>
        <v/>
      </c>
    </row>
    <row r="233" spans="20:35">
      <c r="T233" s="74">
        <v>8</v>
      </c>
      <c r="U233" s="1" t="str">
        <f>U282</f>
        <v/>
      </c>
      <c r="V233" s="1">
        <f t="shared" ref="V233:X233" si="81">V282</f>
        <v>0</v>
      </c>
      <c r="W233" s="1" t="str">
        <f t="shared" si="81"/>
        <v/>
      </c>
      <c r="X233" s="1" t="str">
        <f t="shared" si="81"/>
        <v/>
      </c>
      <c r="Y233" s="215" t="str">
        <f t="shared" si="67"/>
        <v/>
      </c>
      <c r="Z233" s="215" t="str">
        <f>IFERROR(IF(X233="","",VLOOKUP(X233,$AO$3:$AU$45,6,FALSE)),"")</f>
        <v/>
      </c>
      <c r="AC233" s="74">
        <v>8</v>
      </c>
      <c r="AD233" s="1" t="str">
        <f>AD282</f>
        <v/>
      </c>
      <c r="AE233" s="1">
        <f t="shared" ref="AE233:AG233" si="82">AE282</f>
        <v>0</v>
      </c>
      <c r="AF233" s="1" t="str">
        <f t="shared" si="82"/>
        <v/>
      </c>
      <c r="AG233" s="1" t="str">
        <f t="shared" si="82"/>
        <v/>
      </c>
      <c r="AH233" s="215" t="str">
        <f t="shared" si="68"/>
        <v/>
      </c>
      <c r="AI233" s="215" t="str">
        <f>IFERROR(IF(AG233="","",VLOOKUP(AG233,$AO$3:$AU$45,6,FALSE)),"")</f>
        <v/>
      </c>
    </row>
    <row r="234" spans="20:35">
      <c r="T234" s="74"/>
      <c r="U234" s="1"/>
      <c r="V234" s="1"/>
      <c r="W234" s="1"/>
      <c r="Y234" s="216" t="str">
        <f t="shared" si="67"/>
        <v/>
      </c>
      <c r="Z234" s="216" t="str">
        <f>IFERROR(IF(X233="","",VLOOKUP(X233,$AO$3:$AU$45,2,FALSE)),"")</f>
        <v/>
      </c>
      <c r="AC234" s="74"/>
      <c r="AH234" s="216" t="str">
        <f t="shared" si="68"/>
        <v/>
      </c>
      <c r="AI234" s="216" t="str">
        <f>IFERROR(IF(AG233="","",VLOOKUP(AG233,$AO$3:$AU$45,2,FALSE)),"")</f>
        <v/>
      </c>
    </row>
    <row r="235" spans="20:35" ht="13.5" thickBot="1">
      <c r="T235" s="74"/>
      <c r="U235" s="1"/>
      <c r="V235" s="1"/>
      <c r="W235" s="1"/>
      <c r="Y235" s="216" t="str">
        <f t="shared" si="67"/>
        <v/>
      </c>
      <c r="Z235" s="216" t="str">
        <f>IFERROR(IF(X233="","",VLOOKUP(X233,$AO$3:$AU$45,3,FALSE)),"")</f>
        <v/>
      </c>
      <c r="AC235" s="74"/>
      <c r="AH235" s="216" t="str">
        <f t="shared" si="68"/>
        <v/>
      </c>
      <c r="AI235" s="216" t="str">
        <f>IFERROR(IF(AG233="","",VLOOKUP(AG233,$AO$3:$AU$45,3,FALSE)),"")</f>
        <v/>
      </c>
    </row>
    <row r="236" spans="20:35">
      <c r="T236" s="74">
        <v>9</v>
      </c>
      <c r="U236" s="1" t="str">
        <f>U283</f>
        <v/>
      </c>
      <c r="V236" s="1">
        <f t="shared" ref="V236:X236" si="83">V283</f>
        <v>0</v>
      </c>
      <c r="W236" s="1" t="str">
        <f t="shared" si="83"/>
        <v/>
      </c>
      <c r="X236" s="1" t="str">
        <f t="shared" si="83"/>
        <v/>
      </c>
      <c r="Y236" s="215" t="str">
        <f t="shared" si="67"/>
        <v/>
      </c>
      <c r="Z236" s="215" t="str">
        <f>IFERROR(IF(X236="","",VLOOKUP(X236,$AO$3:$AU$45,6,FALSE)),"")</f>
        <v/>
      </c>
      <c r="AC236" s="74">
        <v>9</v>
      </c>
      <c r="AD236" s="1" t="str">
        <f>AD283</f>
        <v/>
      </c>
      <c r="AE236" s="1">
        <f t="shared" ref="AE236:AG236" si="84">AE283</f>
        <v>0</v>
      </c>
      <c r="AF236" s="1" t="str">
        <f t="shared" si="84"/>
        <v/>
      </c>
      <c r="AG236" s="1" t="str">
        <f t="shared" si="84"/>
        <v/>
      </c>
      <c r="AH236" s="215" t="str">
        <f t="shared" si="68"/>
        <v/>
      </c>
      <c r="AI236" s="215" t="str">
        <f>IFERROR(IF(AG236="","",VLOOKUP(AG236,$AO$3:$AU$45,6,FALSE)),"")</f>
        <v/>
      </c>
    </row>
    <row r="237" spans="20:35">
      <c r="T237" s="74"/>
      <c r="U237" s="1"/>
      <c r="V237" s="1"/>
      <c r="W237" s="1"/>
      <c r="Y237" s="216" t="str">
        <f t="shared" si="67"/>
        <v/>
      </c>
      <c r="Z237" s="216" t="str">
        <f>IFERROR(IF(X236="","",VLOOKUP(X236,$AO$3:$AU$45,2,FALSE)),"")</f>
        <v/>
      </c>
      <c r="AC237" s="74"/>
      <c r="AH237" s="216" t="str">
        <f t="shared" si="68"/>
        <v/>
      </c>
      <c r="AI237" s="216" t="str">
        <f>IFERROR(IF(AG236="","",VLOOKUP(AG236,$AO$3:$AU$45,2,FALSE)),"")</f>
        <v/>
      </c>
    </row>
    <row r="238" spans="20:35" ht="13.5" thickBot="1">
      <c r="T238" s="74"/>
      <c r="U238" s="1"/>
      <c r="V238" s="1"/>
      <c r="W238" s="1"/>
      <c r="Y238" s="216" t="str">
        <f t="shared" si="67"/>
        <v/>
      </c>
      <c r="Z238" s="216" t="str">
        <f>IFERROR(IF(X236="","",VLOOKUP(X236,$AO$3:$AU$45,3,FALSE)),"")</f>
        <v/>
      </c>
      <c r="AC238" s="74"/>
      <c r="AH238" s="216" t="str">
        <f t="shared" si="68"/>
        <v/>
      </c>
      <c r="AI238" s="216" t="str">
        <f>IFERROR(IF(AG236="","",VLOOKUP(AG236,$AO$3:$AU$45,3,FALSE)),"")</f>
        <v/>
      </c>
    </row>
    <row r="239" spans="20:35">
      <c r="T239" s="74">
        <v>10</v>
      </c>
      <c r="U239" s="1" t="str">
        <f>U284</f>
        <v/>
      </c>
      <c r="V239" s="1">
        <f t="shared" ref="V239:X239" si="85">V284</f>
        <v>0</v>
      </c>
      <c r="W239" s="1" t="str">
        <f t="shared" si="85"/>
        <v/>
      </c>
      <c r="X239" s="1" t="str">
        <f t="shared" si="85"/>
        <v/>
      </c>
      <c r="Y239" s="215" t="str">
        <f t="shared" si="67"/>
        <v/>
      </c>
      <c r="Z239" s="215" t="str">
        <f>IFERROR(IF(X239="","",VLOOKUP(X239,$AO$3:$AU$45,6,FALSE)),"")</f>
        <v/>
      </c>
      <c r="AC239" s="74">
        <v>10</v>
      </c>
      <c r="AD239" s="1" t="str">
        <f>AD284</f>
        <v/>
      </c>
      <c r="AE239" s="1">
        <f t="shared" ref="AE239:AG239" si="86">AE284</f>
        <v>0</v>
      </c>
      <c r="AF239" s="1" t="str">
        <f t="shared" si="86"/>
        <v/>
      </c>
      <c r="AG239" s="1" t="str">
        <f t="shared" si="86"/>
        <v/>
      </c>
      <c r="AH239" s="215" t="str">
        <f t="shared" si="68"/>
        <v/>
      </c>
      <c r="AI239" s="215" t="str">
        <f>IFERROR(IF(AG239="","",VLOOKUP(AG239,$AO$3:$AU$45,6,FALSE)),"")</f>
        <v/>
      </c>
    </row>
    <row r="240" spans="20:35">
      <c r="T240" s="74"/>
      <c r="U240" s="1"/>
      <c r="V240" s="1"/>
      <c r="W240" s="1"/>
      <c r="Y240" s="216" t="str">
        <f t="shared" si="67"/>
        <v/>
      </c>
      <c r="Z240" s="216" t="str">
        <f>IFERROR(IF(X239="","",VLOOKUP(X239,$AO$3:$AU$45,2,FALSE)),"")</f>
        <v/>
      </c>
      <c r="AC240" s="74"/>
      <c r="AH240" s="216" t="str">
        <f t="shared" si="68"/>
        <v/>
      </c>
      <c r="AI240" s="216" t="str">
        <f>IFERROR(IF(AG239="","",VLOOKUP(AG239,$AO$3:$AU$45,2,FALSE)),"")</f>
        <v/>
      </c>
    </row>
    <row r="241" spans="20:35" ht="13.5" thickBot="1">
      <c r="T241" s="76"/>
      <c r="U241" s="77"/>
      <c r="V241" s="77"/>
      <c r="W241" s="77"/>
      <c r="X241" s="77"/>
      <c r="Y241" s="421" t="str">
        <f t="shared" si="67"/>
        <v/>
      </c>
      <c r="Z241" s="421" t="str">
        <f>IFERROR(IF(X239="","",VLOOKUP(X239,$AO$3:$AU$45,3,FALSE)),"")</f>
        <v/>
      </c>
      <c r="AC241" s="76"/>
      <c r="AD241" s="77"/>
      <c r="AE241" s="77"/>
      <c r="AF241" s="77"/>
      <c r="AG241" s="77"/>
      <c r="AH241" s="421" t="str">
        <f t="shared" si="68"/>
        <v/>
      </c>
      <c r="AI241" s="421" t="str">
        <f>IFERROR(IF(AG239="","",VLOOKUP(AG239,$AO$3:$AU$45,3,FALSE)),"")</f>
        <v/>
      </c>
    </row>
    <row r="242" spans="20:35">
      <c r="U242"/>
      <c r="V242"/>
    </row>
    <row r="243" spans="20:35">
      <c r="U243"/>
      <c r="V243"/>
    </row>
    <row r="244" spans="20:35">
      <c r="U244"/>
      <c r="V244"/>
    </row>
    <row r="245" spans="20:35">
      <c r="U245"/>
      <c r="V245"/>
    </row>
    <row r="246" spans="20:35">
      <c r="U246"/>
      <c r="V246"/>
    </row>
    <row r="247" spans="20:35">
      <c r="T247" s="211" t="s">
        <v>2842</v>
      </c>
      <c r="U247"/>
      <c r="V247"/>
      <c r="W247" s="3"/>
      <c r="AC247" s="211" t="s">
        <v>144</v>
      </c>
    </row>
    <row r="248" spans="20:35">
      <c r="T248" s="226" t="s">
        <v>2931</v>
      </c>
      <c r="V248" s="1"/>
      <c r="W248" s="1"/>
      <c r="AC248" s="226" t="s">
        <v>2931</v>
      </c>
      <c r="AD248" s="22"/>
    </row>
    <row r="249" spans="20:35">
      <c r="T249" s="103">
        <v>1</v>
      </c>
      <c r="U249" s="547" t="str">
        <f>IF('NC HVAC Worksheet'!B27="","","Heat Pumps, Air-Cooled")</f>
        <v/>
      </c>
      <c r="V249" s="103">
        <f>'NC HVAC Worksheet'!D27*12000</f>
        <v>0</v>
      </c>
      <c r="W249" s="103" t="str">
        <f>IF('NC HVAC Worksheet'!D27="","",IF(AND(U249="Heat Pumps, Air-Cooled",V249&gt;60000),"Ineligible",VLOOKUP('NC HVAC Worksheet'!D27*12000,'HVAC Efficiency Tables'!$AL$4:$AN$10,3)))</f>
        <v/>
      </c>
      <c r="X249" s="218" t="str">
        <f>U249&amp;W249</f>
        <v/>
      </c>
      <c r="Y249" s="103" t="str">
        <f>Y148</f>
        <v/>
      </c>
      <c r="Z249" s="103" t="str">
        <f>Z148</f>
        <v/>
      </c>
      <c r="AC249" s="103">
        <v>1</v>
      </c>
      <c r="AD249" s="547" t="str">
        <f>IF('Retro HVAC Worksheet'!B27="","","Heat Pumps, Air-Cooled")</f>
        <v/>
      </c>
      <c r="AE249" s="103">
        <f>'Retro HVAC Worksheet'!D27*12000</f>
        <v>0</v>
      </c>
      <c r="AF249" s="103" t="str">
        <f>IF('Retro HVAC Worksheet'!D27="","",IF(AND(AD249="Heat Pumps, Air-Cooled",AE249&gt;60000),"Ineligible",VLOOKUP('Retro HVAC Worksheet'!M27*12000,'HVAC Efficiency Tables'!$AL$4:$AN$10,3)))</f>
        <v/>
      </c>
      <c r="AG249" s="218" t="str">
        <f>AD249&amp;AF249</f>
        <v/>
      </c>
      <c r="AH249" s="103" t="str">
        <f>AH148</f>
        <v/>
      </c>
      <c r="AI249" s="103" t="str">
        <f>AI148</f>
        <v/>
      </c>
    </row>
    <row r="250" spans="20:35">
      <c r="T250" s="103">
        <v>2</v>
      </c>
      <c r="U250" s="547" t="str">
        <f>IF('NC HVAC Worksheet'!B28="","","Heat Pumps, Air-Cooled")</f>
        <v/>
      </c>
      <c r="V250" s="103">
        <f>'NC HVAC Worksheet'!D28*12000</f>
        <v>0</v>
      </c>
      <c r="W250" s="103" t="str">
        <f>IF('NC HVAC Worksheet'!D28="","",IF(AND(U250="Heat Pumps, Air-Cooled",V250&gt;60000),"Ineligible",VLOOKUP('NC HVAC Worksheet'!D28*12000,'HVAC Efficiency Tables'!$AL$4:$AN$10,3)))</f>
        <v/>
      </c>
      <c r="X250" s="218" t="str">
        <f t="shared" ref="X250:X258" si="87">U250&amp;W250</f>
        <v/>
      </c>
      <c r="Y250" s="103" t="str">
        <f>Y151</f>
        <v/>
      </c>
      <c r="Z250" s="103" t="str">
        <f>Z151</f>
        <v/>
      </c>
      <c r="AC250" s="103">
        <v>2</v>
      </c>
      <c r="AD250" s="547" t="str">
        <f>IF('Retro HVAC Worksheet'!B28="","","Heat Pumps, Air-Cooled")</f>
        <v/>
      </c>
      <c r="AE250" s="103">
        <f>'Retro HVAC Worksheet'!D28*12000</f>
        <v>0</v>
      </c>
      <c r="AF250" s="103" t="str">
        <f>IF('Retro HVAC Worksheet'!D28="","",IF(AND(AD250="Heat Pumps, Air-Cooled",AE250&gt;60000),"Ineligible",VLOOKUP('Retro HVAC Worksheet'!M28*12000,'HVAC Efficiency Tables'!$AL$4:$AN$10,3)))</f>
        <v/>
      </c>
      <c r="AG250" s="218" t="str">
        <f t="shared" ref="AG250:AG258" si="88">AD250&amp;AF250</f>
        <v/>
      </c>
      <c r="AH250" s="103" t="str">
        <f>AH151</f>
        <v/>
      </c>
      <c r="AI250" s="103" t="str">
        <f>AI151</f>
        <v/>
      </c>
    </row>
    <row r="251" spans="20:35">
      <c r="T251" s="103">
        <v>3</v>
      </c>
      <c r="U251" s="547" t="str">
        <f>IF('NC HVAC Worksheet'!B29="","","Heat Pumps, Air-Cooled")</f>
        <v/>
      </c>
      <c r="V251" s="103">
        <f>'NC HVAC Worksheet'!D29*12000</f>
        <v>0</v>
      </c>
      <c r="W251" s="103" t="str">
        <f>IF('NC HVAC Worksheet'!D29="","",IF(AND(U251="Heat Pumps, Air-Cooled",V251&gt;60000),"Ineligible",VLOOKUP('NC HVAC Worksheet'!D29*12000,'HVAC Efficiency Tables'!$AL$4:$AN$10,3)))</f>
        <v/>
      </c>
      <c r="X251" s="218" t="str">
        <f t="shared" si="87"/>
        <v/>
      </c>
      <c r="Y251" s="103" t="str">
        <f>Y154</f>
        <v/>
      </c>
      <c r="Z251" s="103" t="str">
        <f>Z154</f>
        <v/>
      </c>
      <c r="AC251" s="103">
        <v>3</v>
      </c>
      <c r="AD251" s="547" t="str">
        <f>IF('Retro HVAC Worksheet'!B29="","","Heat Pumps, Air-Cooled")</f>
        <v/>
      </c>
      <c r="AE251" s="103">
        <f>'Retro HVAC Worksheet'!D29*12000</f>
        <v>0</v>
      </c>
      <c r="AF251" s="103" t="str">
        <f>IF('Retro HVAC Worksheet'!D29="","",IF(AND(AD251="Heat Pumps, Air-Cooled",AE251&gt;60000),"Ineligible",VLOOKUP('Retro HVAC Worksheet'!M29*12000,'HVAC Efficiency Tables'!$AL$4:$AN$10,3)))</f>
        <v/>
      </c>
      <c r="AG251" s="218" t="str">
        <f t="shared" si="88"/>
        <v/>
      </c>
      <c r="AH251" s="103" t="str">
        <f>AH154</f>
        <v/>
      </c>
      <c r="AI251" s="103" t="str">
        <f>AI154</f>
        <v/>
      </c>
    </row>
    <row r="252" spans="20:35">
      <c r="T252" s="103">
        <v>4</v>
      </c>
      <c r="U252" s="547" t="str">
        <f>IF('NC HVAC Worksheet'!B30="","","Heat Pumps, Air-Cooled")</f>
        <v/>
      </c>
      <c r="V252" s="103">
        <f>'NC HVAC Worksheet'!D30*12000</f>
        <v>0</v>
      </c>
      <c r="W252" s="103" t="str">
        <f>IF('NC HVAC Worksheet'!D30="","",IF(AND(U252="Heat Pumps, Air-Cooled",V252&gt;60000),"Ineligible",VLOOKUP('NC HVAC Worksheet'!D30*12000,'HVAC Efficiency Tables'!$AL$4:$AN$10,3)))</f>
        <v/>
      </c>
      <c r="X252" s="218" t="str">
        <f t="shared" si="87"/>
        <v/>
      </c>
      <c r="Y252" s="103" t="str">
        <f>Y157</f>
        <v/>
      </c>
      <c r="Z252" s="103" t="str">
        <f>Z157</f>
        <v/>
      </c>
      <c r="AC252" s="103">
        <v>4</v>
      </c>
      <c r="AD252" s="547" t="str">
        <f>IF('Retro HVAC Worksheet'!B30="","","Heat Pumps, Air-Cooled")</f>
        <v/>
      </c>
      <c r="AE252" s="103">
        <f>'Retro HVAC Worksheet'!D30*12000</f>
        <v>0</v>
      </c>
      <c r="AF252" s="103" t="str">
        <f>IF('Retro HVAC Worksheet'!D30="","",IF(AND(AD252="Heat Pumps, Air-Cooled",AE252&gt;60000),"Ineligible",VLOOKUP('Retro HVAC Worksheet'!M30*12000,'HVAC Efficiency Tables'!$AL$4:$AN$10,3)))</f>
        <v/>
      </c>
      <c r="AG252" s="218" t="str">
        <f t="shared" si="88"/>
        <v/>
      </c>
      <c r="AH252" s="103" t="str">
        <f>AH157</f>
        <v/>
      </c>
      <c r="AI252" s="103" t="str">
        <f>AI157</f>
        <v/>
      </c>
    </row>
    <row r="253" spans="20:35">
      <c r="T253" s="103">
        <v>5</v>
      </c>
      <c r="U253" s="547" t="str">
        <f>IF('NC HVAC Worksheet'!B31="","","Heat Pumps, Air-Cooled")</f>
        <v/>
      </c>
      <c r="V253" s="103">
        <f>'NC HVAC Worksheet'!D31*12000</f>
        <v>0</v>
      </c>
      <c r="W253" s="103" t="str">
        <f>IF('NC HVAC Worksheet'!D31="","",IF(AND(U253="Heat Pumps, Air-Cooled",V253&gt;60000),"Ineligible",VLOOKUP('NC HVAC Worksheet'!D31*12000,'HVAC Efficiency Tables'!$AL$4:$AN$10,3)))</f>
        <v/>
      </c>
      <c r="X253" s="218" t="str">
        <f t="shared" si="87"/>
        <v/>
      </c>
      <c r="Y253" s="103" t="str">
        <f>Y160</f>
        <v/>
      </c>
      <c r="Z253" s="103" t="str">
        <f>Z160</f>
        <v/>
      </c>
      <c r="AC253" s="103">
        <v>5</v>
      </c>
      <c r="AD253" s="547" t="str">
        <f>IF('Retro HVAC Worksheet'!B31="","","Heat Pumps, Air-Cooled")</f>
        <v/>
      </c>
      <c r="AE253" s="103">
        <f>'Retro HVAC Worksheet'!D31*12000</f>
        <v>0</v>
      </c>
      <c r="AF253" s="103" t="str">
        <f>IF('Retro HVAC Worksheet'!D31="","",IF(AND(AD253="Heat Pumps, Air-Cooled",AE253&gt;60000),"Ineligible",VLOOKUP('Retro HVAC Worksheet'!M31*12000,'HVAC Efficiency Tables'!$AL$4:$AN$10,3)))</f>
        <v/>
      </c>
      <c r="AG253" s="218" t="str">
        <f t="shared" si="88"/>
        <v/>
      </c>
      <c r="AH253" s="103" t="str">
        <f>AH160</f>
        <v/>
      </c>
      <c r="AI253" s="103" t="str">
        <f>AI160</f>
        <v/>
      </c>
    </row>
    <row r="254" spans="20:35">
      <c r="T254" s="103">
        <v>6</v>
      </c>
      <c r="U254" s="547" t="str">
        <f>IF('NC HVAC Worksheet'!B32="","","Heat Pumps, Air-Cooled")</f>
        <v/>
      </c>
      <c r="V254" s="103">
        <f>'NC HVAC Worksheet'!D32*12000</f>
        <v>0</v>
      </c>
      <c r="W254" s="103" t="str">
        <f>IF('NC HVAC Worksheet'!D32="","",IF(AND(U254="Heat Pumps, Air-Cooled",V254&gt;60000),"Ineligible",VLOOKUP('NC HVAC Worksheet'!D32*12000,'HVAC Efficiency Tables'!$AL$4:$AN$10,3)))</f>
        <v/>
      </c>
      <c r="X254" s="218" t="str">
        <f t="shared" si="87"/>
        <v/>
      </c>
      <c r="Y254" s="103" t="str">
        <f>Y163</f>
        <v/>
      </c>
      <c r="Z254" s="103" t="str">
        <f>Z163</f>
        <v/>
      </c>
      <c r="AC254" s="103">
        <v>6</v>
      </c>
      <c r="AD254" s="547" t="str">
        <f>IF('Retro HVAC Worksheet'!B32="","","Heat Pumps, Air-Cooled")</f>
        <v/>
      </c>
      <c r="AE254" s="103">
        <f>'Retro HVAC Worksheet'!D32*12000</f>
        <v>0</v>
      </c>
      <c r="AF254" s="103" t="str">
        <f>IF('Retro HVAC Worksheet'!D32="","",IF(AND(AD254="Heat Pumps, Air-Cooled",AE254&gt;60000),"Ineligible",VLOOKUP('Retro HVAC Worksheet'!M32*12000,'HVAC Efficiency Tables'!$AL$4:$AN$10,3)))</f>
        <v/>
      </c>
      <c r="AG254" s="218" t="str">
        <f t="shared" si="88"/>
        <v/>
      </c>
      <c r="AH254" s="103" t="str">
        <f>AH163</f>
        <v/>
      </c>
      <c r="AI254" s="103" t="str">
        <f>AI163</f>
        <v/>
      </c>
    </row>
    <row r="255" spans="20:35">
      <c r="T255" s="103">
        <v>7</v>
      </c>
      <c r="U255" s="547" t="str">
        <f>IF('NC HVAC Worksheet'!B33="","","Heat Pumps, Air-Cooled")</f>
        <v/>
      </c>
      <c r="V255" s="103">
        <f>'NC HVAC Worksheet'!D33*12000</f>
        <v>0</v>
      </c>
      <c r="W255" s="103" t="str">
        <f>IF('NC HVAC Worksheet'!D33="","",IF(AND(U255="Heat Pumps, Air-Cooled",V255&gt;60000),"Ineligible",VLOOKUP('NC HVAC Worksheet'!D33*12000,'HVAC Efficiency Tables'!$AL$4:$AN$10,3)))</f>
        <v/>
      </c>
      <c r="X255" s="218" t="str">
        <f t="shared" si="87"/>
        <v/>
      </c>
      <c r="Y255" s="103" t="str">
        <f>Y166</f>
        <v/>
      </c>
      <c r="Z255" s="103" t="str">
        <f>Z166</f>
        <v/>
      </c>
      <c r="AC255" s="103">
        <v>7</v>
      </c>
      <c r="AD255" s="547" t="str">
        <f>IF('Retro HVAC Worksheet'!B33="","","Heat Pumps, Air-Cooled")</f>
        <v/>
      </c>
      <c r="AE255" s="103">
        <f>'Retro HVAC Worksheet'!D33*12000</f>
        <v>0</v>
      </c>
      <c r="AF255" s="103" t="str">
        <f>IF('Retro HVAC Worksheet'!D33="","",IF(AND(AD255="Heat Pumps, Air-Cooled",AE255&gt;60000),"Ineligible",VLOOKUP('Retro HVAC Worksheet'!M33*12000,'HVAC Efficiency Tables'!$AL$4:$AN$10,3)))</f>
        <v/>
      </c>
      <c r="AG255" s="218" t="str">
        <f t="shared" si="88"/>
        <v/>
      </c>
      <c r="AH255" s="103" t="str">
        <f>AH166</f>
        <v/>
      </c>
      <c r="AI255" s="103" t="str">
        <f>AI166</f>
        <v/>
      </c>
    </row>
    <row r="256" spans="20:35">
      <c r="T256" s="103">
        <v>8</v>
      </c>
      <c r="U256" s="547" t="str">
        <f>IF('NC HVAC Worksheet'!B34="","","Heat Pumps, Air-Cooled")</f>
        <v/>
      </c>
      <c r="V256" s="103">
        <f>'NC HVAC Worksheet'!D34*12000</f>
        <v>0</v>
      </c>
      <c r="W256" s="103" t="str">
        <f>IF('NC HVAC Worksheet'!D34="","",IF(AND(U256="Heat Pumps, Air-Cooled",V256&gt;60000),"Ineligible",VLOOKUP('NC HVAC Worksheet'!D34*12000,'HVAC Efficiency Tables'!$AL$4:$AN$10,3)))</f>
        <v/>
      </c>
      <c r="X256" s="218" t="str">
        <f t="shared" si="87"/>
        <v/>
      </c>
      <c r="Y256" s="103" t="str">
        <f>Y169</f>
        <v/>
      </c>
      <c r="Z256" s="103" t="str">
        <f>Z169</f>
        <v/>
      </c>
      <c r="AC256" s="103">
        <v>8</v>
      </c>
      <c r="AD256" s="547" t="str">
        <f>IF('Retro HVAC Worksheet'!B34="","","Heat Pumps, Air-Cooled")</f>
        <v/>
      </c>
      <c r="AE256" s="103">
        <f>'Retro HVAC Worksheet'!D34*12000</f>
        <v>0</v>
      </c>
      <c r="AF256" s="103" t="str">
        <f>IF('Retro HVAC Worksheet'!D34="","",IF(AND(AD256="Heat Pumps, Air-Cooled",AE256&gt;60000),"Ineligible",VLOOKUP('Retro HVAC Worksheet'!M34*12000,'HVAC Efficiency Tables'!$AL$4:$AN$10,3)))</f>
        <v/>
      </c>
      <c r="AG256" s="218" t="str">
        <f t="shared" si="88"/>
        <v/>
      </c>
      <c r="AH256" s="103" t="str">
        <f>AH169</f>
        <v/>
      </c>
      <c r="AI256" s="103" t="str">
        <f>AI169</f>
        <v/>
      </c>
    </row>
    <row r="257" spans="20:35">
      <c r="T257" s="103">
        <v>9</v>
      </c>
      <c r="U257" s="547" t="str">
        <f>IF('NC HVAC Worksheet'!B35="","","Heat Pumps, Air-Cooled")</f>
        <v/>
      </c>
      <c r="V257" s="103">
        <f>'NC HVAC Worksheet'!D35*12000</f>
        <v>0</v>
      </c>
      <c r="W257" s="103" t="str">
        <f>IF('NC HVAC Worksheet'!D35="","",IF(AND(U257="Heat Pumps, Air-Cooled",V257&gt;60000),"Ineligible",VLOOKUP('NC HVAC Worksheet'!D35*12000,'HVAC Efficiency Tables'!$AL$4:$AN$10,3)))</f>
        <v/>
      </c>
      <c r="X257" s="218" t="str">
        <f t="shared" si="87"/>
        <v/>
      </c>
      <c r="Y257" s="103" t="str">
        <f>Y172</f>
        <v/>
      </c>
      <c r="Z257" s="103" t="str">
        <f>Z172</f>
        <v/>
      </c>
      <c r="AC257" s="103">
        <v>9</v>
      </c>
      <c r="AD257" s="547" t="str">
        <f>IF('Retro HVAC Worksheet'!B35="","","Heat Pumps, Air-Cooled")</f>
        <v/>
      </c>
      <c r="AE257" s="103">
        <f>'Retro HVAC Worksheet'!D35*12000</f>
        <v>0</v>
      </c>
      <c r="AF257" s="103" t="str">
        <f>IF('Retro HVAC Worksheet'!D35="","",IF(AND(AD257="Heat Pumps, Air-Cooled",AE257&gt;60000),"Ineligible",VLOOKUP('Retro HVAC Worksheet'!M35*12000,'HVAC Efficiency Tables'!$AL$4:$AN$10,3)))</f>
        <v/>
      </c>
      <c r="AG257" s="218" t="str">
        <f t="shared" si="88"/>
        <v/>
      </c>
      <c r="AH257" s="103" t="str">
        <f>AH172</f>
        <v/>
      </c>
      <c r="AI257" s="103" t="str">
        <f>AI172</f>
        <v/>
      </c>
    </row>
    <row r="258" spans="20:35">
      <c r="T258" s="103">
        <v>10</v>
      </c>
      <c r="U258" s="547" t="str">
        <f>IF('NC HVAC Worksheet'!B36="","","Heat Pumps, Air-Cooled")</f>
        <v/>
      </c>
      <c r="V258" s="103">
        <f>'NC HVAC Worksheet'!D36*12000</f>
        <v>0</v>
      </c>
      <c r="W258" s="103" t="str">
        <f>IF('NC HVAC Worksheet'!D36="","",IF(AND(U258="Heat Pumps, Air-Cooled",V258&gt;60000),"Ineligible",VLOOKUP('NC HVAC Worksheet'!D36*12000,'HVAC Efficiency Tables'!$AL$4:$AN$10,3)))</f>
        <v/>
      </c>
      <c r="X258" s="218" t="str">
        <f t="shared" si="87"/>
        <v/>
      </c>
      <c r="Y258" s="103" t="str">
        <f>Y175</f>
        <v/>
      </c>
      <c r="Z258" s="103" t="str">
        <f>Z175</f>
        <v/>
      </c>
      <c r="AC258" s="103">
        <v>10</v>
      </c>
      <c r="AD258" s="547" t="str">
        <f>IF('Retro HVAC Worksheet'!B36="","","Heat Pumps, Air-Cooled")</f>
        <v/>
      </c>
      <c r="AE258" s="103">
        <f>'Retro HVAC Worksheet'!D36*12000</f>
        <v>0</v>
      </c>
      <c r="AF258" s="103" t="str">
        <f>IF('Retro HVAC Worksheet'!D36="","",IF(AND(AD258="Heat Pumps, Air-Cooled",AE258&gt;60000),"Ineligible",VLOOKUP('Retro HVAC Worksheet'!M36*12000,'HVAC Efficiency Tables'!$AL$4:$AN$10,3)))</f>
        <v/>
      </c>
      <c r="AG258" s="218" t="str">
        <f t="shared" si="88"/>
        <v/>
      </c>
      <c r="AH258" s="103" t="str">
        <f>AH175</f>
        <v/>
      </c>
      <c r="AI258" s="103" t="str">
        <f>AI175</f>
        <v/>
      </c>
    </row>
    <row r="259" spans="20:35">
      <c r="V259"/>
    </row>
    <row r="260" spans="20:35">
      <c r="V260"/>
    </row>
    <row r="261" spans="20:35">
      <c r="T261" s="226" t="s">
        <v>2929</v>
      </c>
      <c r="V261" s="1"/>
      <c r="W261" s="1"/>
      <c r="AC261" s="226" t="s">
        <v>2929</v>
      </c>
      <c r="AD261" s="22"/>
    </row>
    <row r="262" spans="20:35">
      <c r="T262" s="103">
        <v>1</v>
      </c>
      <c r="U262" s="547" t="str">
        <f>IF('NC HVAC Worksheet'!B43="","","Package Terminal Air Conditioners (PTAC)")</f>
        <v/>
      </c>
      <c r="V262" s="103">
        <f>'NC HVAC Worksheet'!D43*12000</f>
        <v>0</v>
      </c>
      <c r="W262" s="103" t="str">
        <f>IF('NC HVAC Worksheet'!D43="","",IF(AND(U262="Package Terminal Air Conditioners (PTAC)",V262&gt;60000),"Ineligible",VLOOKUP('NC HVAC Worksheet'!D43*12000,'HVAC Efficiency Tables'!$AL$22:$AN$30,3)))</f>
        <v/>
      </c>
      <c r="X262" s="218" t="str">
        <f>U262&amp;W262</f>
        <v/>
      </c>
      <c r="Y262" s="103" t="str">
        <f>Y180</f>
        <v/>
      </c>
      <c r="Z262" s="103" t="str">
        <f>Z180</f>
        <v/>
      </c>
      <c r="AC262" s="103">
        <v>1</v>
      </c>
      <c r="AD262" s="547" t="str">
        <f>IF('Retro HVAC Worksheet'!B43="","","Package Terminal Air Conditioners (PTAC)")</f>
        <v/>
      </c>
      <c r="AE262" s="103">
        <f>'Retro HVAC Worksheet'!D43*12000</f>
        <v>0</v>
      </c>
      <c r="AF262" s="103" t="str">
        <f>IF('Retro HVAC Worksheet'!D43="","",IF(AND(AD262="Package Terminal Air Conditioners (PTAC)",AE262&gt;60000),"Ineligible",VLOOKUP('Retro HVAC Worksheet'!D43*12000,'HVAC Efficiency Tables'!$AL$22:$AN$30,3)))</f>
        <v/>
      </c>
      <c r="AG262" s="218" t="str">
        <f>AD262&amp;AF262</f>
        <v/>
      </c>
      <c r="AH262" s="103" t="str">
        <f>AH180</f>
        <v/>
      </c>
      <c r="AI262" s="103" t="str">
        <f>AI180</f>
        <v/>
      </c>
    </row>
    <row r="263" spans="20:35">
      <c r="T263" s="103">
        <v>2</v>
      </c>
      <c r="U263" s="547" t="str">
        <f>IF('NC HVAC Worksheet'!B44="","","Package Terminal Air Conditioners (PTAC)")</f>
        <v/>
      </c>
      <c r="V263" s="103">
        <f>'NC HVAC Worksheet'!D44*12000</f>
        <v>0</v>
      </c>
      <c r="W263" s="103" t="str">
        <f>IF('NC HVAC Worksheet'!D44="","",IF(AND(U263="Package Terminal Air Conditioners (PTAC)",V263&gt;60000),"Ineligible",VLOOKUP('NC HVAC Worksheet'!D44*12000,'HVAC Efficiency Tables'!$AL$22:$AN$30,3)))</f>
        <v/>
      </c>
      <c r="X263" s="218" t="str">
        <f t="shared" ref="X263:X271" si="89">U263&amp;W263</f>
        <v/>
      </c>
      <c r="Y263" s="103" t="str">
        <f>Y183</f>
        <v/>
      </c>
      <c r="Z263" s="103" t="str">
        <f>Z183</f>
        <v/>
      </c>
      <c r="AC263" s="103">
        <v>2</v>
      </c>
      <c r="AD263" s="547" t="str">
        <f>IF('Retro HVAC Worksheet'!B44="","","Package Terminal Air Conditioners (PTAC)")</f>
        <v/>
      </c>
      <c r="AE263" s="103">
        <f>'Retro HVAC Worksheet'!D44*12000</f>
        <v>0</v>
      </c>
      <c r="AF263" s="103" t="str">
        <f>IF('NC HVAC Worksheet'!M44="","",IF(AND(AD263="Package Terminal Air Conditioners (PTAC)",AE263&gt;60000),"Ineligible",VLOOKUP('NC HVAC Worksheet'!M44*12000,'HVAC Efficiency Tables'!$AL$22:$AN$30,3)))</f>
        <v/>
      </c>
      <c r="AG263" s="218" t="str">
        <f t="shared" ref="AG263:AG271" si="90">AD263&amp;AF263</f>
        <v/>
      </c>
      <c r="AH263" s="103" t="str">
        <f>AH183</f>
        <v/>
      </c>
      <c r="AI263" s="103" t="str">
        <f>AI183</f>
        <v/>
      </c>
    </row>
    <row r="264" spans="20:35">
      <c r="T264" s="103">
        <v>3</v>
      </c>
      <c r="U264" s="547" t="str">
        <f>IF('NC HVAC Worksheet'!B45="","","Package Terminal Air Conditioners (PTAC)")</f>
        <v/>
      </c>
      <c r="V264" s="103">
        <f>'NC HVAC Worksheet'!D45*12000</f>
        <v>0</v>
      </c>
      <c r="W264" s="103" t="str">
        <f>IF('NC HVAC Worksheet'!D45="","",IF(AND(U264="Package Terminal Air Conditioners (PTAC)",V264&gt;60000),"Ineligible",VLOOKUP('NC HVAC Worksheet'!D45*12000,'HVAC Efficiency Tables'!$AL$22:$AN$30,3)))</f>
        <v/>
      </c>
      <c r="X264" s="218" t="str">
        <f t="shared" si="89"/>
        <v/>
      </c>
      <c r="Y264" s="103" t="str">
        <f>Y186</f>
        <v/>
      </c>
      <c r="Z264" s="103" t="str">
        <f>Z186</f>
        <v/>
      </c>
      <c r="AC264" s="103">
        <v>3</v>
      </c>
      <c r="AD264" s="547" t="str">
        <f>IF('Retro HVAC Worksheet'!B45="","","Package Terminal Air Conditioners (PTAC)")</f>
        <v/>
      </c>
      <c r="AE264" s="103">
        <f>'Retro HVAC Worksheet'!D45*12000</f>
        <v>0</v>
      </c>
      <c r="AF264" s="103" t="str">
        <f>IF('NC HVAC Worksheet'!M45="","",IF(AND(AD264="Package Terminal Air Conditioners (PTAC)",AE264&gt;60000),"Ineligible",VLOOKUP('NC HVAC Worksheet'!M45*12000,'HVAC Efficiency Tables'!$AL$22:$AN$30,3)))</f>
        <v/>
      </c>
      <c r="AG264" s="218" t="str">
        <f t="shared" si="90"/>
        <v/>
      </c>
      <c r="AH264" s="103" t="str">
        <f>AH186</f>
        <v/>
      </c>
      <c r="AI264" s="103" t="str">
        <f>AI186</f>
        <v/>
      </c>
    </row>
    <row r="265" spans="20:35">
      <c r="T265" s="103">
        <v>4</v>
      </c>
      <c r="U265" s="547" t="str">
        <f>IF('NC HVAC Worksheet'!B46="","","Package Terminal Air Conditioners (PTAC)")</f>
        <v/>
      </c>
      <c r="V265" s="103">
        <f>'NC HVAC Worksheet'!D46*12000</f>
        <v>0</v>
      </c>
      <c r="W265" s="103" t="str">
        <f>IF('NC HVAC Worksheet'!D46="","",IF(AND(U265="Package Terminal Air Conditioners (PTAC)",V265&gt;60000),"Ineligible",VLOOKUP('NC HVAC Worksheet'!D46*12000,'HVAC Efficiency Tables'!$AL$22:$AN$30,3)))</f>
        <v/>
      </c>
      <c r="X265" s="218" t="str">
        <f t="shared" si="89"/>
        <v/>
      </c>
      <c r="Y265" s="103" t="str">
        <f>Y189</f>
        <v/>
      </c>
      <c r="Z265" s="103" t="str">
        <f>Z189</f>
        <v/>
      </c>
      <c r="AC265" s="103">
        <v>4</v>
      </c>
      <c r="AD265" s="547" t="str">
        <f>IF('Retro HVAC Worksheet'!B46="","","Package Terminal Air Conditioners (PTAC)")</f>
        <v/>
      </c>
      <c r="AE265" s="103">
        <f>'Retro HVAC Worksheet'!D46*12000</f>
        <v>0</v>
      </c>
      <c r="AF265" s="103" t="str">
        <f>IF('NC HVAC Worksheet'!M46="","",IF(AND(AD265="Package Terminal Air Conditioners (PTAC)",AE265&gt;60000),"Ineligible",VLOOKUP('NC HVAC Worksheet'!M46*12000,'HVAC Efficiency Tables'!$AL$22:$AN$30,3)))</f>
        <v/>
      </c>
      <c r="AG265" s="218" t="str">
        <f t="shared" si="90"/>
        <v/>
      </c>
      <c r="AH265" s="103" t="str">
        <f>AH189</f>
        <v/>
      </c>
      <c r="AI265" s="103" t="str">
        <f>AI189</f>
        <v/>
      </c>
    </row>
    <row r="266" spans="20:35">
      <c r="T266" s="103">
        <v>5</v>
      </c>
      <c r="U266" s="547" t="str">
        <f>IF('NC HVAC Worksheet'!B47="","","Package Terminal Air Conditioners (PTAC)")</f>
        <v/>
      </c>
      <c r="V266" s="103">
        <f>'NC HVAC Worksheet'!D47*12000</f>
        <v>0</v>
      </c>
      <c r="W266" s="103" t="str">
        <f>IF('NC HVAC Worksheet'!D47="","",IF(AND(U266="Package Terminal Air Conditioners (PTAC)",V266&gt;60000),"Ineligible",VLOOKUP('NC HVAC Worksheet'!D47*12000,'HVAC Efficiency Tables'!$AL$22:$AN$30,3)))</f>
        <v/>
      </c>
      <c r="X266" s="218" t="str">
        <f t="shared" si="89"/>
        <v/>
      </c>
      <c r="Y266" s="103" t="str">
        <f>Y192</f>
        <v/>
      </c>
      <c r="Z266" s="103" t="str">
        <f>Z192</f>
        <v/>
      </c>
      <c r="AC266" s="103">
        <v>5</v>
      </c>
      <c r="AD266" s="547" t="str">
        <f>IF('Retro HVAC Worksheet'!B47="","","Package Terminal Air Conditioners (PTAC)")</f>
        <v/>
      </c>
      <c r="AE266" s="103">
        <f>'Retro HVAC Worksheet'!D47*12000</f>
        <v>0</v>
      </c>
      <c r="AF266" s="103" t="str">
        <f>IF('NC HVAC Worksheet'!M47="","",IF(AND(AD266="Package Terminal Air Conditioners (PTAC)",AE266&gt;60000),"Ineligible",VLOOKUP('NC HVAC Worksheet'!M47*12000,'HVAC Efficiency Tables'!$AL$22:$AN$30,3)))</f>
        <v/>
      </c>
      <c r="AG266" s="218" t="str">
        <f t="shared" si="90"/>
        <v/>
      </c>
      <c r="AH266" s="103" t="str">
        <f>AH192</f>
        <v/>
      </c>
      <c r="AI266" s="103" t="str">
        <f>AI192</f>
        <v/>
      </c>
    </row>
    <row r="267" spans="20:35">
      <c r="T267" s="103">
        <v>6</v>
      </c>
      <c r="U267" s="547" t="str">
        <f>IF('NC HVAC Worksheet'!B48="","","Package Terminal Air Conditioners (PTAC)")</f>
        <v/>
      </c>
      <c r="V267" s="103">
        <f>'NC HVAC Worksheet'!D48*12000</f>
        <v>0</v>
      </c>
      <c r="W267" s="103" t="str">
        <f>IF('NC HVAC Worksheet'!D48="","",IF(AND(U267="Package Terminal Air Conditioners (PTAC)",V267&gt;60000),"Ineligible",VLOOKUP('NC HVAC Worksheet'!D48*12000,'HVAC Efficiency Tables'!$AL$22:$AN$30,3)))</f>
        <v/>
      </c>
      <c r="X267" s="218" t="str">
        <f t="shared" si="89"/>
        <v/>
      </c>
      <c r="Y267" s="103" t="str">
        <f>Y195</f>
        <v/>
      </c>
      <c r="Z267" s="103" t="str">
        <f>Z195</f>
        <v/>
      </c>
      <c r="AC267" s="103">
        <v>6</v>
      </c>
      <c r="AD267" s="547" t="str">
        <f>IF('Retro HVAC Worksheet'!B48="","","Package Terminal Air Conditioners (PTAC)")</f>
        <v/>
      </c>
      <c r="AE267" s="103">
        <f>'Retro HVAC Worksheet'!D48*12000</f>
        <v>0</v>
      </c>
      <c r="AF267" s="103" t="str">
        <f>IF('NC HVAC Worksheet'!M48="","",IF(AND(AD267="Package Terminal Air Conditioners (PTAC)",AE267&gt;60000),"Ineligible",VLOOKUP('NC HVAC Worksheet'!M48*12000,'HVAC Efficiency Tables'!$AL$22:$AN$30,3)))</f>
        <v/>
      </c>
      <c r="AG267" s="218" t="str">
        <f t="shared" si="90"/>
        <v/>
      </c>
      <c r="AH267" s="103" t="str">
        <f>AH195</f>
        <v/>
      </c>
      <c r="AI267" s="103" t="str">
        <f>AI195</f>
        <v/>
      </c>
    </row>
    <row r="268" spans="20:35">
      <c r="T268" s="103">
        <v>7</v>
      </c>
      <c r="U268" s="547" t="str">
        <f>IF('NC HVAC Worksheet'!B49="","","Package Terminal Air Conditioners (PTAC)")</f>
        <v/>
      </c>
      <c r="V268" s="103">
        <f>'NC HVAC Worksheet'!D49*12000</f>
        <v>0</v>
      </c>
      <c r="W268" s="103" t="str">
        <f>IF('NC HVAC Worksheet'!D49="","",IF(AND(U268="Package Terminal Air Conditioners (PTAC)",V268&gt;60000),"Ineligible",VLOOKUP('NC HVAC Worksheet'!D49*12000,'HVAC Efficiency Tables'!$AL$22:$AN$30,3)))</f>
        <v/>
      </c>
      <c r="X268" s="218" t="str">
        <f t="shared" si="89"/>
        <v/>
      </c>
      <c r="Y268" s="103" t="str">
        <f>Y198</f>
        <v/>
      </c>
      <c r="Z268" s="103" t="str">
        <f>Z198</f>
        <v/>
      </c>
      <c r="AC268" s="103">
        <v>7</v>
      </c>
      <c r="AD268" s="547" t="str">
        <f>IF('Retro HVAC Worksheet'!B49="","","Package Terminal Air Conditioners (PTAC)")</f>
        <v/>
      </c>
      <c r="AE268" s="103">
        <f>'Retro HVAC Worksheet'!D49*12000</f>
        <v>0</v>
      </c>
      <c r="AF268" s="103" t="str">
        <f>IF('NC HVAC Worksheet'!M49="","",IF(AND(AD268="Package Terminal Air Conditioners (PTAC)",AE268&gt;60000),"Ineligible",VLOOKUP('NC HVAC Worksheet'!M49*12000,'HVAC Efficiency Tables'!$AL$22:$AN$30,3)))</f>
        <v/>
      </c>
      <c r="AG268" s="218" t="str">
        <f t="shared" si="90"/>
        <v/>
      </c>
      <c r="AH268" s="103" t="str">
        <f>AH198</f>
        <v/>
      </c>
      <c r="AI268" s="103" t="str">
        <f>AI198</f>
        <v/>
      </c>
    </row>
    <row r="269" spans="20:35">
      <c r="T269" s="103">
        <v>8</v>
      </c>
      <c r="U269" s="547" t="str">
        <f>IF('NC HVAC Worksheet'!B50="","","Package Terminal Air Conditioners (PTAC)")</f>
        <v/>
      </c>
      <c r="V269" s="103">
        <f>'NC HVAC Worksheet'!D50*12000</f>
        <v>0</v>
      </c>
      <c r="W269" s="103" t="str">
        <f>IF('NC HVAC Worksheet'!D50="","",IF(AND(U269="Package Terminal Air Conditioners (PTAC)",V269&gt;60000),"Ineligible",VLOOKUP('NC HVAC Worksheet'!D50*12000,'HVAC Efficiency Tables'!$AL$22:$AN$30,3)))</f>
        <v/>
      </c>
      <c r="X269" s="218" t="str">
        <f t="shared" si="89"/>
        <v/>
      </c>
      <c r="Y269" s="103" t="str">
        <f>Y201</f>
        <v/>
      </c>
      <c r="Z269" s="103" t="str">
        <f>Z201</f>
        <v/>
      </c>
      <c r="AC269" s="103">
        <v>8</v>
      </c>
      <c r="AD269" s="547" t="str">
        <f>IF('Retro HVAC Worksheet'!B50="","","Package Terminal Air Conditioners (PTAC)")</f>
        <v/>
      </c>
      <c r="AE269" s="103">
        <f>'Retro HVAC Worksheet'!D50*12000</f>
        <v>0</v>
      </c>
      <c r="AF269" s="103" t="str">
        <f>IF('NC HVAC Worksheet'!M50="","",IF(AND(AD269="Package Terminal Air Conditioners (PTAC)",AE269&gt;60000),"Ineligible",VLOOKUP('NC HVAC Worksheet'!M50*12000,'HVAC Efficiency Tables'!$AL$22:$AN$30,3)))</f>
        <v/>
      </c>
      <c r="AG269" s="218" t="str">
        <f t="shared" si="90"/>
        <v/>
      </c>
      <c r="AH269" s="103" t="str">
        <f>AH201</f>
        <v/>
      </c>
      <c r="AI269" s="103" t="str">
        <f>AI201</f>
        <v/>
      </c>
    </row>
    <row r="270" spans="20:35">
      <c r="T270" s="103">
        <v>9</v>
      </c>
      <c r="U270" s="547" t="str">
        <f>IF('NC HVAC Worksheet'!B51="","","Package Terminal Air Conditioners (PTAC)")</f>
        <v/>
      </c>
      <c r="V270" s="103">
        <f>'NC HVAC Worksheet'!D51*12000</f>
        <v>0</v>
      </c>
      <c r="W270" s="103" t="str">
        <f>IF('NC HVAC Worksheet'!D51="","",IF(AND(U270="Package Terminal Air Conditioners (PTAC)",V270&gt;60000),"Ineligible",VLOOKUP('NC HVAC Worksheet'!D51*12000,'HVAC Efficiency Tables'!$AL$22:$AN$30,3)))</f>
        <v/>
      </c>
      <c r="X270" s="218" t="str">
        <f t="shared" si="89"/>
        <v/>
      </c>
      <c r="Y270" s="103" t="str">
        <f>Y204</f>
        <v/>
      </c>
      <c r="Z270" s="103" t="str">
        <f>Z204</f>
        <v/>
      </c>
      <c r="AC270" s="103">
        <v>9</v>
      </c>
      <c r="AD270" s="547" t="str">
        <f>IF('Retro HVAC Worksheet'!B51="","","Package Terminal Air Conditioners (PTAC)")</f>
        <v/>
      </c>
      <c r="AE270" s="103">
        <f>'Retro HVAC Worksheet'!D51*12000</f>
        <v>0</v>
      </c>
      <c r="AF270" s="103" t="str">
        <f>IF('NC HVAC Worksheet'!M51="","",IF(AND(AD270="Package Terminal Air Conditioners (PTAC)",AE270&gt;60000),"Ineligible",VLOOKUP('NC HVAC Worksheet'!M51*12000,'HVAC Efficiency Tables'!$AL$22:$AN$30,3)))</f>
        <v/>
      </c>
      <c r="AG270" s="218" t="str">
        <f t="shared" si="90"/>
        <v/>
      </c>
      <c r="AH270" s="103" t="str">
        <f>AH204</f>
        <v/>
      </c>
      <c r="AI270" s="103" t="str">
        <f>AI204</f>
        <v/>
      </c>
    </row>
    <row r="271" spans="20:35">
      <c r="T271" s="103">
        <v>10</v>
      </c>
      <c r="U271" s="547" t="str">
        <f>IF('NC HVAC Worksheet'!B52="","","Package Terminal Air Conditioners (PTAC)")</f>
        <v/>
      </c>
      <c r="V271" s="103">
        <f>'NC HVAC Worksheet'!D52*12000</f>
        <v>0</v>
      </c>
      <c r="W271" s="103" t="str">
        <f>IF('NC HVAC Worksheet'!D52="","",IF(AND(U271="Package Terminal Air Conditioners (PTAC)",V271&gt;60000),"Ineligible",VLOOKUP('NC HVAC Worksheet'!D52*12000,'HVAC Efficiency Tables'!$AL$22:$AN$30,3)))</f>
        <v/>
      </c>
      <c r="X271" s="218" t="str">
        <f t="shared" si="89"/>
        <v/>
      </c>
      <c r="Y271" s="103" t="str">
        <f>Y207</f>
        <v/>
      </c>
      <c r="Z271" s="103" t="str">
        <f>Z207</f>
        <v/>
      </c>
      <c r="AC271" s="103">
        <v>10</v>
      </c>
      <c r="AD271" s="547" t="str">
        <f>IF('Retro HVAC Worksheet'!B52="","","Package Terminal Air Conditioners (PTAC)")</f>
        <v/>
      </c>
      <c r="AE271" s="103">
        <f>'Retro HVAC Worksheet'!D52*12000</f>
        <v>0</v>
      </c>
      <c r="AF271" s="103" t="str">
        <f>IF('NC HVAC Worksheet'!M52="","",IF(AND(AD271="Package Terminal Air Conditioners (PTAC)",AE271&gt;60000),"Ineligible",VLOOKUP('NC HVAC Worksheet'!M52*12000,'HVAC Efficiency Tables'!$AL$22:$AN$30,3)))</f>
        <v/>
      </c>
      <c r="AG271" s="218" t="str">
        <f t="shared" si="90"/>
        <v/>
      </c>
      <c r="AH271" s="103" t="str">
        <f>AH207</f>
        <v/>
      </c>
      <c r="AI271" s="103" t="str">
        <f>AI207</f>
        <v/>
      </c>
    </row>
    <row r="274" spans="20:35">
      <c r="T274" s="226" t="s">
        <v>2930</v>
      </c>
      <c r="V274" s="1"/>
      <c r="W274" s="1"/>
      <c r="AC274" s="226" t="s">
        <v>2930</v>
      </c>
      <c r="AD274" s="22"/>
    </row>
    <row r="275" spans="20:35">
      <c r="T275" s="103">
        <v>1</v>
      </c>
      <c r="U275" s="547" t="str">
        <f>IF('NC HVAC Worksheet'!B59="","","Package Terminal Heat Pump (PTHP)")</f>
        <v/>
      </c>
      <c r="V275" s="103">
        <f>'NC HVAC Worksheet'!D59*12000</f>
        <v>0</v>
      </c>
      <c r="W275" s="103" t="str">
        <f>IF('NC HVAC Worksheet'!D59="","",IF(AND(U275="Package Terminal Heat Pump (PTHP)",V275&gt;60000),"Ineligible",VLOOKUP('NC HVAC Worksheet'!D59*12000,'HVAC Efficiency Tables'!$AL$22:$AN$30,3)))</f>
        <v/>
      </c>
      <c r="X275" s="218" t="str">
        <f>U275&amp;W275</f>
        <v/>
      </c>
      <c r="Y275" s="103" t="str">
        <f>Y212</f>
        <v/>
      </c>
      <c r="Z275" s="103" t="str">
        <f>Z212</f>
        <v/>
      </c>
      <c r="AC275" s="103">
        <v>1</v>
      </c>
      <c r="AD275" s="547" t="str">
        <f>IF('Retro HVAC Worksheet'!B59="","","Package Terminal Heat Pump (PTHP)")</f>
        <v/>
      </c>
      <c r="AE275" s="103">
        <f>'Retro HVAC Worksheet'!D59*12000</f>
        <v>0</v>
      </c>
      <c r="AF275" s="103" t="str">
        <f>IF('Retro HVAC Worksheet'!D59="","",IF(AND(AD275="Package Terminal Heat Pump (PTHP)",AE275&gt;60000),"Ineligible",VLOOKUP('Retro HVAC Worksheet'!D59*12000,'HVAC Efficiency Tables'!$AL$22:$AN$30,3)))</f>
        <v/>
      </c>
      <c r="AG275" s="218" t="str">
        <f>AD275&amp;AF275</f>
        <v/>
      </c>
      <c r="AH275" s="103" t="str">
        <f>AH212</f>
        <v/>
      </c>
      <c r="AI275" s="103" t="str">
        <f>AI212</f>
        <v/>
      </c>
    </row>
    <row r="276" spans="20:35">
      <c r="T276" s="103">
        <v>2</v>
      </c>
      <c r="U276" s="547" t="str">
        <f>IF('NC HVAC Worksheet'!B60="","","Package Terminal Heat Pump (PTHP)")</f>
        <v/>
      </c>
      <c r="V276" s="103">
        <f>'NC HVAC Worksheet'!D60*12000</f>
        <v>0</v>
      </c>
      <c r="W276" s="103" t="str">
        <f>IF('NC HVAC Worksheet'!D60="","",IF(AND(U276="Package Terminal Heat Pump (PTHP)",V276&gt;60000),"Ineligible",VLOOKUP('NC HVAC Worksheet'!D60*12000,'HVAC Efficiency Tables'!$AL$22:$AN$30,3)))</f>
        <v/>
      </c>
      <c r="X276" s="218" t="str">
        <f t="shared" ref="X276:X284" si="91">U276&amp;W276</f>
        <v/>
      </c>
      <c r="Y276" s="103" t="str">
        <f>Y215</f>
        <v/>
      </c>
      <c r="Z276" s="103" t="str">
        <f>Z215</f>
        <v/>
      </c>
      <c r="AC276" s="103">
        <v>2</v>
      </c>
      <c r="AD276" s="547" t="str">
        <f>IF('Retro HVAC Worksheet'!B60="","","Package Terminal Heat Pump (PTHP)")</f>
        <v/>
      </c>
      <c r="AE276" s="103">
        <f>'Retro HVAC Worksheet'!D60*12000</f>
        <v>0</v>
      </c>
      <c r="AF276" s="103" t="str">
        <f>IF('Retro HVAC Worksheet'!D60="","",IF(AND(AD276="Package Terminal Heat Pump (PTHP)",AE276&gt;60000),"Ineligible",VLOOKUP('Retro HVAC Worksheet'!D60*12000,'HVAC Efficiency Tables'!$AL$22:$AN$30,3)))</f>
        <v/>
      </c>
      <c r="AG276" s="218" t="str">
        <f t="shared" ref="AG276:AG284" si="92">AD276&amp;AF276</f>
        <v/>
      </c>
      <c r="AH276" s="103" t="str">
        <f>AH215</f>
        <v/>
      </c>
      <c r="AI276" s="103" t="str">
        <f>AI215</f>
        <v/>
      </c>
    </row>
    <row r="277" spans="20:35">
      <c r="T277" s="103">
        <v>3</v>
      </c>
      <c r="U277" s="547" t="str">
        <f>IF('NC HVAC Worksheet'!B61="","","Package Terminal Heat Pump (PTHP)")</f>
        <v/>
      </c>
      <c r="V277" s="103">
        <f>'NC HVAC Worksheet'!D61*12000</f>
        <v>0</v>
      </c>
      <c r="W277" s="103" t="str">
        <f>IF('NC HVAC Worksheet'!D61="","",IF(AND(U277="Package Terminal Heat Pump (PTHP)",V277&gt;60000),"Ineligible",VLOOKUP('NC HVAC Worksheet'!D61*12000,'HVAC Efficiency Tables'!$AL$22:$AN$30,3)))</f>
        <v/>
      </c>
      <c r="X277" s="218" t="str">
        <f t="shared" si="91"/>
        <v/>
      </c>
      <c r="Y277" s="103" t="str">
        <f>Y218</f>
        <v/>
      </c>
      <c r="Z277" s="103" t="str">
        <f>Z218</f>
        <v/>
      </c>
      <c r="AC277" s="103">
        <v>3</v>
      </c>
      <c r="AD277" s="547" t="str">
        <f>IF('Retro HVAC Worksheet'!B61="","","Package Terminal Heat Pump (PTHP)")</f>
        <v/>
      </c>
      <c r="AE277" s="103">
        <f>'Retro HVAC Worksheet'!D61*12000</f>
        <v>0</v>
      </c>
      <c r="AF277" s="103" t="str">
        <f>IF('Retro HVAC Worksheet'!D61="","",IF(AND(AD277="Package Terminal Heat Pump (PTHP)",AE277&gt;60000),"Ineligible",VLOOKUP('Retro HVAC Worksheet'!D61*12000,'HVAC Efficiency Tables'!$AL$22:$AN$30,3)))</f>
        <v/>
      </c>
      <c r="AG277" s="218" t="str">
        <f t="shared" si="92"/>
        <v/>
      </c>
      <c r="AH277" s="103" t="str">
        <f>AH218</f>
        <v/>
      </c>
      <c r="AI277" s="103" t="str">
        <f>AI218</f>
        <v/>
      </c>
    </row>
    <row r="278" spans="20:35">
      <c r="T278" s="103">
        <v>4</v>
      </c>
      <c r="U278" s="547" t="str">
        <f>IF('NC HVAC Worksheet'!B62="","","Package Terminal Heat Pump (PTHP)")</f>
        <v/>
      </c>
      <c r="V278" s="103">
        <f>'NC HVAC Worksheet'!D62*12000</f>
        <v>0</v>
      </c>
      <c r="W278" s="103" t="str">
        <f>IF('NC HVAC Worksheet'!D62="","",IF(AND(U278="Package Terminal Heat Pump (PTHP)",V278&gt;60000),"Ineligible",VLOOKUP('NC HVAC Worksheet'!D62*12000,'HVAC Efficiency Tables'!$AL$22:$AN$30,3)))</f>
        <v/>
      </c>
      <c r="X278" s="218" t="str">
        <f t="shared" si="91"/>
        <v/>
      </c>
      <c r="Y278" s="103" t="str">
        <f>Y221</f>
        <v/>
      </c>
      <c r="Z278" s="103" t="str">
        <f>Z221</f>
        <v/>
      </c>
      <c r="AC278" s="103">
        <v>4</v>
      </c>
      <c r="AD278" s="547" t="str">
        <f>IF('Retro HVAC Worksheet'!B62="","","Package Terminal Heat Pump (PTHP)")</f>
        <v/>
      </c>
      <c r="AE278" s="103">
        <f>'Retro HVAC Worksheet'!D62*12000</f>
        <v>0</v>
      </c>
      <c r="AF278" s="103" t="str">
        <f>IF('Retro HVAC Worksheet'!D62="","",IF(AND(AD278="Package Terminal Heat Pump (PTHP)",AE278&gt;60000),"Ineligible",VLOOKUP('Retro HVAC Worksheet'!D62*12000,'HVAC Efficiency Tables'!$AL$22:$AN$30,3)))</f>
        <v/>
      </c>
      <c r="AG278" s="218" t="str">
        <f t="shared" si="92"/>
        <v/>
      </c>
      <c r="AH278" s="103" t="str">
        <f>AH221</f>
        <v/>
      </c>
      <c r="AI278" s="103" t="str">
        <f>AI221</f>
        <v/>
      </c>
    </row>
    <row r="279" spans="20:35">
      <c r="T279" s="103">
        <v>5</v>
      </c>
      <c r="U279" s="547" t="str">
        <f>IF('NC HVAC Worksheet'!B63="","","Package Terminal Heat Pump (PTHP)")</f>
        <v/>
      </c>
      <c r="V279" s="103">
        <f>'NC HVAC Worksheet'!D63*12000</f>
        <v>0</v>
      </c>
      <c r="W279" s="103" t="str">
        <f>IF('NC HVAC Worksheet'!D63="","",IF(AND(U279="Package Terminal Heat Pump (PTHP)",V279&gt;60000),"Ineligible",VLOOKUP('NC HVAC Worksheet'!D63*12000,'HVAC Efficiency Tables'!$AL$22:$AN$30,3)))</f>
        <v/>
      </c>
      <c r="X279" s="218" t="str">
        <f t="shared" si="91"/>
        <v/>
      </c>
      <c r="Y279" s="103" t="str">
        <f>Y224</f>
        <v/>
      </c>
      <c r="Z279" s="103" t="str">
        <f>Z224</f>
        <v/>
      </c>
      <c r="AC279" s="103">
        <v>5</v>
      </c>
      <c r="AD279" s="547" t="str">
        <f>IF('Retro HVAC Worksheet'!B63="","","Package Terminal Heat Pump (PTHP)")</f>
        <v/>
      </c>
      <c r="AE279" s="103">
        <f>'Retro HVAC Worksheet'!D63*12000</f>
        <v>0</v>
      </c>
      <c r="AF279" s="103" t="str">
        <f>IF('Retro HVAC Worksheet'!D63="","",IF(AND(AD279="Package Terminal Heat Pump (PTHP)",AE279&gt;60000),"Ineligible",VLOOKUP('Retro HVAC Worksheet'!D63*12000,'HVAC Efficiency Tables'!$AL$22:$AN$30,3)))</f>
        <v/>
      </c>
      <c r="AG279" s="218" t="str">
        <f t="shared" si="92"/>
        <v/>
      </c>
      <c r="AH279" s="103" t="str">
        <f>AH224</f>
        <v/>
      </c>
      <c r="AI279" s="103" t="str">
        <f>AI224</f>
        <v/>
      </c>
    </row>
    <row r="280" spans="20:35">
      <c r="T280" s="103">
        <v>6</v>
      </c>
      <c r="U280" s="547" t="str">
        <f>IF('NC HVAC Worksheet'!B64="","","Package Terminal Heat Pump (PTHP)")</f>
        <v/>
      </c>
      <c r="V280" s="103">
        <f>'NC HVAC Worksheet'!D64*12000</f>
        <v>0</v>
      </c>
      <c r="W280" s="103" t="str">
        <f>IF('NC HVAC Worksheet'!D64="","",IF(AND(U280="Package Terminal Heat Pump (PTHP)",V280&gt;60000),"Ineligible",VLOOKUP('NC HVAC Worksheet'!D64*12000,'HVAC Efficiency Tables'!$AL$22:$AN$30,3)))</f>
        <v/>
      </c>
      <c r="X280" s="218" t="str">
        <f t="shared" si="91"/>
        <v/>
      </c>
      <c r="Y280" s="103" t="str">
        <f>Y227</f>
        <v/>
      </c>
      <c r="Z280" s="103" t="str">
        <f>Z227</f>
        <v/>
      </c>
      <c r="AC280" s="103">
        <v>6</v>
      </c>
      <c r="AD280" s="547" t="str">
        <f>IF('Retro HVAC Worksheet'!B64="","","Package Terminal Heat Pump (PTHP)")</f>
        <v/>
      </c>
      <c r="AE280" s="103">
        <f>'Retro HVAC Worksheet'!D64*12000</f>
        <v>0</v>
      </c>
      <c r="AF280" s="103" t="str">
        <f>IF('Retro HVAC Worksheet'!D64="","",IF(AND(AD280="Package Terminal Heat Pump (PTHP)",AE280&gt;60000),"Ineligible",VLOOKUP('Retro HVAC Worksheet'!D64*12000,'HVAC Efficiency Tables'!$AL$22:$AN$30,3)))</f>
        <v/>
      </c>
      <c r="AG280" s="218" t="str">
        <f t="shared" si="92"/>
        <v/>
      </c>
      <c r="AH280" s="103" t="str">
        <f>AH227</f>
        <v/>
      </c>
      <c r="AI280" s="103" t="str">
        <f>AI227</f>
        <v/>
      </c>
    </row>
    <row r="281" spans="20:35">
      <c r="T281" s="103">
        <v>7</v>
      </c>
      <c r="U281" s="547" t="str">
        <f>IF('NC HVAC Worksheet'!B65="","","Package Terminal Heat Pump (PTHP)")</f>
        <v/>
      </c>
      <c r="V281" s="103">
        <f>'NC HVAC Worksheet'!D65*12000</f>
        <v>0</v>
      </c>
      <c r="W281" s="103" t="str">
        <f>IF('NC HVAC Worksheet'!D65="","",IF(AND(U281="Package Terminal Heat Pump (PTHP)",V281&gt;60000),"Ineligible",VLOOKUP('NC HVAC Worksheet'!D65*12000,'HVAC Efficiency Tables'!$AL$22:$AN$30,3)))</f>
        <v/>
      </c>
      <c r="X281" s="218" t="str">
        <f t="shared" si="91"/>
        <v/>
      </c>
      <c r="Y281" s="103" t="str">
        <f>Y230</f>
        <v/>
      </c>
      <c r="Z281" s="103" t="str">
        <f>Z230</f>
        <v/>
      </c>
      <c r="AC281" s="103">
        <v>7</v>
      </c>
      <c r="AD281" s="547" t="str">
        <f>IF('Retro HVAC Worksheet'!B65="","","Package Terminal Heat Pump (PTHP)")</f>
        <v/>
      </c>
      <c r="AE281" s="103">
        <f>'Retro HVAC Worksheet'!D65*12000</f>
        <v>0</v>
      </c>
      <c r="AF281" s="103" t="str">
        <f>IF('Retro HVAC Worksheet'!D65="","",IF(AND(AD281="Package Terminal Heat Pump (PTHP)",AE281&gt;60000),"Ineligible",VLOOKUP('Retro HVAC Worksheet'!D65*12000,'HVAC Efficiency Tables'!$AL$22:$AN$30,3)))</f>
        <v/>
      </c>
      <c r="AG281" s="218" t="str">
        <f t="shared" si="92"/>
        <v/>
      </c>
      <c r="AH281" s="103" t="str">
        <f>AH230</f>
        <v/>
      </c>
      <c r="AI281" s="103" t="str">
        <f>AI230</f>
        <v/>
      </c>
    </row>
    <row r="282" spans="20:35">
      <c r="T282" s="103">
        <v>8</v>
      </c>
      <c r="U282" s="547" t="str">
        <f>IF('NC HVAC Worksheet'!B66="","","Package Terminal Heat Pump (PTHP)")</f>
        <v/>
      </c>
      <c r="V282" s="103">
        <f>'NC HVAC Worksheet'!D66*12000</f>
        <v>0</v>
      </c>
      <c r="W282" s="103" t="str">
        <f>IF('NC HVAC Worksheet'!D66="","",IF(AND(U282="Package Terminal Heat Pump (PTHP)",V282&gt;60000),"Ineligible",VLOOKUP('NC HVAC Worksheet'!D66*12000,'HVAC Efficiency Tables'!$AL$22:$AN$30,3)))</f>
        <v/>
      </c>
      <c r="X282" s="218" t="str">
        <f t="shared" si="91"/>
        <v/>
      </c>
      <c r="Y282" s="103" t="str">
        <f>Y233</f>
        <v/>
      </c>
      <c r="Z282" s="103" t="str">
        <f>Z233</f>
        <v/>
      </c>
      <c r="AC282" s="103">
        <v>8</v>
      </c>
      <c r="AD282" s="547" t="str">
        <f>IF('Retro HVAC Worksheet'!B66="","","Package Terminal Heat Pump (PTHP)")</f>
        <v/>
      </c>
      <c r="AE282" s="103">
        <f>'Retro HVAC Worksheet'!D66*12000</f>
        <v>0</v>
      </c>
      <c r="AF282" s="103" t="str">
        <f>IF('Retro HVAC Worksheet'!D66="","",IF(AND(AD282="Package Terminal Heat Pump (PTHP)",AE282&gt;60000),"Ineligible",VLOOKUP('Retro HVAC Worksheet'!D66*12000,'HVAC Efficiency Tables'!$AL$22:$AN$30,3)))</f>
        <v/>
      </c>
      <c r="AG282" s="218" t="str">
        <f t="shared" si="92"/>
        <v/>
      </c>
      <c r="AH282" s="103" t="str">
        <f>AH233</f>
        <v/>
      </c>
      <c r="AI282" s="103" t="str">
        <f>AI233</f>
        <v/>
      </c>
    </row>
    <row r="283" spans="20:35">
      <c r="T283" s="103">
        <v>9</v>
      </c>
      <c r="U283" s="547" t="str">
        <f>IF('NC HVAC Worksheet'!B67="","","Package Terminal Heat Pump (PTHP)")</f>
        <v/>
      </c>
      <c r="V283" s="103">
        <f>'NC HVAC Worksheet'!D67*12000</f>
        <v>0</v>
      </c>
      <c r="W283" s="103" t="str">
        <f>IF('NC HVAC Worksheet'!D67="","",IF(AND(U283="Package Terminal Heat Pump (PTHP)",V283&gt;60000),"Ineligible",VLOOKUP('NC HVAC Worksheet'!D67*12000,'HVAC Efficiency Tables'!$AL$22:$AN$30,3)))</f>
        <v/>
      </c>
      <c r="X283" s="218" t="str">
        <f t="shared" si="91"/>
        <v/>
      </c>
      <c r="Y283" s="103" t="str">
        <f>Y236</f>
        <v/>
      </c>
      <c r="Z283" s="103" t="str">
        <f>Z236</f>
        <v/>
      </c>
      <c r="AC283" s="103">
        <v>9</v>
      </c>
      <c r="AD283" s="547" t="str">
        <f>IF('Retro HVAC Worksheet'!B67="","","Package Terminal Heat Pump (PTHP)")</f>
        <v/>
      </c>
      <c r="AE283" s="103">
        <f>'Retro HVAC Worksheet'!D67*12000</f>
        <v>0</v>
      </c>
      <c r="AF283" s="103" t="str">
        <f>IF('Retro HVAC Worksheet'!D67="","",IF(AND(AD283="Package Terminal Heat Pump (PTHP)",AE283&gt;60000),"Ineligible",VLOOKUP('Retro HVAC Worksheet'!D67*12000,'HVAC Efficiency Tables'!$AL$22:$AN$30,3)))</f>
        <v/>
      </c>
      <c r="AG283" s="218" t="str">
        <f t="shared" si="92"/>
        <v/>
      </c>
      <c r="AH283" s="103" t="str">
        <f>AH236</f>
        <v/>
      </c>
      <c r="AI283" s="103" t="str">
        <f>AI236</f>
        <v/>
      </c>
    </row>
    <row r="284" spans="20:35">
      <c r="T284" s="103">
        <v>10</v>
      </c>
      <c r="U284" s="547" t="str">
        <f>IF('NC HVAC Worksheet'!B68="","","Package Terminal Heat Pump (PTHP)")</f>
        <v/>
      </c>
      <c r="V284" s="103">
        <f>'NC HVAC Worksheet'!D68*12000</f>
        <v>0</v>
      </c>
      <c r="W284" s="103" t="str">
        <f>IF('NC HVAC Worksheet'!D68="","",IF(AND(U284="Package Terminal Heat Pump (PTHP)",V284&gt;60000),"Ineligible",VLOOKUP('NC HVAC Worksheet'!D68*12000,'HVAC Efficiency Tables'!$AL$22:$AN$30,3)))</f>
        <v/>
      </c>
      <c r="X284" s="218" t="str">
        <f t="shared" si="91"/>
        <v/>
      </c>
      <c r="Y284" s="103" t="str">
        <f>Y239</f>
        <v/>
      </c>
      <c r="Z284" s="103" t="str">
        <f>Z239</f>
        <v/>
      </c>
      <c r="AC284" s="103">
        <v>10</v>
      </c>
      <c r="AD284" s="547" t="str">
        <f>IF('Retro HVAC Worksheet'!B68="","","Package Terminal Heat Pump (PTHP)")</f>
        <v/>
      </c>
      <c r="AE284" s="103">
        <f>'Retro HVAC Worksheet'!D68*12000</f>
        <v>0</v>
      </c>
      <c r="AF284" s="103" t="str">
        <f>IF('Retro HVAC Worksheet'!D68="","",IF(AND(AD284="Package Terminal Heat Pump (PTHP)",AE284&gt;60000),"Ineligible",VLOOKUP('Retro HVAC Worksheet'!D68*12000,'HVAC Efficiency Tables'!$AL$22:$AN$30,3)))</f>
        <v/>
      </c>
      <c r="AG284" s="218" t="str">
        <f t="shared" si="92"/>
        <v/>
      </c>
      <c r="AH284" s="103" t="str">
        <f>AH239</f>
        <v/>
      </c>
      <c r="AI284" s="103" t="str">
        <f>AI239</f>
        <v/>
      </c>
    </row>
  </sheetData>
  <sheetProtection selectLockedCells="1"/>
  <sortState xmlns:xlrd2="http://schemas.microsoft.com/office/spreadsheetml/2017/richdata2" ref="A106:G259">
    <sortCondition ref="A106"/>
  </sortState>
  <mergeCells count="29">
    <mergeCell ref="G146:K146"/>
    <mergeCell ref="L146:N146"/>
    <mergeCell ref="A45:A46"/>
    <mergeCell ref="G59:K59"/>
    <mergeCell ref="L59:N59"/>
    <mergeCell ref="G73:K73"/>
    <mergeCell ref="L73:N73"/>
    <mergeCell ref="G99:K99"/>
    <mergeCell ref="L99:N99"/>
    <mergeCell ref="G117:K117"/>
    <mergeCell ref="L117:N117"/>
    <mergeCell ref="G135:K135"/>
    <mergeCell ref="L135:N135"/>
    <mergeCell ref="G111:K111"/>
    <mergeCell ref="L111:N111"/>
    <mergeCell ref="G86:K86"/>
    <mergeCell ref="P99:R99"/>
    <mergeCell ref="L86:N86"/>
    <mergeCell ref="G44:K44"/>
    <mergeCell ref="L44:N44"/>
    <mergeCell ref="A1:A2"/>
    <mergeCell ref="A22:A23"/>
    <mergeCell ref="H2:I2"/>
    <mergeCell ref="J2:K2"/>
    <mergeCell ref="D22:F22"/>
    <mergeCell ref="H23:I23"/>
    <mergeCell ref="D1:F1"/>
    <mergeCell ref="H1:K1"/>
    <mergeCell ref="P86:R86"/>
  </mergeCells>
  <phoneticPr fontId="6" type="noConversion"/>
  <pageMargins left="0.75" right="0.75" top="1" bottom="1" header="0.5" footer="0.5"/>
  <pageSetup paperSize="1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AD59"/>
  <sheetViews>
    <sheetView showGridLines="0" showRowColHeaders="0" workbookViewId="0">
      <selection activeCell="B19" sqref="B19"/>
    </sheetView>
  </sheetViews>
  <sheetFormatPr defaultColWidth="8.85546875" defaultRowHeight="12.75"/>
  <cols>
    <col min="1" max="1" width="2.42578125" style="1" customWidth="1"/>
    <col min="2" max="2" width="115.42578125" style="1" customWidth="1"/>
    <col min="3" max="3" width="1.5703125" style="1" customWidth="1"/>
    <col min="4" max="26" width="9.140625" style="1"/>
    <col min="27" max="27" width="0.5703125" style="1" customWidth="1"/>
    <col min="28" max="28" width="133.5703125" style="1" customWidth="1"/>
    <col min="29" max="29" width="0.42578125" style="1" customWidth="1"/>
    <col min="30" max="16384" width="8.85546875" style="1"/>
  </cols>
  <sheetData>
    <row r="1" spans="1:30" ht="15.75" customHeight="1">
      <c r="D1" s="94"/>
      <c r="E1" s="94"/>
      <c r="F1" s="94"/>
      <c r="G1" s="94"/>
      <c r="H1" s="94"/>
      <c r="I1" s="94"/>
      <c r="J1" s="94"/>
      <c r="K1" s="94"/>
      <c r="L1" s="94"/>
      <c r="M1" s="94"/>
      <c r="N1" s="94"/>
      <c r="O1" s="94"/>
      <c r="P1" s="94"/>
      <c r="Q1" s="94"/>
      <c r="R1" s="94"/>
      <c r="S1" s="94"/>
      <c r="T1" s="94"/>
      <c r="U1" s="94"/>
      <c r="V1" s="94"/>
      <c r="W1" s="94"/>
      <c r="X1" s="94"/>
      <c r="Y1" s="94"/>
      <c r="Z1" s="94"/>
      <c r="AA1" s="94"/>
      <c r="AB1" s="94"/>
      <c r="AC1" s="94"/>
      <c r="AD1" s="94"/>
    </row>
    <row r="2" spans="1:30">
      <c r="D2" s="94"/>
      <c r="E2" s="94"/>
      <c r="F2" s="94"/>
      <c r="G2" s="94"/>
      <c r="H2" s="94"/>
      <c r="I2" s="94"/>
      <c r="J2" s="94"/>
      <c r="K2" s="94"/>
      <c r="L2" s="94"/>
      <c r="M2" s="94"/>
      <c r="N2" s="94"/>
      <c r="O2" s="94"/>
      <c r="P2" s="94"/>
      <c r="Q2" s="94"/>
      <c r="R2" s="94"/>
      <c r="S2" s="94"/>
      <c r="T2" s="94"/>
      <c r="U2" s="94"/>
      <c r="V2" s="94"/>
      <c r="W2" s="94"/>
      <c r="X2" s="94"/>
      <c r="Y2" s="94"/>
      <c r="Z2" s="94"/>
      <c r="AA2" s="94"/>
      <c r="AB2" s="94"/>
      <c r="AC2" s="94"/>
      <c r="AD2" s="94"/>
    </row>
    <row r="3" spans="1:30">
      <c r="D3" s="94"/>
      <c r="E3" s="94"/>
      <c r="F3" s="94"/>
      <c r="G3" s="94"/>
      <c r="H3" s="94"/>
      <c r="I3" s="94"/>
      <c r="J3" s="94"/>
      <c r="K3" s="94"/>
      <c r="L3" s="94"/>
      <c r="M3" s="94"/>
      <c r="N3" s="94"/>
      <c r="O3" s="94"/>
      <c r="P3" s="94"/>
      <c r="Q3" s="94"/>
      <c r="R3" s="94"/>
      <c r="S3" s="94"/>
      <c r="T3" s="94"/>
      <c r="U3" s="94"/>
      <c r="V3" s="94"/>
      <c r="W3" s="94"/>
      <c r="X3" s="94"/>
      <c r="Y3" s="94"/>
      <c r="Z3" s="94"/>
      <c r="AA3" s="94"/>
      <c r="AB3" s="94"/>
      <c r="AC3" s="94"/>
      <c r="AD3" s="94"/>
    </row>
    <row r="4" spans="1:30" ht="5.25" customHeight="1">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c r="D5" s="94"/>
      <c r="E5" s="94"/>
      <c r="F5" s="94"/>
      <c r="G5" s="94"/>
      <c r="H5" s="94"/>
      <c r="I5" s="94"/>
      <c r="J5" s="94"/>
      <c r="K5" s="94"/>
      <c r="L5" s="94"/>
      <c r="M5" s="94"/>
      <c r="N5" s="94"/>
      <c r="O5" s="94"/>
      <c r="P5" s="94"/>
      <c r="Q5" s="94"/>
      <c r="R5" s="94"/>
      <c r="S5" s="94"/>
      <c r="T5" s="94"/>
      <c r="U5" s="94"/>
      <c r="V5" s="94"/>
      <c r="W5" s="94"/>
      <c r="X5" s="94"/>
      <c r="Y5" s="94"/>
      <c r="Z5" s="94"/>
      <c r="AA5" s="94"/>
      <c r="AB5" s="94"/>
      <c r="AC5" s="94"/>
      <c r="AD5" s="94"/>
    </row>
    <row r="6" spans="1:30" ht="5.25" customHeight="1">
      <c r="D6" s="94"/>
      <c r="E6" s="94"/>
      <c r="F6" s="94"/>
      <c r="G6" s="94"/>
      <c r="H6" s="94"/>
      <c r="I6" s="94"/>
      <c r="J6" s="94"/>
      <c r="K6" s="94"/>
      <c r="L6" s="94"/>
      <c r="M6" s="94"/>
      <c r="N6" s="94"/>
      <c r="O6" s="94"/>
      <c r="P6" s="94"/>
      <c r="Q6" s="94"/>
      <c r="R6" s="94"/>
      <c r="S6" s="94"/>
      <c r="T6" s="94"/>
      <c r="U6" s="94"/>
      <c r="V6" s="94"/>
      <c r="W6" s="94"/>
      <c r="X6" s="94"/>
      <c r="Y6" s="94"/>
      <c r="Z6" s="94"/>
      <c r="AA6" s="94"/>
      <c r="AB6" s="94"/>
      <c r="AC6" s="94"/>
      <c r="AD6" s="94"/>
    </row>
    <row r="7" spans="1:30" ht="3" customHeight="1">
      <c r="D7" s="94"/>
      <c r="E7" s="94"/>
      <c r="F7" s="94"/>
      <c r="G7" s="94"/>
      <c r="H7" s="94"/>
      <c r="I7" s="94"/>
      <c r="J7" s="94"/>
      <c r="K7" s="94"/>
      <c r="L7" s="94"/>
      <c r="M7" s="94"/>
      <c r="N7" s="94"/>
      <c r="O7" s="94"/>
      <c r="P7" s="94"/>
      <c r="Q7" s="94"/>
      <c r="R7" s="94"/>
      <c r="S7" s="94"/>
      <c r="T7" s="94"/>
      <c r="U7" s="94"/>
      <c r="V7" s="94"/>
      <c r="W7" s="94"/>
      <c r="X7" s="94"/>
      <c r="Y7" s="94"/>
      <c r="Z7" s="94"/>
      <c r="AA7" s="94"/>
      <c r="AB7" s="94"/>
      <c r="AC7" s="94"/>
      <c r="AD7" s="94"/>
    </row>
    <row r="8" spans="1:30">
      <c r="D8" s="94"/>
      <c r="E8" s="94"/>
      <c r="F8" s="94"/>
      <c r="G8" s="94"/>
      <c r="H8" s="94"/>
      <c r="I8" s="94"/>
      <c r="J8" s="94"/>
      <c r="K8" s="94"/>
      <c r="L8" s="94"/>
      <c r="M8" s="94"/>
      <c r="N8" s="94"/>
      <c r="O8" s="94"/>
      <c r="P8" s="94"/>
      <c r="Q8" s="94"/>
      <c r="R8" s="94"/>
      <c r="S8" s="94"/>
      <c r="T8" s="94"/>
      <c r="U8" s="94"/>
      <c r="V8" s="94"/>
      <c r="W8" s="94"/>
      <c r="X8" s="94"/>
      <c r="Y8" s="94"/>
      <c r="Z8" s="94"/>
      <c r="AA8" s="94"/>
      <c r="AB8" s="94"/>
      <c r="AC8" s="94"/>
      <c r="AD8" s="94"/>
    </row>
    <row r="9" spans="1:30" ht="7.5" customHeight="1">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row>
    <row r="11" spans="1:30" ht="21" customHeight="1">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row>
    <row r="12" spans="1:30">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row>
    <row r="13" spans="1:30">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row>
    <row r="14" spans="1:30" ht="12.75" customHeight="1">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row>
    <row r="15" spans="1:30">
      <c r="B15" s="143" t="str">
        <f>'Preliminary Application'!AJ1</f>
        <v>Effective November 1, 2023</v>
      </c>
      <c r="C15" s="83"/>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row>
    <row r="16" spans="1:30" ht="4.5" customHeight="1">
      <c r="A16" s="35"/>
      <c r="B16" s="35"/>
      <c r="C16" s="35"/>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row>
    <row r="17" spans="1:30" ht="13.5" thickBot="1">
      <c r="A17" s="25"/>
      <c r="B17" s="25"/>
      <c r="C17" s="25"/>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row>
    <row r="18" spans="1:30" ht="18.75" thickBot="1">
      <c r="A18" s="958" t="s">
        <v>2932</v>
      </c>
      <c r="B18" s="958"/>
      <c r="C18" s="958"/>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row>
    <row r="19" spans="1:30" ht="24.75" customHeight="1">
      <c r="A19" s="25"/>
      <c r="B19" s="392" t="s">
        <v>3328</v>
      </c>
      <c r="C19" s="144"/>
      <c r="D19" s="92"/>
      <c r="E19" s="92"/>
      <c r="F19" s="92"/>
      <c r="G19" s="92"/>
      <c r="H19" s="92"/>
      <c r="I19" s="92"/>
      <c r="J19" s="92"/>
      <c r="K19" s="92"/>
      <c r="L19" s="92"/>
      <c r="M19" s="92"/>
      <c r="N19" s="92"/>
      <c r="O19" s="92"/>
      <c r="P19" s="92"/>
      <c r="Q19" s="92"/>
      <c r="R19" s="92"/>
      <c r="S19" s="92"/>
      <c r="T19" s="92"/>
      <c r="U19" s="92"/>
      <c r="V19" s="92"/>
      <c r="W19" s="92"/>
      <c r="X19" s="92"/>
      <c r="Y19" s="92"/>
      <c r="Z19" s="92"/>
      <c r="AA19" s="94"/>
      <c r="AB19" s="94"/>
      <c r="AC19" s="94"/>
      <c r="AD19" s="92"/>
    </row>
    <row r="20" spans="1:30">
      <c r="A20" s="25"/>
      <c r="B20" s="145"/>
      <c r="C20" s="145"/>
      <c r="D20" s="92"/>
      <c r="E20" s="92"/>
      <c r="F20" s="92"/>
      <c r="G20" s="92"/>
      <c r="H20" s="92"/>
      <c r="I20" s="92"/>
      <c r="J20" s="92"/>
      <c r="K20" s="92"/>
      <c r="L20" s="92"/>
      <c r="M20" s="92"/>
      <c r="N20" s="92"/>
      <c r="O20" s="92"/>
      <c r="P20" s="92"/>
      <c r="Q20" s="92"/>
      <c r="R20" s="92"/>
      <c r="S20" s="92"/>
      <c r="T20" s="92"/>
      <c r="U20" s="92"/>
      <c r="V20" s="92"/>
      <c r="W20" s="92"/>
      <c r="X20" s="92"/>
      <c r="Y20" s="92"/>
      <c r="Z20" s="92"/>
      <c r="AA20" s="94"/>
      <c r="AB20" s="94"/>
      <c r="AC20" s="94"/>
      <c r="AD20" s="92"/>
    </row>
    <row r="21" spans="1:30">
      <c r="A21" s="25"/>
      <c r="B21" s="392"/>
      <c r="C21" s="146"/>
      <c r="D21" s="92"/>
      <c r="E21" s="92"/>
      <c r="F21" s="92"/>
      <c r="G21" s="92"/>
      <c r="H21" s="92"/>
      <c r="I21" s="92"/>
      <c r="J21" s="92"/>
      <c r="K21" s="92"/>
      <c r="L21" s="92"/>
      <c r="M21" s="92"/>
      <c r="N21" s="92"/>
      <c r="O21" s="92"/>
      <c r="P21" s="92"/>
      <c r="Q21" s="92"/>
      <c r="R21" s="92"/>
      <c r="S21" s="92"/>
      <c r="T21" s="92"/>
      <c r="U21" s="92"/>
      <c r="V21" s="92"/>
      <c r="W21" s="92"/>
      <c r="X21" s="92"/>
      <c r="Y21" s="92"/>
      <c r="Z21" s="92"/>
      <c r="AA21" s="94"/>
      <c r="AB21" s="94"/>
      <c r="AC21" s="94"/>
      <c r="AD21" s="92"/>
    </row>
    <row r="22" spans="1:30">
      <c r="A22" s="25"/>
      <c r="B22" s="146"/>
      <c r="C22" s="146"/>
      <c r="D22" s="92"/>
      <c r="E22" s="92"/>
      <c r="F22" s="92"/>
      <c r="G22" s="92"/>
      <c r="H22" s="92"/>
      <c r="I22" s="92"/>
      <c r="J22" s="92"/>
      <c r="K22" s="92"/>
      <c r="L22" s="92"/>
      <c r="M22" s="92"/>
      <c r="N22" s="92"/>
      <c r="O22" s="92"/>
      <c r="P22" s="92"/>
      <c r="Q22" s="92"/>
      <c r="R22" s="92"/>
      <c r="S22" s="92"/>
      <c r="T22" s="92"/>
      <c r="U22" s="92"/>
      <c r="V22" s="92"/>
      <c r="W22" s="92"/>
      <c r="X22" s="92"/>
      <c r="Y22" s="92"/>
      <c r="Z22" s="92"/>
      <c r="AA22" s="94"/>
      <c r="AB22" s="94"/>
      <c r="AC22" s="94"/>
      <c r="AD22" s="92"/>
    </row>
    <row r="23" spans="1:30">
      <c r="A23" s="25"/>
      <c r="B23" s="150" t="str">
        <f>Version</f>
        <v>MF (11/23)</v>
      </c>
      <c r="C23" s="150"/>
      <c r="D23" s="92"/>
      <c r="E23" s="92"/>
      <c r="F23" s="92"/>
      <c r="G23" s="92"/>
      <c r="H23" s="92"/>
      <c r="I23" s="92"/>
      <c r="J23" s="92"/>
      <c r="K23" s="92"/>
      <c r="L23" s="92"/>
      <c r="M23" s="92"/>
      <c r="N23" s="92"/>
      <c r="O23" s="92"/>
      <c r="P23" s="92"/>
      <c r="Q23" s="92"/>
      <c r="R23" s="92"/>
      <c r="S23" s="92"/>
      <c r="T23" s="92"/>
      <c r="U23" s="92"/>
      <c r="V23" s="92"/>
      <c r="W23" s="92"/>
      <c r="X23" s="92"/>
      <c r="Y23" s="92"/>
      <c r="Z23" s="92"/>
      <c r="AA23" s="94"/>
      <c r="AB23" s="94"/>
      <c r="AC23" s="94"/>
      <c r="AD23" s="92"/>
    </row>
    <row r="24" spans="1:30">
      <c r="A24" s="35"/>
      <c r="B24" s="35"/>
      <c r="C24" s="35"/>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row>
    <row r="25" spans="1:30">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row>
    <row r="26" spans="1:30">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D26" s="94"/>
    </row>
    <row r="27" spans="1:30">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c r="AD27" s="94"/>
    </row>
    <row r="28" spans="1:30">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D28" s="94"/>
    </row>
    <row r="29" spans="1:30" ht="15.75" customHeight="1">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D29" s="94"/>
    </row>
    <row r="30" spans="1:30">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c r="AD30" s="94"/>
    </row>
    <row r="31" spans="1:30">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D31" s="94"/>
    </row>
    <row r="32" spans="1:30" ht="5.25" customHeight="1">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D32" s="94"/>
    </row>
    <row r="33" spans="1:30">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c r="AD33" s="94"/>
    </row>
    <row r="34" spans="1:30" ht="5.25" customHeight="1">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D34" s="94"/>
    </row>
    <row r="35" spans="1:30" ht="3"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D35" s="94"/>
    </row>
    <row r="36" spans="1:30">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D36" s="94"/>
    </row>
    <row r="37" spans="1:30" ht="7.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D37" s="94"/>
    </row>
    <row r="38" spans="1:30">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D38" s="94"/>
    </row>
    <row r="39" spans="1:30" ht="21"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D39" s="94"/>
    </row>
    <row r="40" spans="1:30" ht="32.25" customHeight="1">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B40" s="83" t="str">
        <f>B15</f>
        <v>Effective November 1, 2023</v>
      </c>
      <c r="AC40" s="83"/>
      <c r="AD40" s="94"/>
    </row>
    <row r="41" spans="1:30" ht="6.75" customHeight="1">
      <c r="A41" s="94"/>
      <c r="B41" s="94"/>
      <c r="C41" s="94"/>
      <c r="D41" s="94"/>
      <c r="E41" s="94"/>
      <c r="F41" s="94"/>
      <c r="G41" s="94"/>
      <c r="H41" s="94"/>
      <c r="I41" s="94"/>
      <c r="J41" s="94"/>
      <c r="K41" s="94"/>
      <c r="L41" s="94"/>
      <c r="M41" s="94"/>
      <c r="N41" s="94"/>
      <c r="O41" s="94"/>
      <c r="P41" s="94"/>
      <c r="Q41" s="94"/>
      <c r="R41" s="94"/>
      <c r="S41" s="94"/>
      <c r="T41" s="94"/>
      <c r="U41" s="94"/>
      <c r="V41" s="94"/>
      <c r="W41" s="94"/>
      <c r="X41" s="94"/>
      <c r="Y41" s="94"/>
      <c r="Z41" s="94"/>
      <c r="AD41" s="94"/>
    </row>
    <row r="42" spans="1:30" ht="36.75" customHeight="1">
      <c r="A42" s="94"/>
      <c r="B42" s="94"/>
      <c r="C42" s="94"/>
      <c r="D42" s="94"/>
      <c r="E42" s="94"/>
      <c r="F42" s="94"/>
      <c r="G42" s="94"/>
      <c r="H42" s="94"/>
      <c r="I42" s="94"/>
      <c r="J42" s="94"/>
      <c r="K42" s="94"/>
      <c r="L42" s="94"/>
      <c r="M42" s="94"/>
      <c r="N42" s="94"/>
      <c r="O42" s="94"/>
      <c r="P42" s="94"/>
      <c r="Q42" s="94"/>
      <c r="R42" s="94"/>
      <c r="S42" s="94"/>
      <c r="T42" s="94"/>
      <c r="U42" s="94"/>
      <c r="V42" s="94"/>
      <c r="W42" s="94"/>
      <c r="X42" s="94"/>
      <c r="Y42" s="94"/>
      <c r="Z42" s="94"/>
      <c r="AD42" s="94"/>
    </row>
    <row r="43" spans="1:30" ht="18">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57" t="str">
        <f t="shared" ref="AA43" si="0">A18</f>
        <v>For specific measure qualifications</v>
      </c>
      <c r="AB43" s="957"/>
      <c r="AC43" s="957"/>
      <c r="AD43" s="94"/>
    </row>
    <row r="44" spans="1:30" ht="27.75" customHeight="1">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358"/>
      <c r="AB44" s="393" t="str">
        <f>B19</f>
        <v>https://www.idahopower.com/multifamily</v>
      </c>
      <c r="AC44" s="147"/>
      <c r="AD44" s="94"/>
    </row>
    <row r="45" spans="1:30" ht="15">
      <c r="A45" s="94"/>
      <c r="B45" s="94"/>
      <c r="C45" s="94"/>
      <c r="D45" s="94"/>
      <c r="E45" s="94"/>
      <c r="F45" s="94"/>
      <c r="G45" s="94"/>
      <c r="H45" s="94"/>
      <c r="I45" s="94"/>
      <c r="J45" s="94"/>
      <c r="K45" s="94"/>
      <c r="L45" s="94"/>
      <c r="M45" s="94"/>
      <c r="N45" s="94"/>
      <c r="O45" s="94"/>
      <c r="P45" s="94"/>
      <c r="Q45" s="94"/>
      <c r="R45" s="94"/>
      <c r="S45" s="94"/>
      <c r="T45" s="94"/>
      <c r="U45" s="94"/>
      <c r="V45" s="94"/>
      <c r="W45" s="94"/>
      <c r="X45" s="94"/>
      <c r="Y45" s="94"/>
      <c r="Z45" s="94"/>
      <c r="AA45" s="358"/>
      <c r="AB45" s="513"/>
      <c r="AC45" s="148"/>
      <c r="AD45" s="94"/>
    </row>
    <row r="46" spans="1:30" ht="15">
      <c r="A46" s="94"/>
      <c r="B46" s="94"/>
      <c r="C46" s="94"/>
      <c r="D46" s="92"/>
      <c r="E46" s="92"/>
      <c r="F46" s="92"/>
      <c r="G46" s="92"/>
      <c r="H46" s="92"/>
      <c r="I46" s="92"/>
      <c r="J46" s="92"/>
      <c r="K46" s="92"/>
      <c r="L46" s="92"/>
      <c r="M46" s="92"/>
      <c r="N46" s="92"/>
      <c r="O46" s="92"/>
      <c r="P46" s="92"/>
      <c r="Q46" s="92"/>
      <c r="R46" s="92"/>
      <c r="S46" s="92"/>
      <c r="T46" s="92"/>
      <c r="U46" s="92"/>
      <c r="V46" s="92"/>
      <c r="W46" s="92"/>
      <c r="X46" s="92"/>
      <c r="Y46" s="92"/>
      <c r="Z46" s="92"/>
      <c r="AA46" s="358"/>
      <c r="AB46" s="393"/>
      <c r="AD46" s="92"/>
    </row>
    <row r="47" spans="1:30" ht="15">
      <c r="A47" s="94"/>
      <c r="B47" s="94"/>
      <c r="C47" s="94"/>
      <c r="D47" s="92"/>
      <c r="E47" s="92"/>
      <c r="F47" s="92"/>
      <c r="G47" s="92"/>
      <c r="H47" s="92"/>
      <c r="I47" s="92"/>
      <c r="J47" s="92"/>
      <c r="K47" s="92"/>
      <c r="L47" s="92"/>
      <c r="M47" s="92"/>
      <c r="N47" s="92"/>
      <c r="O47" s="92"/>
      <c r="P47" s="92"/>
      <c r="Q47" s="92"/>
      <c r="R47" s="92"/>
      <c r="S47" s="92"/>
      <c r="T47" s="92"/>
      <c r="U47" s="92"/>
      <c r="V47" s="92"/>
      <c r="W47" s="92"/>
      <c r="X47" s="92"/>
      <c r="Y47" s="92"/>
      <c r="Z47" s="92"/>
      <c r="AA47" s="358"/>
      <c r="AB47" s="514"/>
      <c r="AD47" s="92"/>
    </row>
    <row r="48" spans="1:30" ht="15">
      <c r="A48" s="94"/>
      <c r="B48" s="94"/>
      <c r="C48" s="94"/>
      <c r="D48" s="94"/>
      <c r="E48" s="94"/>
      <c r="F48" s="94"/>
      <c r="G48" s="94"/>
      <c r="H48" s="94"/>
      <c r="I48" s="94"/>
      <c r="J48" s="94"/>
      <c r="K48" s="94"/>
      <c r="L48" s="94"/>
      <c r="M48" s="94"/>
      <c r="N48" s="94"/>
      <c r="O48" s="94"/>
      <c r="P48" s="94"/>
      <c r="Q48" s="94"/>
      <c r="R48" s="94"/>
      <c r="S48" s="94"/>
      <c r="T48" s="94"/>
      <c r="U48" s="94"/>
      <c r="V48" s="94"/>
      <c r="W48" s="94"/>
      <c r="X48" s="94"/>
      <c r="Y48" s="94"/>
      <c r="Z48" s="94"/>
      <c r="AA48" s="358"/>
      <c r="AB48" s="360" t="str">
        <f>B23</f>
        <v>MF (11/23)</v>
      </c>
      <c r="AD48" s="94"/>
    </row>
    <row r="49" spans="1:30" ht="15">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358"/>
      <c r="AB49" s="147"/>
      <c r="AD49" s="94"/>
    </row>
    <row r="50" spans="1:30" ht="15">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359"/>
      <c r="AC50" s="94"/>
      <c r="AD50" s="94"/>
    </row>
    <row r="51" spans="1:30" ht="15">
      <c r="AB51" s="147"/>
    </row>
    <row r="52" spans="1:30" ht="15">
      <c r="AB52" s="147"/>
    </row>
    <row r="53" spans="1:30" ht="15">
      <c r="AB53" s="147"/>
    </row>
    <row r="54" spans="1:30" ht="15">
      <c r="AB54" s="147"/>
    </row>
    <row r="55" spans="1:30" ht="15">
      <c r="AB55" s="147"/>
    </row>
    <row r="56" spans="1:30" ht="15">
      <c r="AB56" s="147"/>
    </row>
    <row r="57" spans="1:30" ht="15">
      <c r="AB57" s="147"/>
    </row>
    <row r="58" spans="1:30" ht="15">
      <c r="AB58" s="147"/>
    </row>
    <row r="59" spans="1:30" ht="15">
      <c r="AB59" s="147"/>
    </row>
  </sheetData>
  <sheetProtection algorithmName="SHA-512" hashValue="PFrLiVYHiMeV/lm7vITLS4F09hUlHjdgctljiROvcfMK5nLnbKsRnSuJJIvO/OEoL5IQhnqscGCYVWS+MtkbVw==" saltValue="qAS87eNYRc2VQjNgeiES5Q==" spinCount="100000" sheet="1" selectLockedCells="1"/>
  <mergeCells count="2">
    <mergeCell ref="AA43:AC43"/>
    <mergeCell ref="A18:C18"/>
  </mergeCells>
  <hyperlinks>
    <hyperlink ref="B19" r:id="rId1" xr:uid="{FF91D859-D78D-4E42-B493-FDFFD42F3F4A}"/>
  </hyperlinks>
  <pageMargins left="0.7" right="0.7" top="0.75" bottom="0.75" header="0.3" footer="0.3"/>
  <pageSetup scale="67" fitToHeight="2" orientation="portrait"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D59"/>
  <sheetViews>
    <sheetView showGridLines="0" showRowColHeaders="0" workbookViewId="0">
      <selection activeCell="B19" sqref="B19"/>
    </sheetView>
  </sheetViews>
  <sheetFormatPr defaultColWidth="8.85546875" defaultRowHeight="12.75"/>
  <cols>
    <col min="1" max="1" width="2.42578125" style="1" customWidth="1"/>
    <col min="2" max="2" width="115.42578125" style="1" customWidth="1"/>
    <col min="3" max="3" width="1.5703125" style="1" customWidth="1"/>
    <col min="4" max="26" width="8.85546875" style="1"/>
    <col min="27" max="27" width="0.5703125" style="1" customWidth="1"/>
    <col min="28" max="28" width="133.5703125" style="1" customWidth="1"/>
    <col min="29" max="29" width="0.42578125" style="1" customWidth="1"/>
    <col min="30" max="16384" width="8.85546875" style="1"/>
  </cols>
  <sheetData>
    <row r="1" spans="1:30" ht="15.75" customHeight="1">
      <c r="D1" s="94"/>
      <c r="E1" s="94"/>
      <c r="F1" s="94"/>
      <c r="G1" s="94"/>
      <c r="H1" s="94"/>
      <c r="I1" s="94"/>
      <c r="J1" s="94"/>
      <c r="K1" s="94"/>
      <c r="L1" s="94"/>
      <c r="M1" s="94"/>
      <c r="N1" s="94"/>
      <c r="O1" s="94"/>
      <c r="P1" s="94"/>
      <c r="Q1" s="94"/>
      <c r="R1" s="94"/>
      <c r="S1" s="94"/>
      <c r="T1" s="94"/>
      <c r="U1" s="94"/>
      <c r="V1" s="94"/>
      <c r="W1" s="94"/>
      <c r="X1" s="94"/>
      <c r="Y1" s="94"/>
      <c r="Z1" s="94"/>
      <c r="AA1" s="94"/>
      <c r="AB1" s="94"/>
      <c r="AC1" s="94"/>
      <c r="AD1" s="94"/>
    </row>
    <row r="2" spans="1:30">
      <c r="D2" s="94"/>
      <c r="E2" s="94"/>
      <c r="F2" s="94"/>
      <c r="G2" s="94"/>
      <c r="H2" s="94"/>
      <c r="I2" s="94"/>
      <c r="J2" s="94"/>
      <c r="K2" s="94"/>
      <c r="L2" s="94"/>
      <c r="M2" s="94"/>
      <c r="N2" s="94"/>
      <c r="O2" s="94"/>
      <c r="P2" s="94"/>
      <c r="Q2" s="94"/>
      <c r="R2" s="94"/>
      <c r="S2" s="94"/>
      <c r="T2" s="94"/>
      <c r="U2" s="94"/>
      <c r="V2" s="94"/>
      <c r="W2" s="94"/>
      <c r="X2" s="94"/>
      <c r="Y2" s="94"/>
      <c r="Z2" s="94"/>
      <c r="AA2" s="94"/>
      <c r="AB2" s="94"/>
      <c r="AC2" s="94"/>
      <c r="AD2" s="94"/>
    </row>
    <row r="3" spans="1:30">
      <c r="D3" s="94"/>
      <c r="E3" s="94"/>
      <c r="F3" s="94"/>
      <c r="G3" s="94"/>
      <c r="H3" s="94"/>
      <c r="I3" s="94"/>
      <c r="J3" s="94"/>
      <c r="K3" s="94"/>
      <c r="L3" s="94"/>
      <c r="M3" s="94"/>
      <c r="N3" s="94"/>
      <c r="O3" s="94"/>
      <c r="P3" s="94"/>
      <c r="Q3" s="94"/>
      <c r="R3" s="94"/>
      <c r="S3" s="94"/>
      <c r="T3" s="94"/>
      <c r="U3" s="94"/>
      <c r="V3" s="94"/>
      <c r="W3" s="94"/>
      <c r="X3" s="94"/>
      <c r="Y3" s="94"/>
      <c r="Z3" s="94"/>
      <c r="AA3" s="94"/>
      <c r="AB3" s="94"/>
      <c r="AC3" s="94"/>
      <c r="AD3" s="94"/>
    </row>
    <row r="4" spans="1:30" ht="5.25" customHeight="1">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c r="D5" s="94"/>
      <c r="E5" s="94"/>
      <c r="F5" s="94"/>
      <c r="G5" s="94"/>
      <c r="H5" s="94"/>
      <c r="I5" s="94"/>
      <c r="J5" s="94"/>
      <c r="K5" s="94"/>
      <c r="L5" s="94"/>
      <c r="M5" s="94"/>
      <c r="N5" s="94"/>
      <c r="O5" s="94"/>
      <c r="P5" s="94"/>
      <c r="Q5" s="94"/>
      <c r="R5" s="94"/>
      <c r="S5" s="94"/>
      <c r="T5" s="94"/>
      <c r="U5" s="94"/>
      <c r="V5" s="94"/>
      <c r="W5" s="94"/>
      <c r="X5" s="94"/>
      <c r="Y5" s="94"/>
      <c r="Z5" s="94"/>
      <c r="AA5" s="94"/>
      <c r="AB5" s="94"/>
      <c r="AC5" s="94"/>
      <c r="AD5" s="94"/>
    </row>
    <row r="6" spans="1:30" ht="5.25" customHeight="1">
      <c r="D6" s="94"/>
      <c r="E6" s="94"/>
      <c r="F6" s="94"/>
      <c r="G6" s="94"/>
      <c r="H6" s="94"/>
      <c r="I6" s="94"/>
      <c r="J6" s="94"/>
      <c r="K6" s="94"/>
      <c r="L6" s="94"/>
      <c r="M6" s="94"/>
      <c r="N6" s="94"/>
      <c r="O6" s="94"/>
      <c r="P6" s="94"/>
      <c r="Q6" s="94"/>
      <c r="R6" s="94"/>
      <c r="S6" s="94"/>
      <c r="T6" s="94"/>
      <c r="U6" s="94"/>
      <c r="V6" s="94"/>
      <c r="W6" s="94"/>
      <c r="X6" s="94"/>
      <c r="Y6" s="94"/>
      <c r="Z6" s="94"/>
      <c r="AA6" s="94"/>
      <c r="AB6" s="94"/>
      <c r="AC6" s="94"/>
      <c r="AD6" s="94"/>
    </row>
    <row r="7" spans="1:30" ht="3" customHeight="1">
      <c r="D7" s="94"/>
      <c r="E7" s="94"/>
      <c r="F7" s="94"/>
      <c r="G7" s="94"/>
      <c r="H7" s="94"/>
      <c r="I7" s="94"/>
      <c r="J7" s="94"/>
      <c r="K7" s="94"/>
      <c r="L7" s="94"/>
      <c r="M7" s="94"/>
      <c r="N7" s="94"/>
      <c r="O7" s="94"/>
      <c r="P7" s="94"/>
      <c r="Q7" s="94"/>
      <c r="R7" s="94"/>
      <c r="S7" s="94"/>
      <c r="T7" s="94"/>
      <c r="U7" s="94"/>
      <c r="V7" s="94"/>
      <c r="W7" s="94"/>
      <c r="X7" s="94"/>
      <c r="Y7" s="94"/>
      <c r="Z7" s="94"/>
      <c r="AA7" s="94"/>
      <c r="AB7" s="94"/>
      <c r="AC7" s="94"/>
      <c r="AD7" s="94"/>
    </row>
    <row r="8" spans="1:30">
      <c r="D8" s="94"/>
      <c r="E8" s="94"/>
      <c r="F8" s="94"/>
      <c r="G8" s="94"/>
      <c r="H8" s="94"/>
      <c r="I8" s="94"/>
      <c r="J8" s="94"/>
      <c r="K8" s="94"/>
      <c r="L8" s="94"/>
      <c r="M8" s="94"/>
      <c r="N8" s="94"/>
      <c r="O8" s="94"/>
      <c r="P8" s="94"/>
      <c r="Q8" s="94"/>
      <c r="R8" s="94"/>
      <c r="S8" s="94"/>
      <c r="T8" s="94"/>
      <c r="U8" s="94"/>
      <c r="V8" s="94"/>
      <c r="W8" s="94"/>
      <c r="X8" s="94"/>
      <c r="Y8" s="94"/>
      <c r="Z8" s="94"/>
      <c r="AA8" s="94"/>
      <c r="AB8" s="94"/>
      <c r="AC8" s="94"/>
      <c r="AD8" s="94"/>
    </row>
    <row r="9" spans="1:30" ht="7.5" customHeight="1">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row>
    <row r="11" spans="1:30" ht="21" customHeight="1">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row>
    <row r="12" spans="1:30">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row>
    <row r="13" spans="1:30">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row>
    <row r="14" spans="1:30" ht="12.75" customHeight="1">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row>
    <row r="15" spans="1:30">
      <c r="B15" s="143" t="str">
        <f>'Preliminary Application'!AJ1</f>
        <v>Effective November 1, 2023</v>
      </c>
      <c r="C15" s="83"/>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row>
    <row r="16" spans="1:30" ht="4.5" customHeight="1">
      <c r="A16" s="35"/>
      <c r="B16" s="35"/>
      <c r="C16" s="35"/>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row>
    <row r="17" spans="1:30" ht="13.5" thickBot="1">
      <c r="A17" s="25"/>
      <c r="B17" s="25"/>
      <c r="C17" s="25"/>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row>
    <row r="18" spans="1:30" ht="18.75" thickBot="1">
      <c r="A18" s="958" t="s">
        <v>2933</v>
      </c>
      <c r="B18" s="958"/>
      <c r="C18" s="958"/>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row>
    <row r="19" spans="1:30" ht="24.75" customHeight="1">
      <c r="A19" s="25"/>
      <c r="B19" s="392" t="s">
        <v>2934</v>
      </c>
      <c r="C19" s="144"/>
      <c r="D19" s="92"/>
      <c r="E19" s="92"/>
      <c r="F19" s="92"/>
      <c r="G19" s="92"/>
      <c r="H19" s="92"/>
      <c r="I19" s="92"/>
      <c r="J19" s="92"/>
      <c r="K19" s="92"/>
      <c r="L19" s="92"/>
      <c r="M19" s="92"/>
      <c r="N19" s="92"/>
      <c r="O19" s="92"/>
      <c r="P19" s="92"/>
      <c r="Q19" s="92"/>
      <c r="R19" s="92"/>
      <c r="S19" s="92"/>
      <c r="T19" s="92"/>
      <c r="U19" s="92"/>
      <c r="V19" s="92"/>
      <c r="W19" s="92"/>
      <c r="X19" s="92"/>
      <c r="Y19" s="92"/>
      <c r="Z19" s="92"/>
      <c r="AA19" s="94"/>
      <c r="AB19" s="94"/>
      <c r="AC19" s="94"/>
      <c r="AD19" s="92"/>
    </row>
    <row r="20" spans="1:30">
      <c r="A20" s="25"/>
      <c r="B20" s="145"/>
      <c r="C20" s="145"/>
      <c r="D20" s="92"/>
      <c r="E20" s="92"/>
      <c r="F20" s="92"/>
      <c r="G20" s="92"/>
      <c r="H20" s="92"/>
      <c r="I20" s="92"/>
      <c r="J20" s="92"/>
      <c r="K20" s="92"/>
      <c r="L20" s="92"/>
      <c r="M20" s="92"/>
      <c r="N20" s="92"/>
      <c r="O20" s="92"/>
      <c r="P20" s="92"/>
      <c r="Q20" s="92"/>
      <c r="R20" s="92"/>
      <c r="S20" s="92"/>
      <c r="T20" s="92"/>
      <c r="U20" s="92"/>
      <c r="V20" s="92"/>
      <c r="W20" s="92"/>
      <c r="X20" s="92"/>
      <c r="Y20" s="92"/>
      <c r="Z20" s="92"/>
      <c r="AA20" s="94"/>
      <c r="AB20" s="94"/>
      <c r="AC20" s="94"/>
      <c r="AD20" s="92"/>
    </row>
    <row r="21" spans="1:30">
      <c r="A21" s="25"/>
      <c r="B21" s="373"/>
      <c r="C21" s="146"/>
      <c r="D21" s="92"/>
      <c r="E21" s="92"/>
      <c r="F21" s="92"/>
      <c r="G21" s="92"/>
      <c r="H21" s="92"/>
      <c r="I21" s="92"/>
      <c r="J21" s="92"/>
      <c r="K21" s="92"/>
      <c r="L21" s="92"/>
      <c r="M21" s="92"/>
      <c r="N21" s="92"/>
      <c r="O21" s="92"/>
      <c r="P21" s="92"/>
      <c r="Q21" s="92"/>
      <c r="R21" s="92"/>
      <c r="S21" s="92"/>
      <c r="T21" s="92"/>
      <c r="U21" s="92"/>
      <c r="V21" s="92"/>
      <c r="W21" s="92"/>
      <c r="X21" s="92"/>
      <c r="Y21" s="92"/>
      <c r="Z21" s="92"/>
      <c r="AA21" s="94"/>
      <c r="AB21" s="94"/>
      <c r="AC21" s="94"/>
      <c r="AD21" s="92"/>
    </row>
    <row r="22" spans="1:30">
      <c r="A22" s="25"/>
      <c r="B22" s="391" t="s">
        <v>3326</v>
      </c>
      <c r="C22" s="146"/>
      <c r="D22" s="92"/>
      <c r="E22" s="92"/>
      <c r="F22" s="92"/>
      <c r="G22" s="92"/>
      <c r="H22" s="92"/>
      <c r="I22" s="92"/>
      <c r="J22" s="92"/>
      <c r="K22" s="92"/>
      <c r="L22" s="92"/>
      <c r="M22" s="92"/>
      <c r="N22" s="92"/>
      <c r="O22" s="92"/>
      <c r="P22" s="92"/>
      <c r="Q22" s="92"/>
      <c r="R22" s="92"/>
      <c r="S22" s="92"/>
      <c r="T22" s="92"/>
      <c r="U22" s="92"/>
      <c r="V22" s="92"/>
      <c r="W22" s="92"/>
      <c r="X22" s="92"/>
      <c r="Y22" s="92"/>
      <c r="Z22" s="92"/>
      <c r="AA22" s="94"/>
      <c r="AB22" s="94"/>
      <c r="AC22" s="94"/>
      <c r="AD22" s="92"/>
    </row>
    <row r="23" spans="1:30">
      <c r="A23" s="25"/>
      <c r="B23" s="150" t="str">
        <f>Version</f>
        <v>MF (11/23)</v>
      </c>
      <c r="C23" s="150"/>
      <c r="D23" s="92"/>
      <c r="E23" s="92"/>
      <c r="F23" s="92"/>
      <c r="G23" s="92"/>
      <c r="H23" s="92"/>
      <c r="I23" s="92"/>
      <c r="J23" s="92"/>
      <c r="K23" s="92"/>
      <c r="L23" s="92"/>
      <c r="M23" s="92"/>
      <c r="N23" s="92"/>
      <c r="O23" s="92"/>
      <c r="P23" s="92"/>
      <c r="Q23" s="92"/>
      <c r="R23" s="92"/>
      <c r="S23" s="92"/>
      <c r="T23" s="92"/>
      <c r="U23" s="92"/>
      <c r="V23" s="92"/>
      <c r="W23" s="92"/>
      <c r="X23" s="92"/>
      <c r="Y23" s="92"/>
      <c r="Z23" s="92"/>
      <c r="AA23" s="94"/>
      <c r="AB23" s="94"/>
      <c r="AC23" s="94"/>
      <c r="AD23" s="92"/>
    </row>
    <row r="24" spans="1:30">
      <c r="A24" s="35"/>
      <c r="B24" s="35"/>
      <c r="C24" s="35"/>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row>
    <row r="25" spans="1:30">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row>
    <row r="26" spans="1:30">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D26" s="94"/>
    </row>
    <row r="27" spans="1:30">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c r="AD27" s="94"/>
    </row>
    <row r="28" spans="1:30">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D28" s="94"/>
    </row>
    <row r="29" spans="1:30" ht="15.75" customHeight="1">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D29" s="94"/>
    </row>
    <row r="30" spans="1:30">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c r="AD30" s="94"/>
    </row>
    <row r="31" spans="1:30">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D31" s="94"/>
    </row>
    <row r="32" spans="1:30" ht="5.25" customHeight="1">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D32" s="94"/>
    </row>
    <row r="33" spans="1:30">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c r="AD33" s="94"/>
    </row>
    <row r="34" spans="1:30" ht="5.25" customHeight="1">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D34" s="94"/>
    </row>
    <row r="35" spans="1:30" ht="3"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D35" s="94"/>
    </row>
    <row r="36" spans="1:30">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D36" s="94"/>
    </row>
    <row r="37" spans="1:30" ht="7.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D37" s="94"/>
    </row>
    <row r="38" spans="1:30">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D38" s="94"/>
    </row>
    <row r="39" spans="1:30" ht="21"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D39" s="94"/>
    </row>
    <row r="40" spans="1:30" ht="32.25" customHeight="1">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B40" s="83" t="str">
        <f>B15</f>
        <v>Effective November 1, 2023</v>
      </c>
      <c r="AC40" s="83"/>
      <c r="AD40" s="94"/>
    </row>
    <row r="41" spans="1:30" ht="6.75" customHeight="1">
      <c r="A41" s="94"/>
      <c r="B41" s="94"/>
      <c r="C41" s="94"/>
      <c r="D41" s="94"/>
      <c r="E41" s="94"/>
      <c r="F41" s="94"/>
      <c r="G41" s="94"/>
      <c r="H41" s="94"/>
      <c r="I41" s="94"/>
      <c r="J41" s="94"/>
      <c r="K41" s="94"/>
      <c r="L41" s="94"/>
      <c r="M41" s="94"/>
      <c r="N41" s="94"/>
      <c r="O41" s="94"/>
      <c r="P41" s="94"/>
      <c r="Q41" s="94"/>
      <c r="R41" s="94"/>
      <c r="S41" s="94"/>
      <c r="T41" s="94"/>
      <c r="U41" s="94"/>
      <c r="V41" s="94"/>
      <c r="W41" s="94"/>
      <c r="X41" s="94"/>
      <c r="Y41" s="94"/>
      <c r="Z41" s="94"/>
      <c r="AD41" s="94"/>
    </row>
    <row r="42" spans="1:30" ht="36.75" customHeight="1">
      <c r="A42" s="94"/>
      <c r="B42" s="94"/>
      <c r="C42" s="94"/>
      <c r="D42" s="94"/>
      <c r="E42" s="94"/>
      <c r="F42" s="94"/>
      <c r="G42" s="94"/>
      <c r="H42" s="94"/>
      <c r="I42" s="94"/>
      <c r="J42" s="94"/>
      <c r="K42" s="94"/>
      <c r="L42" s="94"/>
      <c r="M42" s="94"/>
      <c r="N42" s="94"/>
      <c r="O42" s="94"/>
      <c r="P42" s="94"/>
      <c r="Q42" s="94"/>
      <c r="R42" s="94"/>
      <c r="S42" s="94"/>
      <c r="T42" s="94"/>
      <c r="U42" s="94"/>
      <c r="V42" s="94"/>
      <c r="W42" s="94"/>
      <c r="X42" s="94"/>
      <c r="Y42" s="94"/>
      <c r="Z42" s="94"/>
      <c r="AD42" s="94"/>
    </row>
    <row r="43" spans="1:30" ht="18">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57" t="str">
        <f t="shared" ref="AA43" si="0">A18</f>
        <v>Terms &amp; Conditions</v>
      </c>
      <c r="AB43" s="957"/>
      <c r="AC43" s="957"/>
      <c r="AD43" s="94"/>
    </row>
    <row r="44" spans="1:30" ht="27.75" customHeight="1">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358"/>
      <c r="AB44" s="393" t="str">
        <f>B19</f>
        <v>https://www.idahopower.com/ways-to-save/savings-for-your-business/terms-conditions/</v>
      </c>
      <c r="AC44" s="147"/>
      <c r="AD44" s="94"/>
    </row>
    <row r="45" spans="1:30" ht="15.75">
      <c r="A45" s="94"/>
      <c r="B45" s="94"/>
      <c r="C45" s="94"/>
      <c r="D45" s="94"/>
      <c r="E45" s="94"/>
      <c r="F45" s="94"/>
      <c r="G45" s="94"/>
      <c r="H45" s="94"/>
      <c r="I45" s="94"/>
      <c r="J45" s="94"/>
      <c r="K45" s="94"/>
      <c r="L45" s="94"/>
      <c r="M45" s="94"/>
      <c r="N45" s="94"/>
      <c r="O45" s="94"/>
      <c r="P45" s="94"/>
      <c r="Q45" s="94"/>
      <c r="R45" s="94"/>
      <c r="S45" s="94"/>
      <c r="T45" s="94"/>
      <c r="U45" s="94"/>
      <c r="V45" s="94"/>
      <c r="W45" s="94"/>
      <c r="X45" s="94"/>
      <c r="Y45" s="94"/>
      <c r="Z45" s="94"/>
      <c r="AA45" s="358"/>
      <c r="AB45" s="361"/>
      <c r="AC45" s="148"/>
      <c r="AD45" s="94"/>
    </row>
    <row r="46" spans="1:30" ht="15">
      <c r="A46" s="94"/>
      <c r="B46" s="94"/>
      <c r="C46" s="94"/>
      <c r="D46" s="92"/>
      <c r="E46" s="92"/>
      <c r="F46" s="92"/>
      <c r="G46" s="92"/>
      <c r="H46" s="92"/>
      <c r="I46" s="92"/>
      <c r="J46" s="92"/>
      <c r="K46" s="92"/>
      <c r="L46" s="92"/>
      <c r="M46" s="92"/>
      <c r="N46" s="92"/>
      <c r="O46" s="92"/>
      <c r="P46" s="92"/>
      <c r="Q46" s="92"/>
      <c r="R46" s="92"/>
      <c r="S46" s="92"/>
      <c r="T46" s="92"/>
      <c r="U46" s="92"/>
      <c r="V46" s="92"/>
      <c r="W46" s="92"/>
      <c r="X46" s="92"/>
      <c r="Y46" s="92"/>
      <c r="Z46" s="92"/>
      <c r="AA46" s="358"/>
      <c r="AB46" s="374"/>
      <c r="AD46" s="92"/>
    </row>
    <row r="47" spans="1:30" ht="15">
      <c r="A47" s="94"/>
      <c r="B47" s="94"/>
      <c r="C47" s="94"/>
      <c r="D47" s="92"/>
      <c r="E47" s="92"/>
      <c r="F47" s="92"/>
      <c r="G47" s="92"/>
      <c r="H47" s="92"/>
      <c r="I47" s="92"/>
      <c r="J47" s="92"/>
      <c r="K47" s="92"/>
      <c r="L47" s="92"/>
      <c r="M47" s="92"/>
      <c r="N47" s="92"/>
      <c r="O47" s="92"/>
      <c r="P47" s="92"/>
      <c r="Q47" s="92"/>
      <c r="R47" s="92"/>
      <c r="S47" s="92"/>
      <c r="T47" s="92"/>
      <c r="U47" s="92"/>
      <c r="V47" s="92"/>
      <c r="W47" s="92"/>
      <c r="X47" s="92"/>
      <c r="Y47" s="92"/>
      <c r="Z47" s="92"/>
      <c r="AA47" s="358"/>
      <c r="AB47" s="379" t="str">
        <f>B22</f>
        <v>Please direct questions about this program to: multifamily@idahopower.com</v>
      </c>
      <c r="AD47" s="92"/>
    </row>
    <row r="48" spans="1:30" ht="15">
      <c r="A48" s="94"/>
      <c r="B48" s="94"/>
      <c r="C48" s="94"/>
      <c r="D48" s="94"/>
      <c r="E48" s="94"/>
      <c r="F48" s="94"/>
      <c r="G48" s="94"/>
      <c r="H48" s="94"/>
      <c r="I48" s="94"/>
      <c r="J48" s="94"/>
      <c r="K48" s="94"/>
      <c r="L48" s="94"/>
      <c r="M48" s="94"/>
      <c r="N48" s="94"/>
      <c r="O48" s="94"/>
      <c r="P48" s="94"/>
      <c r="Q48" s="94"/>
      <c r="R48" s="94"/>
      <c r="S48" s="94"/>
      <c r="T48" s="94"/>
      <c r="U48" s="94"/>
      <c r="V48" s="94"/>
      <c r="W48" s="94"/>
      <c r="X48" s="94"/>
      <c r="Y48" s="94"/>
      <c r="Z48" s="94"/>
      <c r="AA48" s="358"/>
      <c r="AB48" s="360" t="str">
        <f>B23</f>
        <v>MF (11/23)</v>
      </c>
      <c r="AD48" s="94"/>
    </row>
    <row r="49" spans="1:30" ht="15">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358"/>
      <c r="AB49" s="147"/>
      <c r="AD49" s="94"/>
    </row>
    <row r="50" spans="1:30" ht="15">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359"/>
      <c r="AC50" s="94"/>
      <c r="AD50" s="94"/>
    </row>
    <row r="51" spans="1:30" ht="15">
      <c r="AB51" s="147"/>
    </row>
    <row r="52" spans="1:30" ht="15">
      <c r="AB52" s="147"/>
    </row>
    <row r="53" spans="1:30" ht="15">
      <c r="AB53" s="147"/>
    </row>
    <row r="54" spans="1:30" ht="15">
      <c r="AB54" s="147"/>
    </row>
    <row r="55" spans="1:30" ht="15">
      <c r="AB55" s="147"/>
    </row>
    <row r="56" spans="1:30" ht="15">
      <c r="AB56" s="147"/>
    </row>
    <row r="57" spans="1:30" ht="15">
      <c r="AB57" s="147"/>
    </row>
    <row r="58" spans="1:30" ht="15">
      <c r="AB58" s="147"/>
    </row>
    <row r="59" spans="1:30" ht="15">
      <c r="AB59" s="147"/>
    </row>
  </sheetData>
  <sheetProtection algorithmName="SHA-512" hashValue="FD8RApXhoplMHSO9oG0nKb8mZqhxA6Danbcdf3WCkZTb87IBsX690eSIT3EjBG/lbaITk6bCSigVx04vKbzclg==" saltValue="f9wiP10gooV68E5YnCOVXQ==" spinCount="100000" sheet="1" selectLockedCells="1"/>
  <mergeCells count="2">
    <mergeCell ref="A18:C18"/>
    <mergeCell ref="AA43:AC43"/>
  </mergeCells>
  <hyperlinks>
    <hyperlink ref="B19" r:id="rId1" xr:uid="{00000000-0004-0000-0C00-000000000000}"/>
  </hyperlinks>
  <pageMargins left="0.7" right="0.7" top="0.75" bottom="0.75" header="0.3" footer="0.3"/>
  <pageSetup scale="67" fitToHeight="2" orientation="portrait" verticalDpi="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indexed="41"/>
  </sheetPr>
  <dimension ref="A1:Q184"/>
  <sheetViews>
    <sheetView workbookViewId="0"/>
  </sheetViews>
  <sheetFormatPr defaultColWidth="8.85546875" defaultRowHeight="12.75" zeroHeight="1"/>
  <cols>
    <col min="1" max="1" width="8.85546875" style="1"/>
    <col min="2" max="2" width="15.5703125" style="1" customWidth="1"/>
    <col min="3" max="3" width="9.140625" style="1"/>
    <col min="4" max="4" width="19.140625" style="1" bestFit="1" customWidth="1"/>
    <col min="5" max="5" width="32.42578125" style="1" bestFit="1" customWidth="1"/>
    <col min="6" max="7" width="29.5703125" style="1" bestFit="1" customWidth="1"/>
    <col min="8" max="8" width="40.140625" style="1" bestFit="1" customWidth="1"/>
    <col min="9" max="9" width="45" style="1" customWidth="1"/>
    <col min="10" max="10" width="66.42578125" style="1" customWidth="1"/>
    <col min="11" max="11" width="19.140625" style="1" bestFit="1" customWidth="1"/>
    <col min="12" max="12" width="20.5703125" style="1" bestFit="1" customWidth="1"/>
    <col min="13" max="15" width="8.85546875" style="1"/>
    <col min="16" max="16" width="17" style="1" customWidth="1"/>
    <col min="17" max="16384" width="8.85546875" style="1"/>
  </cols>
  <sheetData>
    <row r="1" spans="1:17" ht="34.35" customHeight="1">
      <c r="A1" s="123" t="s">
        <v>2935</v>
      </c>
      <c r="B1" s="124" t="s">
        <v>2936</v>
      </c>
      <c r="C1" s="959" t="s">
        <v>2937</v>
      </c>
      <c r="D1" s="959"/>
      <c r="E1" s="125" t="s">
        <v>226</v>
      </c>
      <c r="F1" s="324" t="s">
        <v>2938</v>
      </c>
      <c r="G1" s="324" t="s">
        <v>2939</v>
      </c>
      <c r="H1" s="136" t="s">
        <v>2940</v>
      </c>
      <c r="I1" s="205" t="s">
        <v>2941</v>
      </c>
      <c r="J1" s="311" t="s">
        <v>2942</v>
      </c>
      <c r="K1" s="311"/>
      <c r="L1" s="314" t="s">
        <v>2943</v>
      </c>
      <c r="M1" s="314" t="s">
        <v>82</v>
      </c>
      <c r="N1" s="315" t="s">
        <v>107</v>
      </c>
      <c r="O1" s="314" t="s">
        <v>171</v>
      </c>
      <c r="P1" s="401" t="s">
        <v>2944</v>
      </c>
      <c r="Q1" s="401" t="s">
        <v>2945</v>
      </c>
    </row>
    <row r="2" spans="1:17" ht="15">
      <c r="A2" s="127">
        <v>83020</v>
      </c>
      <c r="B2" s="128" t="s">
        <v>2946</v>
      </c>
      <c r="C2" s="129" t="s">
        <v>235</v>
      </c>
      <c r="D2" s="130" t="s">
        <v>2947</v>
      </c>
      <c r="E2" s="126" t="s">
        <v>2948</v>
      </c>
      <c r="F2" s="323">
        <v>2700</v>
      </c>
      <c r="G2" s="323">
        <v>855</v>
      </c>
      <c r="H2" s="132" t="s">
        <v>2949</v>
      </c>
      <c r="I2" s="600" t="s">
        <v>2950</v>
      </c>
      <c r="J2" s="132" t="s">
        <v>2951</v>
      </c>
      <c r="K2" s="132">
        <v>125</v>
      </c>
      <c r="L2" s="316">
        <v>83210</v>
      </c>
      <c r="M2" s="317" t="s">
        <v>2952</v>
      </c>
      <c r="N2" s="318" t="s">
        <v>709</v>
      </c>
      <c r="O2" s="318" t="s">
        <v>2953</v>
      </c>
      <c r="P2" s="1">
        <v>1</v>
      </c>
      <c r="Q2" s="1">
        <v>1</v>
      </c>
    </row>
    <row r="3" spans="1:17">
      <c r="A3" s="127">
        <v>83201</v>
      </c>
      <c r="B3" s="128" t="s">
        <v>2946</v>
      </c>
      <c r="C3" s="129" t="s">
        <v>233</v>
      </c>
      <c r="D3" s="130" t="s">
        <v>2954</v>
      </c>
      <c r="E3" s="126" t="s">
        <v>2955</v>
      </c>
      <c r="F3" s="323">
        <v>2500</v>
      </c>
      <c r="G3" s="323">
        <v>197</v>
      </c>
      <c r="H3" s="419" t="s">
        <v>2956</v>
      </c>
      <c r="I3" s="600" t="s">
        <v>2957</v>
      </c>
      <c r="J3" s="132" t="s">
        <v>2958</v>
      </c>
      <c r="K3" s="132">
        <v>125</v>
      </c>
      <c r="L3" s="316">
        <v>83350</v>
      </c>
      <c r="M3" s="318" t="s">
        <v>2959</v>
      </c>
      <c r="N3" s="318" t="s">
        <v>709</v>
      </c>
      <c r="O3" s="318" t="s">
        <v>2960</v>
      </c>
      <c r="P3" s="1">
        <v>2</v>
      </c>
      <c r="Q3" s="1">
        <v>0.85</v>
      </c>
    </row>
    <row r="4" spans="1:17">
      <c r="A4" s="127">
        <v>83202</v>
      </c>
      <c r="B4" s="128" t="s">
        <v>2946</v>
      </c>
      <c r="C4" s="129" t="s">
        <v>260</v>
      </c>
      <c r="D4" s="130" t="s">
        <v>2961</v>
      </c>
      <c r="E4" s="126" t="s">
        <v>2962</v>
      </c>
      <c r="F4" s="323">
        <v>2500</v>
      </c>
      <c r="G4" s="323">
        <v>223</v>
      </c>
      <c r="H4" s="132" t="s">
        <v>2963</v>
      </c>
      <c r="I4" s="601" t="s">
        <v>2964</v>
      </c>
      <c r="J4" s="132" t="s">
        <v>2965</v>
      </c>
      <c r="K4" s="132">
        <v>125</v>
      </c>
      <c r="L4" s="316">
        <v>97901</v>
      </c>
      <c r="M4" s="318" t="s">
        <v>2966</v>
      </c>
      <c r="N4" s="318" t="s">
        <v>1149</v>
      </c>
      <c r="O4" s="318" t="s">
        <v>2967</v>
      </c>
      <c r="P4" s="1">
        <v>3</v>
      </c>
      <c r="Q4" s="1">
        <v>0.74</v>
      </c>
    </row>
    <row r="5" spans="1:17">
      <c r="A5" s="127">
        <v>83203</v>
      </c>
      <c r="B5" s="128" t="s">
        <v>2968</v>
      </c>
      <c r="C5" s="129" t="s">
        <v>246</v>
      </c>
      <c r="D5" s="130" t="s">
        <v>2969</v>
      </c>
      <c r="E5" s="126" t="s">
        <v>2970</v>
      </c>
      <c r="F5" s="323">
        <v>2100</v>
      </c>
      <c r="G5" s="323">
        <v>551</v>
      </c>
      <c r="H5" s="132" t="s">
        <v>2971</v>
      </c>
      <c r="I5" s="601" t="s">
        <v>2972</v>
      </c>
      <c r="J5" s="132" t="s">
        <v>2973</v>
      </c>
      <c r="K5" s="132">
        <v>125</v>
      </c>
      <c r="L5" s="316">
        <v>83211</v>
      </c>
      <c r="M5" s="318" t="s">
        <v>2974</v>
      </c>
      <c r="N5" s="318" t="s">
        <v>709</v>
      </c>
      <c r="O5" s="318" t="s">
        <v>2953</v>
      </c>
      <c r="P5" s="1">
        <v>4</v>
      </c>
      <c r="Q5" s="1">
        <v>0.67</v>
      </c>
    </row>
    <row r="6" spans="1:17">
      <c r="A6" s="127">
        <v>83204</v>
      </c>
      <c r="B6" s="128" t="s">
        <v>2975</v>
      </c>
      <c r="C6" s="129" t="s">
        <v>313</v>
      </c>
      <c r="D6" s="130" t="s">
        <v>2976</v>
      </c>
      <c r="E6" s="126" t="s">
        <v>2977</v>
      </c>
      <c r="F6" s="323">
        <v>2100</v>
      </c>
      <c r="G6" s="323">
        <v>702</v>
      </c>
      <c r="H6" s="132" t="s">
        <v>2978</v>
      </c>
      <c r="I6" s="601" t="s">
        <v>2979</v>
      </c>
      <c r="J6" s="132" t="s">
        <v>2980</v>
      </c>
      <c r="K6" s="132">
        <v>125</v>
      </c>
      <c r="L6" s="316">
        <v>83212</v>
      </c>
      <c r="M6" s="318" t="s">
        <v>2981</v>
      </c>
      <c r="N6" s="318" t="s">
        <v>709</v>
      </c>
      <c r="O6" s="318" t="s">
        <v>2953</v>
      </c>
      <c r="P6" s="1">
        <v>5</v>
      </c>
      <c r="Q6" s="1">
        <v>0.62</v>
      </c>
    </row>
    <row r="7" spans="1:17">
      <c r="A7" s="127">
        <v>83209</v>
      </c>
      <c r="B7" s="128"/>
      <c r="C7" s="129" t="s">
        <v>340</v>
      </c>
      <c r="D7" s="130" t="s">
        <v>2982</v>
      </c>
      <c r="E7" s="126" t="s">
        <v>2983</v>
      </c>
      <c r="F7" s="323">
        <v>6800</v>
      </c>
      <c r="G7" s="323">
        <v>544</v>
      </c>
      <c r="H7" s="132" t="s">
        <v>2984</v>
      </c>
      <c r="I7" s="207" t="s">
        <v>2809</v>
      </c>
      <c r="J7" s="205" t="s">
        <v>2680</v>
      </c>
      <c r="L7" s="316">
        <v>97902</v>
      </c>
      <c r="M7" s="318" t="s">
        <v>2985</v>
      </c>
      <c r="N7" s="318" t="s">
        <v>1149</v>
      </c>
      <c r="O7" s="318" t="s">
        <v>2986</v>
      </c>
      <c r="P7" s="1">
        <v>6</v>
      </c>
      <c r="Q7" s="1">
        <v>0.59</v>
      </c>
    </row>
    <row r="8" spans="1:17">
      <c r="A8" s="127">
        <v>83210</v>
      </c>
      <c r="B8" s="128" t="s">
        <v>2946</v>
      </c>
      <c r="C8" s="129" t="s">
        <v>349</v>
      </c>
      <c r="D8" s="130" t="s">
        <v>2987</v>
      </c>
      <c r="E8" s="126" t="s">
        <v>2988</v>
      </c>
      <c r="F8" s="323">
        <v>4200</v>
      </c>
      <c r="G8" s="323">
        <v>1575</v>
      </c>
      <c r="H8" s="132" t="s">
        <v>2989</v>
      </c>
      <c r="I8" s="419" t="s">
        <v>2819</v>
      </c>
      <c r="J8" s="601" t="s">
        <v>2821</v>
      </c>
      <c r="L8" s="316">
        <v>83215</v>
      </c>
      <c r="M8" s="318" t="s">
        <v>2990</v>
      </c>
      <c r="N8" s="318" t="s">
        <v>709</v>
      </c>
      <c r="O8" s="318" t="s">
        <v>2953</v>
      </c>
      <c r="P8" s="1">
        <v>7</v>
      </c>
      <c r="Q8" s="1">
        <v>0.59</v>
      </c>
    </row>
    <row r="9" spans="1:17">
      <c r="A9" s="127">
        <v>83210</v>
      </c>
      <c r="B9" s="128" t="s">
        <v>2991</v>
      </c>
      <c r="C9" s="129" t="s">
        <v>375</v>
      </c>
      <c r="D9" s="130" t="s">
        <v>2992</v>
      </c>
      <c r="E9" s="126" t="s">
        <v>2993</v>
      </c>
      <c r="F9" s="323">
        <v>4300</v>
      </c>
      <c r="G9" s="323">
        <v>1016</v>
      </c>
      <c r="H9" s="206" t="s">
        <v>2994</v>
      </c>
      <c r="I9" s="419" t="s">
        <v>2830</v>
      </c>
      <c r="J9" s="601" t="s">
        <v>2825</v>
      </c>
      <c r="L9" s="316">
        <v>83602</v>
      </c>
      <c r="M9" s="318" t="s">
        <v>2995</v>
      </c>
      <c r="N9" s="318" t="s">
        <v>709</v>
      </c>
      <c r="O9" s="318" t="s">
        <v>2967</v>
      </c>
      <c r="P9" s="1">
        <v>8</v>
      </c>
      <c r="Q9" s="1">
        <v>0.59</v>
      </c>
    </row>
    <row r="10" spans="1:17">
      <c r="A10" s="127">
        <v>83211</v>
      </c>
      <c r="B10" s="128" t="s">
        <v>2991</v>
      </c>
      <c r="C10" s="129" t="s">
        <v>528</v>
      </c>
      <c r="D10" s="130" t="s">
        <v>2996</v>
      </c>
      <c r="E10" s="126" t="s">
        <v>2997</v>
      </c>
      <c r="F10" s="323">
        <v>3500</v>
      </c>
      <c r="G10" s="323">
        <v>1112</v>
      </c>
      <c r="H10" s="602" t="s">
        <v>7</v>
      </c>
      <c r="I10" s="419" t="s">
        <v>2910</v>
      </c>
      <c r="J10" s="133" t="s">
        <v>2998</v>
      </c>
      <c r="L10" s="316">
        <v>83313</v>
      </c>
      <c r="M10" s="318" t="s">
        <v>2999</v>
      </c>
      <c r="N10" s="318" t="s">
        <v>709</v>
      </c>
      <c r="O10" s="318" t="s">
        <v>2960</v>
      </c>
      <c r="P10" s="1">
        <v>9</v>
      </c>
      <c r="Q10" s="1">
        <v>0.59</v>
      </c>
    </row>
    <row r="11" spans="1:17">
      <c r="A11" s="127">
        <v>83212</v>
      </c>
      <c r="B11" s="128" t="s">
        <v>3000</v>
      </c>
      <c r="C11" s="129" t="s">
        <v>563</v>
      </c>
      <c r="D11" s="130" t="s">
        <v>3001</v>
      </c>
      <c r="E11" s="126" t="s">
        <v>3002</v>
      </c>
      <c r="F11" s="323">
        <v>3500</v>
      </c>
      <c r="G11" s="323">
        <v>970</v>
      </c>
      <c r="H11" s="602" t="s">
        <v>3003</v>
      </c>
      <c r="I11" s="419" t="s">
        <v>2911</v>
      </c>
      <c r="J11" s="110" t="s">
        <v>2919</v>
      </c>
      <c r="L11" s="316">
        <v>83221</v>
      </c>
      <c r="M11" s="318" t="s">
        <v>3004</v>
      </c>
      <c r="N11" s="318" t="s">
        <v>709</v>
      </c>
      <c r="O11" s="318" t="s">
        <v>2953</v>
      </c>
      <c r="P11" s="1">
        <v>10</v>
      </c>
      <c r="Q11" s="1">
        <v>0.59</v>
      </c>
    </row>
    <row r="12" spans="1:17">
      <c r="A12" s="127">
        <v>83213</v>
      </c>
      <c r="B12" s="128"/>
      <c r="C12" s="129" t="s">
        <v>638</v>
      </c>
      <c r="D12" s="130" t="s">
        <v>3005</v>
      </c>
      <c r="E12" s="126" t="s">
        <v>3006</v>
      </c>
      <c r="F12" s="323">
        <v>5500</v>
      </c>
      <c r="G12" s="323">
        <v>507</v>
      </c>
      <c r="H12" s="380" t="s">
        <v>3007</v>
      </c>
      <c r="I12" s="207" t="s">
        <v>3008</v>
      </c>
      <c r="J12" s="110" t="s">
        <v>2928</v>
      </c>
      <c r="L12" s="316">
        <v>83314</v>
      </c>
      <c r="M12" s="318" t="s">
        <v>3009</v>
      </c>
      <c r="N12" s="318" t="s">
        <v>709</v>
      </c>
      <c r="O12" s="318" t="s">
        <v>2960</v>
      </c>
      <c r="P12" s="1">
        <v>11</v>
      </c>
      <c r="Q12" s="1">
        <v>0.59</v>
      </c>
    </row>
    <row r="13" spans="1:17">
      <c r="A13" s="127">
        <v>83215</v>
      </c>
      <c r="B13" s="128" t="s">
        <v>2946</v>
      </c>
      <c r="C13" s="129" t="s">
        <v>709</v>
      </c>
      <c r="D13" s="130" t="s">
        <v>3010</v>
      </c>
      <c r="E13" s="126" t="s">
        <v>3011</v>
      </c>
      <c r="F13" s="323">
        <v>7000</v>
      </c>
      <c r="G13" s="323">
        <v>507</v>
      </c>
      <c r="H13" s="602" t="s">
        <v>3012</v>
      </c>
      <c r="I13" s="419" t="s">
        <v>2906</v>
      </c>
      <c r="J13" s="110" t="s">
        <v>2925</v>
      </c>
      <c r="L13" s="316">
        <v>83601</v>
      </c>
      <c r="M13" s="319" t="s">
        <v>2946</v>
      </c>
      <c r="N13" s="318" t="s">
        <v>709</v>
      </c>
      <c r="O13" s="318" t="s">
        <v>3013</v>
      </c>
      <c r="P13" s="1">
        <v>12</v>
      </c>
      <c r="Q13" s="1">
        <v>0.59</v>
      </c>
    </row>
    <row r="14" spans="1:17">
      <c r="A14" s="127">
        <v>83221</v>
      </c>
      <c r="B14" s="128" t="s">
        <v>2946</v>
      </c>
      <c r="C14" s="129" t="s">
        <v>735</v>
      </c>
      <c r="D14" s="130" t="s">
        <v>3014</v>
      </c>
      <c r="E14" s="126" t="s">
        <v>3015</v>
      </c>
      <c r="F14" s="323">
        <v>3300</v>
      </c>
      <c r="G14" s="323">
        <v>733</v>
      </c>
      <c r="H14" s="131" t="s">
        <v>107</v>
      </c>
      <c r="I14" s="419" t="s">
        <v>2833</v>
      </c>
      <c r="J14" s="205" t="s">
        <v>3016</v>
      </c>
      <c r="L14" s="316">
        <v>83701</v>
      </c>
      <c r="M14" s="319" t="s">
        <v>2946</v>
      </c>
      <c r="N14" s="318" t="s">
        <v>709</v>
      </c>
      <c r="O14" s="318" t="s">
        <v>3013</v>
      </c>
      <c r="P14" s="1">
        <v>13</v>
      </c>
      <c r="Q14" s="1">
        <v>0.59</v>
      </c>
    </row>
    <row r="15" spans="1:17">
      <c r="A15" s="127">
        <v>83227</v>
      </c>
      <c r="B15" s="128" t="s">
        <v>2946</v>
      </c>
      <c r="C15" s="129" t="s">
        <v>741</v>
      </c>
      <c r="D15" s="130" t="s">
        <v>3017</v>
      </c>
      <c r="E15" s="126" t="s">
        <v>3018</v>
      </c>
      <c r="F15" s="323">
        <v>3000</v>
      </c>
      <c r="G15" s="323">
        <v>599</v>
      </c>
      <c r="H15" s="603" t="s">
        <v>709</v>
      </c>
      <c r="I15" s="134" t="s">
        <v>3019</v>
      </c>
      <c r="J15" s="601" t="s">
        <v>3020</v>
      </c>
      <c r="K15" s="3"/>
      <c r="L15" s="316">
        <v>83702</v>
      </c>
      <c r="M15" s="319" t="s">
        <v>2946</v>
      </c>
      <c r="N15" s="318" t="s">
        <v>709</v>
      </c>
      <c r="O15" s="318" t="s">
        <v>3013</v>
      </c>
      <c r="P15" s="1">
        <v>14</v>
      </c>
      <c r="Q15" s="1">
        <v>0.59</v>
      </c>
    </row>
    <row r="16" spans="1:17">
      <c r="A16" s="127">
        <v>83229</v>
      </c>
      <c r="B16" s="128" t="s">
        <v>3021</v>
      </c>
      <c r="C16" s="129" t="s">
        <v>697</v>
      </c>
      <c r="D16" s="130" t="s">
        <v>3022</v>
      </c>
      <c r="E16" s="559" t="s">
        <v>2476</v>
      </c>
      <c r="F16" s="323">
        <v>2600</v>
      </c>
      <c r="G16" s="323">
        <v>599</v>
      </c>
      <c r="H16" s="603" t="s">
        <v>1149</v>
      </c>
      <c r="I16" s="380" t="s">
        <v>3023</v>
      </c>
      <c r="J16" s="601" t="s">
        <v>3024</v>
      </c>
      <c r="K16" s="393"/>
      <c r="L16" s="316">
        <v>83703</v>
      </c>
      <c r="M16" s="319" t="s">
        <v>2946</v>
      </c>
      <c r="N16" s="318" t="s">
        <v>709</v>
      </c>
      <c r="O16" s="318" t="s">
        <v>3013</v>
      </c>
      <c r="P16" s="1">
        <v>15</v>
      </c>
      <c r="Q16" s="1">
        <v>0.59</v>
      </c>
    </row>
    <row r="17" spans="1:17">
      <c r="A17" s="127">
        <v>83243</v>
      </c>
      <c r="B17" s="128" t="s">
        <v>3025</v>
      </c>
      <c r="C17" s="129" t="s">
        <v>886</v>
      </c>
      <c r="D17" s="130" t="s">
        <v>3026</v>
      </c>
      <c r="E17" s="126" t="s">
        <v>3027</v>
      </c>
      <c r="F17" s="323">
        <v>3300</v>
      </c>
      <c r="G17" s="323">
        <v>599</v>
      </c>
      <c r="H17" s="133" t="s">
        <v>3028</v>
      </c>
      <c r="I17" s="380" t="s">
        <v>3029</v>
      </c>
      <c r="J17" s="601" t="s">
        <v>3030</v>
      </c>
      <c r="K17" s="393"/>
      <c r="L17" s="316">
        <v>83704</v>
      </c>
      <c r="M17" s="319" t="s">
        <v>2946</v>
      </c>
      <c r="N17" s="318" t="s">
        <v>709</v>
      </c>
      <c r="O17" s="318" t="s">
        <v>3013</v>
      </c>
      <c r="P17" s="1">
        <v>16</v>
      </c>
      <c r="Q17" s="1">
        <v>0.59</v>
      </c>
    </row>
    <row r="18" spans="1:17">
      <c r="A18" s="127">
        <v>83245</v>
      </c>
      <c r="B18" s="128"/>
      <c r="C18" s="129" t="s">
        <v>900</v>
      </c>
      <c r="D18" s="130" t="s">
        <v>3031</v>
      </c>
      <c r="E18" s="126" t="s">
        <v>3032</v>
      </c>
      <c r="F18" s="323">
        <v>4900</v>
      </c>
      <c r="G18" s="323">
        <v>792</v>
      </c>
      <c r="H18" s="110" t="s">
        <v>2986</v>
      </c>
      <c r="I18" s="380" t="s">
        <v>3033</v>
      </c>
      <c r="J18" s="601" t="s">
        <v>3034</v>
      </c>
      <c r="K18" s="393"/>
      <c r="L18" s="316">
        <v>83705</v>
      </c>
      <c r="M18" s="319" t="s">
        <v>2946</v>
      </c>
      <c r="N18" s="318" t="s">
        <v>709</v>
      </c>
      <c r="O18" s="318" t="s">
        <v>3013</v>
      </c>
      <c r="P18" s="1">
        <v>17</v>
      </c>
      <c r="Q18" s="1">
        <v>0.59</v>
      </c>
    </row>
    <row r="19" spans="1:17">
      <c r="A19" s="127">
        <v>83256</v>
      </c>
      <c r="B19" s="128" t="s">
        <v>2946</v>
      </c>
      <c r="C19" s="129" t="s">
        <v>904</v>
      </c>
      <c r="D19" s="130" t="s">
        <v>3035</v>
      </c>
      <c r="E19" s="126" t="s">
        <v>3036</v>
      </c>
      <c r="F19" s="323">
        <v>4900</v>
      </c>
      <c r="G19" s="323">
        <v>827</v>
      </c>
      <c r="H19" s="110" t="s">
        <v>3013</v>
      </c>
      <c r="I19" s="325" t="s">
        <v>175</v>
      </c>
      <c r="J19" s="601" t="s">
        <v>3037</v>
      </c>
      <c r="K19" s="393"/>
      <c r="L19" s="316">
        <v>83706</v>
      </c>
      <c r="M19" s="319" t="s">
        <v>2946</v>
      </c>
      <c r="N19" s="318" t="s">
        <v>709</v>
      </c>
      <c r="O19" s="318" t="s">
        <v>3013</v>
      </c>
      <c r="P19" s="1">
        <v>18</v>
      </c>
      <c r="Q19" s="1">
        <v>0.59</v>
      </c>
    </row>
    <row r="20" spans="1:17">
      <c r="A20" s="127">
        <v>83262</v>
      </c>
      <c r="B20" s="128" t="s">
        <v>2946</v>
      </c>
      <c r="C20" s="129" t="s">
        <v>983</v>
      </c>
      <c r="D20" s="130" t="s">
        <v>3038</v>
      </c>
      <c r="E20" s="126" t="s">
        <v>3039</v>
      </c>
      <c r="F20" s="323">
        <v>4400</v>
      </c>
      <c r="G20" s="323">
        <v>741</v>
      </c>
      <c r="H20" s="110" t="s">
        <v>2953</v>
      </c>
      <c r="I20" s="368" t="str">
        <f>IF(Admin_Mail_to_Cust=TRUE,"Mail to: Payee",IF(ComboBoxRep="","Mail to:  Sheree Willhite, CHQ-8","Mail to: " &amp; VLOOKUP(ComboBoxRep,CustomerRepLocations,2,FALSE)))</f>
        <v>Mail to:  Sheree Willhite, CHQ-8</v>
      </c>
      <c r="J20" s="601" t="s">
        <v>3040</v>
      </c>
      <c r="K20" s="393"/>
      <c r="L20" s="316">
        <v>83707</v>
      </c>
      <c r="M20" s="319" t="s">
        <v>2946</v>
      </c>
      <c r="N20" s="318" t="s">
        <v>709</v>
      </c>
      <c r="O20" s="318" t="s">
        <v>3013</v>
      </c>
      <c r="P20" s="1">
        <v>19</v>
      </c>
      <c r="Q20" s="1">
        <v>0.59</v>
      </c>
    </row>
    <row r="21" spans="1:17">
      <c r="A21" s="127">
        <v>83271</v>
      </c>
      <c r="B21" s="128" t="s">
        <v>3041</v>
      </c>
      <c r="C21" s="129" t="s">
        <v>980</v>
      </c>
      <c r="D21" s="130" t="s">
        <v>3042</v>
      </c>
      <c r="E21" s="126" t="s">
        <v>3043</v>
      </c>
      <c r="F21" s="323">
        <v>3900</v>
      </c>
      <c r="G21" s="323">
        <v>694</v>
      </c>
      <c r="H21" s="110" t="s">
        <v>2967</v>
      </c>
      <c r="I21" s="368" t="str">
        <f>IF(ComboBoxRep="","","Mail to:  Sheree Willhite, CHQ-7")</f>
        <v/>
      </c>
      <c r="J21" s="601" t="s">
        <v>3044</v>
      </c>
      <c r="K21" s="393"/>
      <c r="L21" s="316">
        <v>83708</v>
      </c>
      <c r="M21" s="319" t="s">
        <v>2946</v>
      </c>
      <c r="N21" s="318" t="s">
        <v>709</v>
      </c>
      <c r="O21" s="318" t="s">
        <v>3013</v>
      </c>
      <c r="P21" s="1">
        <v>20</v>
      </c>
      <c r="Q21" s="1">
        <v>0.59</v>
      </c>
    </row>
    <row r="22" spans="1:17">
      <c r="A22" s="127">
        <v>83277</v>
      </c>
      <c r="B22" s="128"/>
      <c r="C22" s="129" t="s">
        <v>971</v>
      </c>
      <c r="D22" s="130" t="s">
        <v>3045</v>
      </c>
      <c r="E22" s="126" t="s">
        <v>3046</v>
      </c>
      <c r="F22" s="323">
        <v>6000</v>
      </c>
      <c r="G22" s="323">
        <v>694</v>
      </c>
      <c r="H22" s="110" t="s">
        <v>2960</v>
      </c>
      <c r="I22" s="369" t="s">
        <v>3047</v>
      </c>
      <c r="J22" s="601" t="s">
        <v>3048</v>
      </c>
      <c r="L22" s="316">
        <v>83709</v>
      </c>
      <c r="M22" s="319" t="s">
        <v>2946</v>
      </c>
      <c r="N22" s="318" t="s">
        <v>709</v>
      </c>
      <c r="O22" s="318" t="s">
        <v>3013</v>
      </c>
    </row>
    <row r="23" spans="1:17">
      <c r="A23" s="127">
        <v>83301</v>
      </c>
      <c r="B23" s="128"/>
      <c r="C23" s="129" t="s">
        <v>994</v>
      </c>
      <c r="D23" s="130" t="s">
        <v>3049</v>
      </c>
      <c r="E23" s="126" t="s">
        <v>3050</v>
      </c>
      <c r="F23" s="323">
        <v>7200</v>
      </c>
      <c r="G23" s="323">
        <v>705</v>
      </c>
      <c r="H23" s="3"/>
      <c r="I23" s="363" t="s">
        <v>3051</v>
      </c>
      <c r="J23" s="404" t="s">
        <v>3052</v>
      </c>
      <c r="L23" s="316">
        <v>83711</v>
      </c>
      <c r="M23" s="319" t="s">
        <v>2946</v>
      </c>
      <c r="N23" s="318" t="s">
        <v>709</v>
      </c>
      <c r="O23" s="318" t="s">
        <v>3013</v>
      </c>
    </row>
    <row r="24" spans="1:17">
      <c r="A24" s="127">
        <v>83302</v>
      </c>
      <c r="B24" s="128" t="s">
        <v>3053</v>
      </c>
      <c r="C24" s="129" t="s">
        <v>1004</v>
      </c>
      <c r="D24" s="130" t="s">
        <v>3054</v>
      </c>
      <c r="E24" s="126" t="s">
        <v>3055</v>
      </c>
      <c r="F24" s="323">
        <v>2500</v>
      </c>
      <c r="G24" s="323">
        <v>705</v>
      </c>
      <c r="H24" s="3"/>
      <c r="I24" s="363" t="s">
        <v>3051</v>
      </c>
      <c r="J24" s="403" t="s">
        <v>3056</v>
      </c>
      <c r="L24" s="316">
        <v>83712</v>
      </c>
      <c r="M24" s="319" t="s">
        <v>2946</v>
      </c>
      <c r="N24" s="318" t="s">
        <v>709</v>
      </c>
      <c r="O24" s="318" t="s">
        <v>3013</v>
      </c>
    </row>
    <row r="25" spans="1:17">
      <c r="A25" s="127">
        <v>83303</v>
      </c>
      <c r="B25" s="128" t="s">
        <v>3057</v>
      </c>
      <c r="C25" s="129" t="s">
        <v>1017</v>
      </c>
      <c r="D25" s="130" t="s">
        <v>3058</v>
      </c>
      <c r="E25" s="126" t="s">
        <v>3059</v>
      </c>
      <c r="F25" s="323">
        <v>3100</v>
      </c>
      <c r="G25" s="323">
        <v>316</v>
      </c>
      <c r="H25" s="3"/>
      <c r="I25" s="125" t="s">
        <v>2811</v>
      </c>
      <c r="J25" s="403" t="s">
        <v>3060</v>
      </c>
      <c r="L25" s="316">
        <v>83713</v>
      </c>
      <c r="M25" s="319" t="s">
        <v>2946</v>
      </c>
      <c r="N25" s="318" t="s">
        <v>709</v>
      </c>
      <c r="O25" s="318" t="s">
        <v>3013</v>
      </c>
    </row>
    <row r="26" spans="1:17">
      <c r="A26" s="127">
        <v>83313</v>
      </c>
      <c r="B26" s="128" t="s">
        <v>3061</v>
      </c>
      <c r="C26" s="129" t="s">
        <v>1006</v>
      </c>
      <c r="D26" s="130" t="s">
        <v>3062</v>
      </c>
      <c r="E26" s="126" t="s">
        <v>3063</v>
      </c>
      <c r="F26" s="323">
        <v>2600</v>
      </c>
      <c r="G26" s="323">
        <v>316</v>
      </c>
      <c r="H26" s="3"/>
      <c r="I26" s="559" t="s">
        <v>2816</v>
      </c>
      <c r="J26" s="403" t="s">
        <v>3064</v>
      </c>
      <c r="L26" s="316">
        <v>83714</v>
      </c>
      <c r="M26" s="319" t="s">
        <v>2946</v>
      </c>
      <c r="N26" s="318" t="s">
        <v>709</v>
      </c>
      <c r="O26" s="318" t="s">
        <v>3013</v>
      </c>
    </row>
    <row r="27" spans="1:17">
      <c r="A27" s="127">
        <v>83314</v>
      </c>
      <c r="B27" s="128" t="s">
        <v>3065</v>
      </c>
      <c r="C27" s="129" t="s">
        <v>1020</v>
      </c>
      <c r="D27" s="130" t="s">
        <v>3066</v>
      </c>
      <c r="E27" s="126" t="s">
        <v>2817</v>
      </c>
      <c r="F27" s="323">
        <v>3800</v>
      </c>
      <c r="G27" s="323">
        <v>635</v>
      </c>
      <c r="H27" s="3"/>
      <c r="I27" s="559" t="s">
        <v>2817</v>
      </c>
      <c r="J27" s="403" t="s">
        <v>3067</v>
      </c>
      <c r="L27" s="316">
        <v>83715</v>
      </c>
      <c r="M27" s="319" t="s">
        <v>2946</v>
      </c>
      <c r="N27" s="318" t="s">
        <v>709</v>
      </c>
      <c r="O27" s="318" t="s">
        <v>3013</v>
      </c>
    </row>
    <row r="28" spans="1:17">
      <c r="A28" s="127">
        <v>83316</v>
      </c>
      <c r="B28" s="137"/>
      <c r="C28" s="129" t="s">
        <v>1049</v>
      </c>
      <c r="D28" s="130" t="s">
        <v>3068</v>
      </c>
      <c r="E28" s="960" t="s">
        <v>3069</v>
      </c>
      <c r="F28" s="960"/>
      <c r="G28" s="312"/>
      <c r="H28" s="313" t="s">
        <v>3070</v>
      </c>
      <c r="I28" s="313" t="s">
        <v>3071</v>
      </c>
      <c r="J28" s="403" t="s">
        <v>3072</v>
      </c>
      <c r="K28" s="135"/>
      <c r="L28" s="316">
        <v>83716</v>
      </c>
      <c r="M28" s="319" t="s">
        <v>2946</v>
      </c>
      <c r="N28" s="318" t="s">
        <v>709</v>
      </c>
      <c r="O28" s="318" t="s">
        <v>3013</v>
      </c>
    </row>
    <row r="29" spans="1:17">
      <c r="A29" s="127">
        <v>83318</v>
      </c>
      <c r="B29" s="137"/>
      <c r="C29" s="129" t="s">
        <v>1094</v>
      </c>
      <c r="D29" s="130" t="s">
        <v>3073</v>
      </c>
      <c r="E29" s="362" t="s">
        <v>3074</v>
      </c>
      <c r="F29" s="363" t="b">
        <v>1</v>
      </c>
      <c r="G29" s="363" t="b">
        <v>1</v>
      </c>
      <c r="H29" s="372" t="s">
        <v>3075</v>
      </c>
      <c r="I29" s="372" t="s">
        <v>3076</v>
      </c>
      <c r="J29" s="405" t="s">
        <v>3077</v>
      </c>
      <c r="K29" s="135"/>
      <c r="L29" s="316">
        <v>83717</v>
      </c>
      <c r="M29" s="319" t="s">
        <v>2946</v>
      </c>
      <c r="N29" s="318" t="s">
        <v>709</v>
      </c>
      <c r="O29" s="318" t="s">
        <v>3013</v>
      </c>
    </row>
    <row r="30" spans="1:17">
      <c r="A30" s="127">
        <v>83320</v>
      </c>
      <c r="B30" s="128" t="s">
        <v>3078</v>
      </c>
      <c r="C30" s="129" t="s">
        <v>1055</v>
      </c>
      <c r="D30" s="130" t="s">
        <v>3079</v>
      </c>
      <c r="E30" s="362" t="s">
        <v>3080</v>
      </c>
      <c r="F30" s="363" t="b">
        <v>0</v>
      </c>
      <c r="G30" s="363" t="b">
        <v>0</v>
      </c>
      <c r="H30" s="372" t="s">
        <v>3081</v>
      </c>
      <c r="I30" s="372" t="s">
        <v>3082</v>
      </c>
      <c r="J30" s="406" t="s">
        <v>3056</v>
      </c>
      <c r="K30" s="135"/>
      <c r="L30" s="316">
        <v>83719</v>
      </c>
      <c r="M30" s="319" t="s">
        <v>2946</v>
      </c>
      <c r="N30" s="318" t="s">
        <v>709</v>
      </c>
      <c r="O30" s="318" t="s">
        <v>3013</v>
      </c>
    </row>
    <row r="31" spans="1:17">
      <c r="A31" s="127">
        <v>83321</v>
      </c>
      <c r="B31" s="128" t="s">
        <v>3083</v>
      </c>
      <c r="C31" s="129" t="s">
        <v>1060</v>
      </c>
      <c r="D31" s="130" t="s">
        <v>3084</v>
      </c>
      <c r="E31" s="362" t="s">
        <v>3085</v>
      </c>
      <c r="F31" s="364">
        <v>11</v>
      </c>
      <c r="G31" s="364">
        <v>11</v>
      </c>
      <c r="H31" s="372" t="s">
        <v>3086</v>
      </c>
      <c r="I31" s="372" t="s">
        <v>3087</v>
      </c>
      <c r="J31" s="406" t="s">
        <v>3060</v>
      </c>
      <c r="L31" s="316">
        <v>83720</v>
      </c>
      <c r="M31" s="319" t="s">
        <v>2946</v>
      </c>
      <c r="N31" s="318" t="s">
        <v>709</v>
      </c>
      <c r="O31" s="318" t="s">
        <v>3013</v>
      </c>
    </row>
    <row r="32" spans="1:17">
      <c r="A32" s="127">
        <v>83322</v>
      </c>
      <c r="B32" s="128" t="s">
        <v>3088</v>
      </c>
      <c r="C32" s="129" t="s">
        <v>1069</v>
      </c>
      <c r="D32" s="130" t="s">
        <v>3089</v>
      </c>
      <c r="E32" s="362" t="s">
        <v>3090</v>
      </c>
      <c r="F32" s="364"/>
      <c r="G32" s="364"/>
      <c r="H32" s="372" t="s">
        <v>3091</v>
      </c>
      <c r="I32" s="372" t="s">
        <v>3092</v>
      </c>
      <c r="J32" s="406" t="s">
        <v>3067</v>
      </c>
      <c r="L32" s="316">
        <v>83722</v>
      </c>
      <c r="M32" s="319" t="s">
        <v>2946</v>
      </c>
      <c r="N32" s="318" t="s">
        <v>709</v>
      </c>
      <c r="O32" s="318" t="s">
        <v>3013</v>
      </c>
    </row>
    <row r="33" spans="1:15">
      <c r="A33" s="127">
        <v>83324</v>
      </c>
      <c r="B33" s="128" t="s">
        <v>3093</v>
      </c>
      <c r="C33" s="129" t="s">
        <v>1100</v>
      </c>
      <c r="D33" s="130" t="s">
        <v>3094</v>
      </c>
      <c r="E33" s="362" t="s">
        <v>3095</v>
      </c>
      <c r="F33" s="363"/>
      <c r="G33" s="363"/>
      <c r="H33" s="372" t="s">
        <v>3096</v>
      </c>
      <c r="I33" s="372" t="s">
        <v>3097</v>
      </c>
      <c r="L33" s="316">
        <v>83724</v>
      </c>
      <c r="M33" s="319" t="s">
        <v>2946</v>
      </c>
      <c r="N33" s="318" t="s">
        <v>709</v>
      </c>
      <c r="O33" s="318" t="s">
        <v>3013</v>
      </c>
    </row>
    <row r="34" spans="1:15">
      <c r="A34" s="127">
        <v>83325</v>
      </c>
      <c r="B34" s="128" t="s">
        <v>3098</v>
      </c>
      <c r="C34" s="129" t="s">
        <v>1045</v>
      </c>
      <c r="D34" s="130" t="s">
        <v>3099</v>
      </c>
      <c r="E34" s="362" t="s">
        <v>3100</v>
      </c>
      <c r="F34" s="363"/>
      <c r="G34" s="363"/>
      <c r="H34" s="372" t="s">
        <v>3101</v>
      </c>
      <c r="I34" s="372" t="s">
        <v>3102</v>
      </c>
      <c r="L34" s="316">
        <v>83725</v>
      </c>
      <c r="M34" s="319" t="s">
        <v>2946</v>
      </c>
      <c r="N34" s="318" t="s">
        <v>709</v>
      </c>
      <c r="O34" s="318" t="s">
        <v>3013</v>
      </c>
    </row>
    <row r="35" spans="1:15">
      <c r="A35" s="127">
        <v>83327</v>
      </c>
      <c r="B35" s="128" t="s">
        <v>3103</v>
      </c>
      <c r="C35" s="129" t="s">
        <v>1047</v>
      </c>
      <c r="D35" s="130" t="s">
        <v>3104</v>
      </c>
      <c r="E35" s="362" t="s">
        <v>3105</v>
      </c>
      <c r="F35" s="363" t="b">
        <v>0</v>
      </c>
      <c r="G35" s="363" t="b">
        <v>0</v>
      </c>
      <c r="H35" s="372" t="s">
        <v>3106</v>
      </c>
      <c r="I35" s="372" t="s">
        <v>3107</v>
      </c>
      <c r="L35" s="316">
        <v>83726</v>
      </c>
      <c r="M35" s="319" t="s">
        <v>2946</v>
      </c>
      <c r="N35" s="318" t="s">
        <v>709</v>
      </c>
      <c r="O35" s="318" t="s">
        <v>3013</v>
      </c>
    </row>
    <row r="36" spans="1:15">
      <c r="A36" s="127">
        <v>83328</v>
      </c>
      <c r="B36" s="128" t="s">
        <v>3108</v>
      </c>
      <c r="C36" s="129" t="s">
        <v>1124</v>
      </c>
      <c r="D36" s="130" t="s">
        <v>3109</v>
      </c>
      <c r="E36" s="362" t="s">
        <v>3110</v>
      </c>
      <c r="F36" s="363" t="b">
        <v>1</v>
      </c>
      <c r="G36" s="363" t="b">
        <v>1</v>
      </c>
      <c r="H36" s="372" t="s">
        <v>3111</v>
      </c>
      <c r="I36" s="372" t="s">
        <v>3112</v>
      </c>
      <c r="J36" s="211" t="s">
        <v>3113</v>
      </c>
      <c r="L36" s="316">
        <v>83728</v>
      </c>
      <c r="M36" s="319" t="s">
        <v>2946</v>
      </c>
      <c r="N36" s="318" t="s">
        <v>709</v>
      </c>
      <c r="O36" s="318" t="s">
        <v>3013</v>
      </c>
    </row>
    <row r="37" spans="1:15">
      <c r="A37" s="127">
        <v>83330</v>
      </c>
      <c r="B37" s="128" t="s">
        <v>3114</v>
      </c>
      <c r="C37" s="129" t="s">
        <v>1133</v>
      </c>
      <c r="D37" s="130" t="s">
        <v>3115</v>
      </c>
      <c r="E37" s="362" t="s">
        <v>3116</v>
      </c>
      <c r="F37" s="363" t="s">
        <v>3117</v>
      </c>
      <c r="G37" s="363" t="str">
        <f>Handling</f>
        <v>Mail to:  Sheree Willhite, CHQ-8</v>
      </c>
      <c r="H37" s="372" t="s">
        <v>3118</v>
      </c>
      <c r="I37" s="372" t="s">
        <v>3119</v>
      </c>
      <c r="J37" s="125" t="s">
        <v>3120</v>
      </c>
      <c r="L37" s="316">
        <v>83729</v>
      </c>
      <c r="M37" s="319" t="s">
        <v>2946</v>
      </c>
      <c r="N37" s="318" t="s">
        <v>709</v>
      </c>
      <c r="O37" s="318" t="s">
        <v>3013</v>
      </c>
    </row>
    <row r="38" spans="1:15">
      <c r="A38" s="127">
        <v>83332</v>
      </c>
      <c r="B38" s="128" t="s">
        <v>3121</v>
      </c>
      <c r="C38" s="129" t="s">
        <v>1149</v>
      </c>
      <c r="D38" s="130" t="s">
        <v>3122</v>
      </c>
      <c r="E38" s="362" t="s">
        <v>3123</v>
      </c>
      <c r="F38" s="363" t="s">
        <v>3124</v>
      </c>
      <c r="G38" s="363" t="s">
        <v>3124</v>
      </c>
      <c r="H38" s="372" t="s">
        <v>3125</v>
      </c>
      <c r="I38" s="372" t="s">
        <v>3126</v>
      </c>
      <c r="J38" s="618" t="s">
        <v>120</v>
      </c>
      <c r="L38" s="316">
        <v>83731</v>
      </c>
      <c r="M38" s="319" t="s">
        <v>2946</v>
      </c>
      <c r="N38" s="318" t="s">
        <v>709</v>
      </c>
      <c r="O38" s="318" t="s">
        <v>3013</v>
      </c>
    </row>
    <row r="39" spans="1:15">
      <c r="A39" s="127">
        <v>83333</v>
      </c>
      <c r="B39" s="128" t="s">
        <v>3127</v>
      </c>
      <c r="C39" s="129" t="s">
        <v>1173</v>
      </c>
      <c r="D39" s="130" t="s">
        <v>3128</v>
      </c>
      <c r="E39" s="362" t="s">
        <v>3129</v>
      </c>
      <c r="F39" s="363" t="s">
        <v>3124</v>
      </c>
      <c r="G39" s="363" t="s">
        <v>3124</v>
      </c>
      <c r="H39" s="372" t="s">
        <v>3130</v>
      </c>
      <c r="I39" s="372" t="s">
        <v>3131</v>
      </c>
      <c r="J39" s="559" t="s">
        <v>154</v>
      </c>
      <c r="L39" s="316">
        <v>83732</v>
      </c>
      <c r="M39" s="319" t="s">
        <v>2946</v>
      </c>
      <c r="N39" s="318" t="s">
        <v>709</v>
      </c>
      <c r="O39" s="318" t="s">
        <v>3013</v>
      </c>
    </row>
    <row r="40" spans="1:15">
      <c r="A40" s="127">
        <v>83334</v>
      </c>
      <c r="B40" s="128" t="s">
        <v>3132</v>
      </c>
      <c r="C40" s="129" t="s">
        <v>1329</v>
      </c>
      <c r="D40" s="130" t="s">
        <v>3133</v>
      </c>
      <c r="E40" s="362" t="s">
        <v>3134</v>
      </c>
      <c r="F40" s="363"/>
      <c r="G40" s="363"/>
      <c r="H40" s="372" t="s">
        <v>3135</v>
      </c>
      <c r="I40" s="372" t="s">
        <v>3136</v>
      </c>
      <c r="J40" s="559" t="s">
        <v>6</v>
      </c>
      <c r="L40" s="316">
        <v>83735</v>
      </c>
      <c r="M40" s="319" t="s">
        <v>2946</v>
      </c>
      <c r="N40" s="318" t="s">
        <v>709</v>
      </c>
      <c r="O40" s="318" t="s">
        <v>3013</v>
      </c>
    </row>
    <row r="41" spans="1:15">
      <c r="A41" s="127">
        <v>83335</v>
      </c>
      <c r="B41" s="128" t="s">
        <v>3137</v>
      </c>
      <c r="C41" s="129" t="s">
        <v>1381</v>
      </c>
      <c r="D41" s="130" t="s">
        <v>3138</v>
      </c>
      <c r="E41" s="362" t="s">
        <v>3139</v>
      </c>
      <c r="F41" s="363"/>
      <c r="G41" s="363"/>
      <c r="H41" s="372" t="s">
        <v>3140</v>
      </c>
      <c r="I41" s="372" t="s">
        <v>3141</v>
      </c>
      <c r="J41" s="405" t="s">
        <v>3142</v>
      </c>
      <c r="L41" s="316">
        <v>83756</v>
      </c>
      <c r="M41" s="319" t="s">
        <v>2946</v>
      </c>
      <c r="N41" s="318" t="s">
        <v>709</v>
      </c>
      <c r="O41" s="318" t="s">
        <v>3013</v>
      </c>
    </row>
    <row r="42" spans="1:15">
      <c r="A42" s="127">
        <v>83336</v>
      </c>
      <c r="B42" s="128" t="s">
        <v>3143</v>
      </c>
      <c r="C42" s="129" t="s">
        <v>1384</v>
      </c>
      <c r="D42" s="130" t="s">
        <v>3144</v>
      </c>
      <c r="E42" s="362" t="s">
        <v>3145</v>
      </c>
      <c r="F42" s="363"/>
      <c r="G42" s="363"/>
      <c r="H42" s="372" t="s">
        <v>3146</v>
      </c>
      <c r="I42" s="372" t="s">
        <v>3147</v>
      </c>
      <c r="J42" s="619" t="s">
        <v>120</v>
      </c>
      <c r="L42" s="316">
        <v>83799</v>
      </c>
      <c r="M42" s="319" t="s">
        <v>2946</v>
      </c>
      <c r="N42" s="318" t="s">
        <v>709</v>
      </c>
      <c r="O42" s="318" t="s">
        <v>3013</v>
      </c>
    </row>
    <row r="43" spans="1:15">
      <c r="A43" s="127">
        <v>83337</v>
      </c>
      <c r="B43" s="128" t="s">
        <v>3148</v>
      </c>
      <c r="C43" s="129" t="s">
        <v>1476</v>
      </c>
      <c r="D43" s="130" t="s">
        <v>3149</v>
      </c>
      <c r="E43" s="362" t="s">
        <v>3150</v>
      </c>
      <c r="F43" s="363"/>
      <c r="G43" s="363"/>
      <c r="H43" s="372" t="s">
        <v>3151</v>
      </c>
      <c r="I43" s="372" t="s">
        <v>3152</v>
      </c>
      <c r="J43" s="406" t="s">
        <v>98</v>
      </c>
      <c r="L43" s="316">
        <v>97819</v>
      </c>
      <c r="M43" s="318" t="s">
        <v>3153</v>
      </c>
      <c r="N43" s="318" t="s">
        <v>1149</v>
      </c>
      <c r="O43" s="318" t="s">
        <v>2967</v>
      </c>
    </row>
    <row r="44" spans="1:15">
      <c r="A44" s="127">
        <v>83338</v>
      </c>
      <c r="B44" s="128" t="s">
        <v>3154</v>
      </c>
      <c r="C44" s="129" t="s">
        <v>1498</v>
      </c>
      <c r="D44" s="130" t="s">
        <v>3155</v>
      </c>
      <c r="E44" s="362" t="s">
        <v>3156</v>
      </c>
      <c r="F44" s="363"/>
      <c r="G44" s="363"/>
      <c r="H44" s="372" t="s">
        <v>3157</v>
      </c>
      <c r="I44" s="372" t="s">
        <v>3158</v>
      </c>
      <c r="J44" s="406" t="s">
        <v>155</v>
      </c>
      <c r="L44" s="316">
        <v>97903</v>
      </c>
      <c r="M44" s="318" t="s">
        <v>3159</v>
      </c>
      <c r="N44" s="318" t="s">
        <v>1149</v>
      </c>
      <c r="O44" s="318" t="s">
        <v>2967</v>
      </c>
    </row>
    <row r="45" spans="1:15">
      <c r="A45" s="127">
        <v>83340</v>
      </c>
      <c r="B45" s="128" t="s">
        <v>3160</v>
      </c>
      <c r="C45" s="129" t="s">
        <v>1556</v>
      </c>
      <c r="D45" s="130" t="s">
        <v>3161</v>
      </c>
      <c r="E45" s="362" t="s">
        <v>3162</v>
      </c>
      <c r="F45" s="363"/>
      <c r="G45" s="363"/>
      <c r="H45" s="372" t="s">
        <v>3163</v>
      </c>
      <c r="I45" s="372" t="s">
        <v>3164</v>
      </c>
      <c r="J45" s="311" t="s">
        <v>3165</v>
      </c>
      <c r="L45" s="316">
        <v>83604</v>
      </c>
      <c r="M45" s="318" t="s">
        <v>3166</v>
      </c>
      <c r="N45" s="318" t="s">
        <v>709</v>
      </c>
      <c r="O45" s="318" t="s">
        <v>3013</v>
      </c>
    </row>
    <row r="46" spans="1:15">
      <c r="A46" s="127">
        <v>83341</v>
      </c>
      <c r="B46" s="128" t="s">
        <v>3167</v>
      </c>
      <c r="C46" s="129" t="s">
        <v>1626</v>
      </c>
      <c r="D46" s="130" t="s">
        <v>3168</v>
      </c>
      <c r="E46" s="362" t="s">
        <v>3169</v>
      </c>
      <c r="F46" s="363"/>
      <c r="G46" s="363"/>
      <c r="H46" s="372" t="s">
        <v>3170</v>
      </c>
      <c r="I46" s="372" t="s">
        <v>3171</v>
      </c>
      <c r="J46" s="419" t="s">
        <v>120</v>
      </c>
      <c r="L46" s="316">
        <v>83316</v>
      </c>
      <c r="M46" s="318" t="s">
        <v>3172</v>
      </c>
      <c r="N46" s="318" t="s">
        <v>709</v>
      </c>
      <c r="O46" s="318" t="s">
        <v>2960</v>
      </c>
    </row>
    <row r="47" spans="1:15" ht="15">
      <c r="A47" s="127">
        <v>83344</v>
      </c>
      <c r="B47" s="137"/>
      <c r="C47" s="129" t="s">
        <v>1577</v>
      </c>
      <c r="D47" s="130" t="s">
        <v>3173</v>
      </c>
      <c r="E47" s="365" t="s">
        <v>3174</v>
      </c>
      <c r="F47" s="303"/>
      <c r="G47" s="303"/>
      <c r="H47" s="372" t="s">
        <v>3175</v>
      </c>
      <c r="I47" s="372" t="s">
        <v>3176</v>
      </c>
      <c r="J47" s="419" t="s">
        <v>2773</v>
      </c>
      <c r="L47" s="316">
        <v>83318</v>
      </c>
      <c r="M47" s="318" t="s">
        <v>3177</v>
      </c>
      <c r="N47" s="318" t="s">
        <v>709</v>
      </c>
      <c r="O47" s="318" t="s">
        <v>2960</v>
      </c>
    </row>
    <row r="48" spans="1:15" ht="15">
      <c r="A48" s="127">
        <v>83346</v>
      </c>
      <c r="B48" s="137"/>
      <c r="C48" s="129" t="s">
        <v>1641</v>
      </c>
      <c r="D48" s="130" t="s">
        <v>3178</v>
      </c>
      <c r="E48" s="366" t="s">
        <v>3179</v>
      </c>
      <c r="F48" s="303"/>
      <c r="G48" s="303"/>
      <c r="H48" s="372" t="s">
        <v>3180</v>
      </c>
      <c r="I48" s="372" t="s">
        <v>3181</v>
      </c>
      <c r="J48" s="419" t="s">
        <v>3182</v>
      </c>
      <c r="L48" s="316">
        <v>83605</v>
      </c>
      <c r="M48" s="318" t="s">
        <v>3183</v>
      </c>
      <c r="N48" s="318" t="s">
        <v>709</v>
      </c>
      <c r="O48" s="318" t="s">
        <v>2986</v>
      </c>
    </row>
    <row r="49" spans="1:15" ht="15">
      <c r="A49" s="127">
        <v>83347</v>
      </c>
      <c r="B49" s="137"/>
      <c r="C49" s="129" t="s">
        <v>1683</v>
      </c>
      <c r="D49" s="130" t="s">
        <v>3184</v>
      </c>
      <c r="E49" s="366" t="s">
        <v>3051</v>
      </c>
      <c r="F49" s="303"/>
      <c r="G49" s="303"/>
      <c r="H49" s="372" t="s">
        <v>3185</v>
      </c>
      <c r="I49" s="372" t="s">
        <v>3186</v>
      </c>
      <c r="J49" s="419" t="s">
        <v>2817</v>
      </c>
      <c r="L49" s="316">
        <v>83606</v>
      </c>
      <c r="M49" s="318" t="s">
        <v>3183</v>
      </c>
      <c r="N49" s="318" t="s">
        <v>709</v>
      </c>
      <c r="O49" s="318" t="s">
        <v>2986</v>
      </c>
    </row>
    <row r="50" spans="1:15" ht="15">
      <c r="A50" s="127">
        <v>83348</v>
      </c>
      <c r="B50" s="137"/>
      <c r="C50" s="129" t="s">
        <v>1657</v>
      </c>
      <c r="D50" s="130" t="s">
        <v>3187</v>
      </c>
      <c r="E50" s="366" t="s">
        <v>3051</v>
      </c>
      <c r="F50" s="303"/>
      <c r="G50" s="303"/>
      <c r="H50" s="372" t="s">
        <v>3188</v>
      </c>
      <c r="I50" s="372" t="s">
        <v>3189</v>
      </c>
      <c r="J50" s="133" t="s">
        <v>3190</v>
      </c>
      <c r="L50" s="316">
        <v>83607</v>
      </c>
      <c r="M50" s="318" t="s">
        <v>3183</v>
      </c>
      <c r="N50" s="318" t="s">
        <v>709</v>
      </c>
      <c r="O50" s="318" t="s">
        <v>2986</v>
      </c>
    </row>
    <row r="51" spans="1:15" ht="15">
      <c r="A51" s="127">
        <v>83349</v>
      </c>
      <c r="B51" s="128" t="s">
        <v>2966</v>
      </c>
      <c r="C51" s="129" t="s">
        <v>1689</v>
      </c>
      <c r="D51" s="130" t="s">
        <v>3191</v>
      </c>
      <c r="E51" s="366" t="s">
        <v>3051</v>
      </c>
      <c r="F51" s="303"/>
      <c r="G51" s="303"/>
      <c r="H51" s="372" t="s">
        <v>3192</v>
      </c>
      <c r="I51" s="372" t="s">
        <v>3193</v>
      </c>
      <c r="J51" s="110" t="s">
        <v>2511</v>
      </c>
      <c r="L51" s="316">
        <v>83610</v>
      </c>
      <c r="M51" s="318" t="s">
        <v>3078</v>
      </c>
      <c r="N51" s="318" t="s">
        <v>709</v>
      </c>
      <c r="O51" s="318" t="s">
        <v>2967</v>
      </c>
    </row>
    <row r="52" spans="1:15" ht="15">
      <c r="A52" s="127">
        <v>83350</v>
      </c>
      <c r="B52" s="128" t="s">
        <v>2985</v>
      </c>
      <c r="C52" s="129" t="s">
        <v>3194</v>
      </c>
      <c r="D52" s="130"/>
      <c r="E52" s="366" t="s">
        <v>3051</v>
      </c>
      <c r="F52" s="303"/>
      <c r="G52" s="303"/>
      <c r="H52" s="372" t="s">
        <v>3195</v>
      </c>
      <c r="I52" s="372" t="s">
        <v>3196</v>
      </c>
      <c r="J52" s="110" t="s">
        <v>3197</v>
      </c>
      <c r="L52" s="316">
        <v>83320</v>
      </c>
      <c r="M52" s="318" t="s">
        <v>3198</v>
      </c>
      <c r="N52" s="318" t="s">
        <v>709</v>
      </c>
      <c r="O52" s="318" t="s">
        <v>2960</v>
      </c>
    </row>
    <row r="53" spans="1:15" ht="15">
      <c r="A53" s="127">
        <v>83352</v>
      </c>
      <c r="B53" s="128" t="s">
        <v>3199</v>
      </c>
      <c r="E53" s="366" t="s">
        <v>3051</v>
      </c>
      <c r="F53" s="303"/>
      <c r="G53" s="303"/>
      <c r="H53" s="372"/>
      <c r="I53" s="372"/>
      <c r="L53" s="316">
        <v>83462</v>
      </c>
      <c r="M53" s="318" t="s">
        <v>3200</v>
      </c>
      <c r="N53" s="318" t="s">
        <v>709</v>
      </c>
      <c r="O53" s="318" t="s">
        <v>2953</v>
      </c>
    </row>
    <row r="54" spans="1:15" ht="15">
      <c r="A54" s="127">
        <v>83353</v>
      </c>
      <c r="B54" s="128" t="s">
        <v>3159</v>
      </c>
      <c r="E54" s="366" t="s">
        <v>3051</v>
      </c>
      <c r="F54" s="303"/>
      <c r="G54" s="303"/>
      <c r="H54" s="372"/>
      <c r="I54" s="372"/>
      <c r="L54" s="316">
        <v>83611</v>
      </c>
      <c r="M54" s="318" t="s">
        <v>3083</v>
      </c>
      <c r="N54" s="318" t="s">
        <v>709</v>
      </c>
      <c r="O54" s="318" t="s">
        <v>2967</v>
      </c>
    </row>
    <row r="55" spans="1:15" ht="15">
      <c r="A55" s="127">
        <v>83354</v>
      </c>
      <c r="B55" s="128" t="s">
        <v>3201</v>
      </c>
      <c r="E55" s="367" t="s">
        <v>3051</v>
      </c>
      <c r="F55" s="303"/>
      <c r="G55" s="303"/>
      <c r="H55" s="372"/>
      <c r="I55" s="372"/>
      <c r="L55" s="316">
        <v>83321</v>
      </c>
      <c r="M55" s="318" t="s">
        <v>3202</v>
      </c>
      <c r="N55" s="318" t="s">
        <v>709</v>
      </c>
      <c r="O55" s="318" t="s">
        <v>2960</v>
      </c>
    </row>
    <row r="56" spans="1:15">
      <c r="A56" s="127">
        <v>83355</v>
      </c>
      <c r="B56" s="128" t="s">
        <v>3203</v>
      </c>
      <c r="H56" s="372"/>
      <c r="I56" s="372"/>
      <c r="L56" s="316">
        <v>83202</v>
      </c>
      <c r="M56" s="318" t="s">
        <v>3204</v>
      </c>
      <c r="N56" s="318" t="s">
        <v>709</v>
      </c>
      <c r="O56" s="318" t="s">
        <v>2953</v>
      </c>
    </row>
    <row r="57" spans="1:15">
      <c r="A57" s="127">
        <v>83462</v>
      </c>
      <c r="B57" s="128" t="s">
        <v>3205</v>
      </c>
      <c r="L57" s="316">
        <v>83229</v>
      </c>
      <c r="M57" s="318" t="s">
        <v>3206</v>
      </c>
      <c r="N57" s="318" t="s">
        <v>709</v>
      </c>
      <c r="O57" s="318" t="s">
        <v>2953</v>
      </c>
    </row>
    <row r="58" spans="1:15">
      <c r="A58" s="127">
        <v>83463</v>
      </c>
      <c r="B58" s="128" t="s">
        <v>3207</v>
      </c>
      <c r="L58" s="316">
        <v>83322</v>
      </c>
      <c r="M58" s="318" t="s">
        <v>3208</v>
      </c>
      <c r="N58" s="318" t="s">
        <v>709</v>
      </c>
      <c r="O58" s="318" t="s">
        <v>2960</v>
      </c>
    </row>
    <row r="59" spans="1:15">
      <c r="A59" s="127">
        <v>83464</v>
      </c>
      <c r="B59" s="128" t="s">
        <v>3209</v>
      </c>
      <c r="L59" s="316">
        <v>83612</v>
      </c>
      <c r="M59" s="318" t="s">
        <v>3088</v>
      </c>
      <c r="N59" s="318" t="s">
        <v>709</v>
      </c>
      <c r="O59" s="318" t="s">
        <v>2967</v>
      </c>
    </row>
    <row r="60" spans="1:15">
      <c r="A60" s="127">
        <v>83465</v>
      </c>
      <c r="B60" s="128" t="s">
        <v>3210</v>
      </c>
      <c r="L60" s="316">
        <v>83324</v>
      </c>
      <c r="M60" s="318" t="s">
        <v>3211</v>
      </c>
      <c r="N60" s="318" t="s">
        <v>709</v>
      </c>
      <c r="O60" s="318" t="s">
        <v>2960</v>
      </c>
    </row>
    <row r="61" spans="1:15">
      <c r="A61" s="127">
        <v>83466</v>
      </c>
      <c r="B61" s="128" t="s">
        <v>3212</v>
      </c>
      <c r="L61" s="316">
        <v>83615</v>
      </c>
      <c r="M61" s="318" t="s">
        <v>3093</v>
      </c>
      <c r="N61" s="318" t="s">
        <v>709</v>
      </c>
      <c r="O61" s="318" t="s">
        <v>2967</v>
      </c>
    </row>
    <row r="62" spans="1:15">
      <c r="A62" s="127">
        <v>83467</v>
      </c>
      <c r="B62" s="128" t="s">
        <v>3213</v>
      </c>
      <c r="L62" s="316">
        <v>97904</v>
      </c>
      <c r="M62" s="318" t="s">
        <v>3201</v>
      </c>
      <c r="N62" s="318" t="s">
        <v>1149</v>
      </c>
      <c r="O62" s="318" t="s">
        <v>2967</v>
      </c>
    </row>
    <row r="63" spans="1:15">
      <c r="A63" s="127">
        <v>83468</v>
      </c>
      <c r="B63" s="128" t="s">
        <v>3214</v>
      </c>
      <c r="L63" s="316">
        <v>97905</v>
      </c>
      <c r="M63" s="318" t="s">
        <v>3203</v>
      </c>
      <c r="N63" s="318" t="s">
        <v>1149</v>
      </c>
      <c r="O63" s="318" t="s">
        <v>2967</v>
      </c>
    </row>
    <row r="64" spans="1:15">
      <c r="A64" s="127">
        <v>83547</v>
      </c>
      <c r="B64" s="128" t="s">
        <v>3214</v>
      </c>
      <c r="L64" s="316">
        <v>83616</v>
      </c>
      <c r="M64" s="318" t="s">
        <v>2968</v>
      </c>
      <c r="N64" s="318" t="s">
        <v>709</v>
      </c>
      <c r="O64" s="318" t="s">
        <v>3013</v>
      </c>
    </row>
    <row r="65" spans="1:16">
      <c r="A65" s="127">
        <v>83549</v>
      </c>
      <c r="B65" s="128" t="s">
        <v>3215</v>
      </c>
      <c r="L65" s="316">
        <v>83325</v>
      </c>
      <c r="M65" s="318" t="s">
        <v>3216</v>
      </c>
      <c r="N65" s="318" t="s">
        <v>709</v>
      </c>
      <c r="O65" s="318" t="s">
        <v>2960</v>
      </c>
    </row>
    <row r="66" spans="1:16">
      <c r="A66" s="127">
        <v>83601</v>
      </c>
      <c r="B66" s="128" t="s">
        <v>3217</v>
      </c>
      <c r="L66" s="316">
        <v>83354</v>
      </c>
      <c r="M66" s="318" t="s">
        <v>3218</v>
      </c>
      <c r="N66" s="318" t="s">
        <v>709</v>
      </c>
      <c r="O66" s="318" t="s">
        <v>2960</v>
      </c>
    </row>
    <row r="67" spans="1:16">
      <c r="A67" s="127">
        <v>83602</v>
      </c>
      <c r="B67" s="128" t="s">
        <v>3219</v>
      </c>
      <c r="L67" s="316">
        <v>83617</v>
      </c>
      <c r="M67" s="318" t="s">
        <v>3220</v>
      </c>
      <c r="N67" s="318" t="s">
        <v>709</v>
      </c>
      <c r="O67" s="318" t="s">
        <v>2986</v>
      </c>
    </row>
    <row r="68" spans="1:16">
      <c r="A68" s="127">
        <v>83604</v>
      </c>
      <c r="B68" s="128" t="s">
        <v>3221</v>
      </c>
      <c r="L68" s="316">
        <v>83327</v>
      </c>
      <c r="M68" s="318" t="s">
        <v>3222</v>
      </c>
      <c r="N68" s="318" t="s">
        <v>709</v>
      </c>
      <c r="O68" s="318" t="s">
        <v>2960</v>
      </c>
    </row>
    <row r="69" spans="1:16" ht="15" customHeight="1">
      <c r="A69" s="127">
        <v>83604</v>
      </c>
      <c r="B69" s="128" t="s">
        <v>3223</v>
      </c>
      <c r="L69" s="316">
        <v>83328</v>
      </c>
      <c r="M69" s="318" t="s">
        <v>3224</v>
      </c>
      <c r="N69" s="318" t="s">
        <v>709</v>
      </c>
      <c r="O69" s="318" t="s">
        <v>2960</v>
      </c>
      <c r="P69"/>
    </row>
    <row r="70" spans="1:16" ht="15" customHeight="1">
      <c r="A70" s="127">
        <v>83605</v>
      </c>
      <c r="B70" s="128" t="s">
        <v>3225</v>
      </c>
      <c r="L70" s="316">
        <v>83203</v>
      </c>
      <c r="M70" s="318" t="s">
        <v>3226</v>
      </c>
      <c r="N70" s="318" t="s">
        <v>709</v>
      </c>
      <c r="O70" s="318" t="s">
        <v>2953</v>
      </c>
      <c r="P70"/>
    </row>
    <row r="71" spans="1:16" ht="15" customHeight="1">
      <c r="A71" s="127">
        <v>83606</v>
      </c>
      <c r="B71" s="128" t="s">
        <v>3227</v>
      </c>
      <c r="L71" s="316">
        <v>83619</v>
      </c>
      <c r="M71" s="318" t="s">
        <v>3098</v>
      </c>
      <c r="N71" s="318" t="s">
        <v>709</v>
      </c>
      <c r="O71" s="318" t="s">
        <v>2967</v>
      </c>
      <c r="P71"/>
    </row>
    <row r="72" spans="1:16" ht="30" customHeight="1">
      <c r="A72" s="127">
        <v>83607</v>
      </c>
      <c r="B72" s="128" t="s">
        <v>3228</v>
      </c>
      <c r="L72" s="316">
        <v>83620</v>
      </c>
      <c r="M72" s="318" t="s">
        <v>3103</v>
      </c>
      <c r="N72" s="318" t="s">
        <v>709</v>
      </c>
      <c r="O72" s="318" t="s">
        <v>2967</v>
      </c>
      <c r="P72"/>
    </row>
    <row r="73" spans="1:16" ht="30" customHeight="1">
      <c r="A73" s="127">
        <v>83610</v>
      </c>
      <c r="B73" s="128" t="s">
        <v>3229</v>
      </c>
      <c r="L73" s="316">
        <v>83703</v>
      </c>
      <c r="M73" s="320" t="s">
        <v>3041</v>
      </c>
      <c r="N73" s="318" t="s">
        <v>709</v>
      </c>
      <c r="O73" s="318" t="s">
        <v>3013</v>
      </c>
      <c r="P73"/>
    </row>
    <row r="74" spans="1:16" ht="45" customHeight="1">
      <c r="A74" s="127">
        <v>83611</v>
      </c>
      <c r="B74" s="128"/>
      <c r="L74" s="316">
        <v>83714</v>
      </c>
      <c r="M74" s="321" t="s">
        <v>3041</v>
      </c>
      <c r="N74" s="318" t="s">
        <v>709</v>
      </c>
      <c r="O74" s="318" t="s">
        <v>3013</v>
      </c>
      <c r="P74"/>
    </row>
    <row r="75" spans="1:16" ht="15" customHeight="1">
      <c r="A75" s="127">
        <v>83612</v>
      </c>
      <c r="B75" s="128"/>
      <c r="L75" s="316">
        <v>83622</v>
      </c>
      <c r="M75" s="318" t="s">
        <v>3230</v>
      </c>
      <c r="N75" s="318" t="s">
        <v>709</v>
      </c>
      <c r="O75" s="318" t="s">
        <v>2967</v>
      </c>
      <c r="P75"/>
    </row>
    <row r="76" spans="1:16" ht="15" customHeight="1">
      <c r="A76" s="127">
        <v>83612</v>
      </c>
      <c r="B76" s="128" t="s">
        <v>3009</v>
      </c>
      <c r="L76" s="316">
        <v>83463</v>
      </c>
      <c r="M76" s="318" t="s">
        <v>3231</v>
      </c>
      <c r="N76" s="318" t="s">
        <v>709</v>
      </c>
      <c r="O76" s="318" t="s">
        <v>2953</v>
      </c>
      <c r="P76"/>
    </row>
    <row r="77" spans="1:16" ht="15" customHeight="1">
      <c r="A77" s="127">
        <v>83615</v>
      </c>
      <c r="B77" s="128" t="s">
        <v>3172</v>
      </c>
      <c r="L77" s="316">
        <v>83623</v>
      </c>
      <c r="M77" s="318" t="s">
        <v>3057</v>
      </c>
      <c r="N77" s="318" t="s">
        <v>709</v>
      </c>
      <c r="O77" s="318" t="s">
        <v>3013</v>
      </c>
      <c r="P77"/>
    </row>
    <row r="78" spans="1:16" ht="15" customHeight="1">
      <c r="A78" s="127">
        <v>83615</v>
      </c>
      <c r="B78" s="128" t="s">
        <v>3202</v>
      </c>
      <c r="L78" s="316">
        <v>83330</v>
      </c>
      <c r="M78" s="318" t="s">
        <v>3232</v>
      </c>
      <c r="N78" s="318" t="s">
        <v>709</v>
      </c>
      <c r="O78" s="318" t="s">
        <v>2960</v>
      </c>
      <c r="P78"/>
    </row>
    <row r="79" spans="1:16" ht="30" customHeight="1">
      <c r="A79" s="127">
        <v>83616</v>
      </c>
      <c r="B79" s="128" t="s">
        <v>3211</v>
      </c>
      <c r="L79" s="316">
        <v>83624</v>
      </c>
      <c r="M79" s="318" t="s">
        <v>3233</v>
      </c>
      <c r="N79" s="318" t="s">
        <v>709</v>
      </c>
      <c r="O79" s="318" t="s">
        <v>3013</v>
      </c>
      <c r="P79"/>
    </row>
    <row r="80" spans="1:16" ht="30" customHeight="1">
      <c r="A80" s="127">
        <v>83617</v>
      </c>
      <c r="B80" s="128" t="s">
        <v>3216</v>
      </c>
      <c r="L80" s="316">
        <v>83625</v>
      </c>
      <c r="M80" s="318" t="s">
        <v>3234</v>
      </c>
      <c r="N80" s="318" t="s">
        <v>709</v>
      </c>
      <c r="O80" s="318" t="s">
        <v>3013</v>
      </c>
      <c r="P80"/>
    </row>
    <row r="81" spans="1:16" ht="30" customHeight="1">
      <c r="A81" s="127">
        <v>83617</v>
      </c>
      <c r="B81" s="128" t="s">
        <v>3232</v>
      </c>
      <c r="L81" s="316">
        <v>83626</v>
      </c>
      <c r="M81" s="318" t="s">
        <v>3235</v>
      </c>
      <c r="N81" s="318" t="s">
        <v>709</v>
      </c>
      <c r="O81" s="318" t="s">
        <v>2986</v>
      </c>
      <c r="P81"/>
    </row>
    <row r="82" spans="1:16" ht="30" customHeight="1">
      <c r="A82" s="127">
        <v>83619</v>
      </c>
      <c r="B82" s="128" t="s">
        <v>3236</v>
      </c>
      <c r="L82" s="316">
        <v>83332</v>
      </c>
      <c r="M82" s="318" t="s">
        <v>3236</v>
      </c>
      <c r="N82" s="318" t="s">
        <v>709</v>
      </c>
      <c r="O82" s="318" t="s">
        <v>2960</v>
      </c>
      <c r="P82"/>
    </row>
    <row r="83" spans="1:16" ht="30" customHeight="1">
      <c r="A83" s="127">
        <v>83622</v>
      </c>
      <c r="B83" s="128" t="s">
        <v>3237</v>
      </c>
      <c r="L83" s="316">
        <v>83333</v>
      </c>
      <c r="M83" s="318" t="s">
        <v>3238</v>
      </c>
      <c r="N83" s="318" t="s">
        <v>709</v>
      </c>
      <c r="O83" s="318" t="s">
        <v>2960</v>
      </c>
      <c r="P83"/>
    </row>
    <row r="84" spans="1:16" ht="15" customHeight="1">
      <c r="A84" s="127">
        <v>83623</v>
      </c>
      <c r="B84" s="128" t="s">
        <v>3239</v>
      </c>
      <c r="L84" s="316">
        <v>97834</v>
      </c>
      <c r="M84" s="318" t="s">
        <v>3205</v>
      </c>
      <c r="N84" s="318" t="s">
        <v>1149</v>
      </c>
      <c r="O84" s="318" t="s">
        <v>2967</v>
      </c>
      <c r="P84"/>
    </row>
    <row r="85" spans="1:16" ht="15" customHeight="1">
      <c r="A85" s="127">
        <v>83624</v>
      </c>
      <c r="B85" s="128" t="s">
        <v>3240</v>
      </c>
      <c r="L85" s="316">
        <v>83627</v>
      </c>
      <c r="M85" s="318" t="s">
        <v>3241</v>
      </c>
      <c r="N85" s="318" t="s">
        <v>709</v>
      </c>
      <c r="O85" s="318" t="s">
        <v>3013</v>
      </c>
      <c r="P85"/>
    </row>
    <row r="86" spans="1:16" ht="15" customHeight="1">
      <c r="A86" s="127">
        <v>83626</v>
      </c>
      <c r="B86" s="128" t="s">
        <v>3242</v>
      </c>
      <c r="L86" s="316">
        <v>83334</v>
      </c>
      <c r="M86" s="318" t="s">
        <v>3243</v>
      </c>
      <c r="N86" s="318" t="s">
        <v>709</v>
      </c>
      <c r="O86" s="318" t="s">
        <v>2960</v>
      </c>
      <c r="P86"/>
    </row>
    <row r="87" spans="1:16" ht="15" customHeight="1">
      <c r="A87" s="127">
        <v>83627</v>
      </c>
      <c r="B87" s="128" t="s">
        <v>3244</v>
      </c>
      <c r="L87" s="316">
        <v>97906</v>
      </c>
      <c r="M87" s="318" t="s">
        <v>3207</v>
      </c>
      <c r="N87" s="318" t="s">
        <v>1149</v>
      </c>
      <c r="O87" s="318" t="s">
        <v>2967</v>
      </c>
      <c r="P87"/>
    </row>
    <row r="88" spans="1:16" ht="30" customHeight="1">
      <c r="A88" s="127">
        <v>83628</v>
      </c>
      <c r="B88" s="128" t="s">
        <v>3245</v>
      </c>
      <c r="L88" s="316">
        <v>83335</v>
      </c>
      <c r="M88" s="318" t="s">
        <v>3237</v>
      </c>
      <c r="N88" s="318" t="s">
        <v>709</v>
      </c>
      <c r="O88" s="318" t="s">
        <v>2960</v>
      </c>
      <c r="P88"/>
    </row>
    <row r="89" spans="1:16" ht="15" customHeight="1">
      <c r="A89" s="127">
        <v>83629</v>
      </c>
      <c r="B89" s="128" t="s">
        <v>3246</v>
      </c>
      <c r="L89" s="316">
        <v>97837</v>
      </c>
      <c r="M89" s="318" t="s">
        <v>3209</v>
      </c>
      <c r="N89" s="318" t="s">
        <v>1149</v>
      </c>
      <c r="O89" s="318" t="s">
        <v>2967</v>
      </c>
      <c r="P89"/>
    </row>
    <row r="90" spans="1:16" ht="30" customHeight="1">
      <c r="A90" s="127">
        <v>83630</v>
      </c>
      <c r="B90" s="128"/>
      <c r="L90" s="316">
        <v>83347</v>
      </c>
      <c r="M90" s="318" t="s">
        <v>3247</v>
      </c>
      <c r="N90" s="318" t="s">
        <v>709</v>
      </c>
      <c r="O90" s="318" t="s">
        <v>2960</v>
      </c>
      <c r="P90"/>
    </row>
    <row r="91" spans="1:16" ht="30" customHeight="1">
      <c r="A91" s="127">
        <v>83631</v>
      </c>
      <c r="B91" s="128"/>
      <c r="L91" s="316">
        <v>83337</v>
      </c>
      <c r="M91" s="318" t="s">
        <v>3248</v>
      </c>
      <c r="N91" s="318" t="s">
        <v>709</v>
      </c>
      <c r="O91" s="318" t="s">
        <v>2960</v>
      </c>
      <c r="P91"/>
    </row>
    <row r="92" spans="1:16" ht="15" customHeight="1">
      <c r="A92" s="127">
        <v>83631</v>
      </c>
      <c r="B92" s="128" t="s">
        <v>3249</v>
      </c>
      <c r="L92" s="316">
        <v>83243</v>
      </c>
      <c r="M92" s="318" t="s">
        <v>3250</v>
      </c>
      <c r="N92" s="318" t="s">
        <v>709</v>
      </c>
      <c r="O92" s="318" t="s">
        <v>2953</v>
      </c>
    </row>
    <row r="93" spans="1:16" ht="15" customHeight="1">
      <c r="A93" s="127">
        <v>83632</v>
      </c>
      <c r="B93" s="128" t="s">
        <v>2999</v>
      </c>
      <c r="L93" s="316">
        <v>83628</v>
      </c>
      <c r="M93" s="318" t="s">
        <v>3251</v>
      </c>
      <c r="N93" s="318" t="s">
        <v>709</v>
      </c>
      <c r="O93" s="318" t="s">
        <v>2986</v>
      </c>
    </row>
    <row r="94" spans="1:16">
      <c r="A94" s="127">
        <v>83633</v>
      </c>
      <c r="B94" s="128" t="s">
        <v>3177</v>
      </c>
      <c r="L94" s="316">
        <v>83629</v>
      </c>
      <c r="M94" s="318" t="s">
        <v>3252</v>
      </c>
      <c r="N94" s="318" t="s">
        <v>709</v>
      </c>
      <c r="O94" s="318" t="s">
        <v>2967</v>
      </c>
    </row>
    <row r="95" spans="1:16">
      <c r="A95" s="127">
        <v>83634</v>
      </c>
      <c r="B95" s="128" t="s">
        <v>3198</v>
      </c>
      <c r="L95" s="316">
        <v>97907</v>
      </c>
      <c r="M95" s="318" t="s">
        <v>3210</v>
      </c>
      <c r="N95" s="318" t="s">
        <v>1149</v>
      </c>
      <c r="O95" s="318" t="s">
        <v>2967</v>
      </c>
    </row>
    <row r="96" spans="1:16">
      <c r="A96" s="127">
        <v>83635</v>
      </c>
      <c r="B96" s="128" t="s">
        <v>3238</v>
      </c>
      <c r="L96" s="316">
        <v>83630</v>
      </c>
      <c r="M96" s="318" t="s">
        <v>3253</v>
      </c>
      <c r="N96" s="318" t="s">
        <v>709</v>
      </c>
      <c r="O96" s="318" t="s">
        <v>2986</v>
      </c>
    </row>
    <row r="97" spans="1:15">
      <c r="A97" s="127">
        <v>83635</v>
      </c>
      <c r="B97" s="128" t="s">
        <v>3243</v>
      </c>
      <c r="L97" s="316">
        <v>83631</v>
      </c>
      <c r="M97" s="318" t="s">
        <v>3021</v>
      </c>
      <c r="N97" s="318" t="s">
        <v>709</v>
      </c>
      <c r="O97" s="318" t="s">
        <v>3013</v>
      </c>
    </row>
    <row r="98" spans="1:15">
      <c r="A98" s="127">
        <v>83635</v>
      </c>
      <c r="B98" s="128" t="s">
        <v>3247</v>
      </c>
      <c r="L98" s="316">
        <v>83632</v>
      </c>
      <c r="M98" s="318" t="s">
        <v>3108</v>
      </c>
      <c r="N98" s="318" t="s">
        <v>709</v>
      </c>
      <c r="O98" s="318" t="s">
        <v>2967</v>
      </c>
    </row>
    <row r="99" spans="1:15">
      <c r="A99" s="127">
        <v>83636</v>
      </c>
      <c r="B99" s="128" t="s">
        <v>3254</v>
      </c>
      <c r="L99" s="316">
        <v>83245</v>
      </c>
      <c r="M99" s="318" t="s">
        <v>3255</v>
      </c>
      <c r="N99" s="318" t="s">
        <v>709</v>
      </c>
      <c r="O99" s="318" t="s">
        <v>2953</v>
      </c>
    </row>
    <row r="100" spans="1:15">
      <c r="A100" s="127">
        <v>83637</v>
      </c>
      <c r="B100" s="128" t="s">
        <v>3256</v>
      </c>
      <c r="L100" s="316">
        <v>97908</v>
      </c>
      <c r="M100" s="318" t="s">
        <v>3212</v>
      </c>
      <c r="N100" s="318" t="s">
        <v>1149</v>
      </c>
      <c r="O100" s="318" t="s">
        <v>2967</v>
      </c>
    </row>
    <row r="101" spans="1:15">
      <c r="A101" s="127">
        <v>83638</v>
      </c>
      <c r="B101" s="128" t="s">
        <v>3257</v>
      </c>
      <c r="L101" s="316">
        <v>97909</v>
      </c>
      <c r="M101" s="318" t="s">
        <v>3213</v>
      </c>
      <c r="N101" s="318" t="s">
        <v>1149</v>
      </c>
      <c r="O101" s="318" t="s">
        <v>2967</v>
      </c>
    </row>
    <row r="102" spans="1:15">
      <c r="A102" s="127">
        <v>83639</v>
      </c>
      <c r="B102" s="128" t="s">
        <v>3258</v>
      </c>
      <c r="L102" s="316">
        <v>83338</v>
      </c>
      <c r="M102" s="318" t="s">
        <v>3239</v>
      </c>
      <c r="N102" s="318" t="s">
        <v>709</v>
      </c>
      <c r="O102" s="318" t="s">
        <v>2960</v>
      </c>
    </row>
    <row r="103" spans="1:15">
      <c r="A103" s="127">
        <v>83641</v>
      </c>
      <c r="B103" s="128" t="s">
        <v>3259</v>
      </c>
      <c r="L103" s="316">
        <v>97910</v>
      </c>
      <c r="M103" s="318" t="s">
        <v>3214</v>
      </c>
      <c r="N103" s="318" t="s">
        <v>1149</v>
      </c>
      <c r="O103" s="318" t="s">
        <v>2986</v>
      </c>
    </row>
    <row r="104" spans="1:15">
      <c r="A104" s="127">
        <v>83642</v>
      </c>
      <c r="B104" s="128" t="s">
        <v>3260</v>
      </c>
      <c r="L104" s="316">
        <v>97911</v>
      </c>
      <c r="M104" s="318" t="s">
        <v>3215</v>
      </c>
      <c r="N104" s="318" t="s">
        <v>1149</v>
      </c>
      <c r="O104" s="318" t="s">
        <v>2967</v>
      </c>
    </row>
    <row r="105" spans="1:15">
      <c r="A105" s="127">
        <v>83643</v>
      </c>
      <c r="B105" s="128"/>
      <c r="L105" s="316">
        <v>83340</v>
      </c>
      <c r="M105" s="318" t="s">
        <v>3254</v>
      </c>
      <c r="N105" s="318" t="s">
        <v>709</v>
      </c>
      <c r="O105" s="318" t="s">
        <v>2960</v>
      </c>
    </row>
    <row r="106" spans="1:15">
      <c r="A106" s="127">
        <v>83644</v>
      </c>
      <c r="B106" s="128"/>
      <c r="L106" s="316">
        <v>83341</v>
      </c>
      <c r="M106" s="318" t="s">
        <v>3261</v>
      </c>
      <c r="N106" s="318" t="s">
        <v>709</v>
      </c>
      <c r="O106" s="318" t="s">
        <v>2960</v>
      </c>
    </row>
    <row r="107" spans="1:15">
      <c r="A107" s="127">
        <v>83645</v>
      </c>
      <c r="B107" s="128" t="s">
        <v>3224</v>
      </c>
      <c r="L107" s="316">
        <v>83633</v>
      </c>
      <c r="M107" s="318" t="s">
        <v>3065</v>
      </c>
      <c r="N107" s="318" t="s">
        <v>709</v>
      </c>
      <c r="O107" s="318" t="s">
        <v>3013</v>
      </c>
    </row>
    <row r="108" spans="1:15">
      <c r="A108" s="127">
        <v>83646</v>
      </c>
      <c r="B108" s="128" t="s">
        <v>3262</v>
      </c>
      <c r="L108" s="316">
        <v>83634</v>
      </c>
      <c r="M108" s="318" t="s">
        <v>3000</v>
      </c>
      <c r="N108" s="318" t="s">
        <v>709</v>
      </c>
      <c r="O108" s="318" t="s">
        <v>3013</v>
      </c>
    </row>
    <row r="109" spans="1:15">
      <c r="A109" s="127">
        <v>83647</v>
      </c>
      <c r="B109" s="128" t="s">
        <v>3263</v>
      </c>
      <c r="L109" s="316">
        <v>83635</v>
      </c>
      <c r="M109" s="318" t="s">
        <v>3114</v>
      </c>
      <c r="N109" s="318" t="s">
        <v>709</v>
      </c>
      <c r="O109" s="318" t="s">
        <v>2967</v>
      </c>
    </row>
    <row r="110" spans="1:15">
      <c r="A110" s="127">
        <v>83648</v>
      </c>
      <c r="B110" s="128" t="s">
        <v>3264</v>
      </c>
      <c r="L110" s="316">
        <v>83464</v>
      </c>
      <c r="M110" s="318" t="s">
        <v>3265</v>
      </c>
      <c r="N110" s="318" t="s">
        <v>709</v>
      </c>
      <c r="O110" s="318" t="s">
        <v>2953</v>
      </c>
    </row>
    <row r="111" spans="1:15">
      <c r="A111" s="127">
        <v>83650</v>
      </c>
      <c r="B111" s="128" t="s">
        <v>3249</v>
      </c>
      <c r="L111" s="316">
        <v>83465</v>
      </c>
      <c r="M111" s="318" t="s">
        <v>3266</v>
      </c>
      <c r="N111" s="318" t="s">
        <v>709</v>
      </c>
      <c r="O111" s="318" t="s">
        <v>2953</v>
      </c>
    </row>
    <row r="112" spans="1:15">
      <c r="A112" s="127">
        <v>83650</v>
      </c>
      <c r="B112" s="128"/>
      <c r="L112" s="316">
        <v>83636</v>
      </c>
      <c r="M112" s="318" t="s">
        <v>3267</v>
      </c>
      <c r="N112" s="318" t="s">
        <v>709</v>
      </c>
      <c r="O112" s="318" t="s">
        <v>2967</v>
      </c>
    </row>
    <row r="113" spans="1:15">
      <c r="A113" s="127">
        <v>83651</v>
      </c>
      <c r="B113" s="128"/>
      <c r="L113" s="316">
        <v>83637</v>
      </c>
      <c r="M113" s="318" t="s">
        <v>3268</v>
      </c>
      <c r="N113" s="318" t="s">
        <v>709</v>
      </c>
      <c r="O113" s="318" t="s">
        <v>2967</v>
      </c>
    </row>
    <row r="114" spans="1:15">
      <c r="A114" s="127">
        <v>83652</v>
      </c>
      <c r="B114" s="137"/>
      <c r="L114" s="316">
        <v>83639</v>
      </c>
      <c r="M114" s="318" t="s">
        <v>3269</v>
      </c>
      <c r="N114" s="318" t="s">
        <v>709</v>
      </c>
      <c r="O114" s="318" t="s">
        <v>2986</v>
      </c>
    </row>
    <row r="115" spans="1:15">
      <c r="A115" s="127">
        <v>83653</v>
      </c>
      <c r="B115" s="137"/>
      <c r="L115" s="316">
        <v>83638</v>
      </c>
      <c r="M115" s="318" t="s">
        <v>3121</v>
      </c>
      <c r="N115" s="318" t="s">
        <v>709</v>
      </c>
      <c r="O115" s="318" t="s">
        <v>2967</v>
      </c>
    </row>
    <row r="116" spans="1:15">
      <c r="A116" s="127">
        <v>83654</v>
      </c>
      <c r="B116" s="128" t="s">
        <v>3255</v>
      </c>
      <c r="L116" s="316">
        <v>83640</v>
      </c>
      <c r="M116" s="318" t="s">
        <v>3270</v>
      </c>
      <c r="N116" s="318" t="s">
        <v>709</v>
      </c>
      <c r="O116" s="318" t="s">
        <v>2967</v>
      </c>
    </row>
    <row r="117" spans="1:15">
      <c r="A117" s="127">
        <v>83655</v>
      </c>
      <c r="B117" s="128" t="s">
        <v>3271</v>
      </c>
      <c r="L117" s="316">
        <v>83641</v>
      </c>
      <c r="M117" s="318" t="s">
        <v>3272</v>
      </c>
      <c r="N117" s="318" t="s">
        <v>709</v>
      </c>
      <c r="O117" s="318" t="s">
        <v>2986</v>
      </c>
    </row>
    <row r="118" spans="1:15">
      <c r="A118" s="127">
        <v>83656</v>
      </c>
      <c r="B118" s="128" t="s">
        <v>3271</v>
      </c>
      <c r="L118" s="316">
        <v>83642</v>
      </c>
      <c r="M118" s="318" t="s">
        <v>2991</v>
      </c>
      <c r="N118" s="318" t="s">
        <v>709</v>
      </c>
      <c r="O118" s="318" t="s">
        <v>3013</v>
      </c>
    </row>
    <row r="119" spans="1:15">
      <c r="A119" s="127">
        <v>83657</v>
      </c>
      <c r="B119" s="128" t="s">
        <v>3273</v>
      </c>
      <c r="L119" s="316">
        <v>83646</v>
      </c>
      <c r="M119" s="318" t="s">
        <v>2991</v>
      </c>
      <c r="N119" s="318" t="s">
        <v>709</v>
      </c>
      <c r="O119" s="318" t="s">
        <v>3013</v>
      </c>
    </row>
    <row r="120" spans="1:15">
      <c r="A120" s="127">
        <v>83660</v>
      </c>
      <c r="B120" s="128" t="s">
        <v>3200</v>
      </c>
      <c r="L120" s="316">
        <v>83680</v>
      </c>
      <c r="M120" s="318" t="s">
        <v>2991</v>
      </c>
      <c r="N120" s="318" t="s">
        <v>709</v>
      </c>
      <c r="O120" s="318" t="s">
        <v>3013</v>
      </c>
    </row>
    <row r="121" spans="1:15">
      <c r="A121" s="127">
        <v>83661</v>
      </c>
      <c r="B121" s="128" t="s">
        <v>3206</v>
      </c>
      <c r="L121" s="316">
        <v>83643</v>
      </c>
      <c r="M121" s="318" t="s">
        <v>3127</v>
      </c>
      <c r="N121" s="318" t="s">
        <v>709</v>
      </c>
      <c r="O121" s="318" t="s">
        <v>2967</v>
      </c>
    </row>
    <row r="122" spans="1:15">
      <c r="A122" s="127">
        <v>83666</v>
      </c>
      <c r="B122" s="128" t="s">
        <v>3231</v>
      </c>
      <c r="L122" s="316">
        <v>83644</v>
      </c>
      <c r="M122" s="318" t="s">
        <v>3274</v>
      </c>
      <c r="N122" s="318" t="s">
        <v>709</v>
      </c>
      <c r="O122" s="318" t="s">
        <v>2986</v>
      </c>
    </row>
    <row r="123" spans="1:15">
      <c r="A123" s="127">
        <v>83669</v>
      </c>
      <c r="B123" s="128" t="s">
        <v>3265</v>
      </c>
      <c r="L123" s="316">
        <v>83645</v>
      </c>
      <c r="M123" s="318" t="s">
        <v>3132</v>
      </c>
      <c r="N123" s="318" t="s">
        <v>709</v>
      </c>
      <c r="O123" s="318" t="s">
        <v>2967</v>
      </c>
    </row>
    <row r="124" spans="1:15">
      <c r="A124" s="127">
        <v>83670</v>
      </c>
      <c r="B124" s="128" t="s">
        <v>3266</v>
      </c>
      <c r="L124" s="316">
        <v>83343</v>
      </c>
      <c r="M124" s="318" t="s">
        <v>3275</v>
      </c>
      <c r="N124" s="318" t="s">
        <v>709</v>
      </c>
      <c r="O124" s="318" t="s">
        <v>2960</v>
      </c>
    </row>
    <row r="125" spans="1:15">
      <c r="A125" s="127">
        <v>83672</v>
      </c>
      <c r="B125" s="128" t="s">
        <v>3276</v>
      </c>
      <c r="L125" s="316">
        <v>83256</v>
      </c>
      <c r="M125" s="318" t="s">
        <v>3277</v>
      </c>
      <c r="N125" s="318" t="s">
        <v>709</v>
      </c>
      <c r="O125" s="318" t="s">
        <v>2953</v>
      </c>
    </row>
    <row r="126" spans="1:15">
      <c r="A126" s="127">
        <v>83676</v>
      </c>
      <c r="B126" s="128" t="s">
        <v>3278</v>
      </c>
      <c r="L126" s="316">
        <v>83647</v>
      </c>
      <c r="M126" s="318" t="s">
        <v>3279</v>
      </c>
      <c r="N126" s="318" t="s">
        <v>709</v>
      </c>
      <c r="O126" s="318" t="s">
        <v>3013</v>
      </c>
    </row>
    <row r="127" spans="1:15">
      <c r="A127" s="127">
        <v>83677</v>
      </c>
      <c r="B127" s="128"/>
      <c r="L127" s="316">
        <v>83648</v>
      </c>
      <c r="M127" s="318" t="s">
        <v>3280</v>
      </c>
      <c r="N127" s="318" t="s">
        <v>709</v>
      </c>
      <c r="O127" s="318" t="s">
        <v>3013</v>
      </c>
    </row>
    <row r="128" spans="1:15">
      <c r="A128" s="127">
        <v>83680</v>
      </c>
      <c r="B128" s="128"/>
      <c r="L128" s="316">
        <v>83650</v>
      </c>
      <c r="M128" s="318" t="s">
        <v>3281</v>
      </c>
      <c r="N128" s="318" t="s">
        <v>709</v>
      </c>
      <c r="O128" s="318" t="s">
        <v>2986</v>
      </c>
    </row>
    <row r="129" spans="1:15">
      <c r="A129" s="127">
        <v>83686</v>
      </c>
      <c r="B129" s="128" t="s">
        <v>3200</v>
      </c>
      <c r="L129" s="316">
        <v>83344</v>
      </c>
      <c r="M129" s="318" t="s">
        <v>3257</v>
      </c>
      <c r="N129" s="318" t="s">
        <v>709</v>
      </c>
      <c r="O129" s="318" t="s">
        <v>2960</v>
      </c>
    </row>
    <row r="130" spans="1:15">
      <c r="A130" s="127">
        <v>83687</v>
      </c>
      <c r="B130" s="128" t="s">
        <v>3204</v>
      </c>
      <c r="L130" s="316">
        <v>83651</v>
      </c>
      <c r="M130" s="318" t="s">
        <v>3282</v>
      </c>
      <c r="N130" s="318" t="s">
        <v>709</v>
      </c>
      <c r="O130" s="318" t="s">
        <v>2986</v>
      </c>
    </row>
    <row r="131" spans="1:15">
      <c r="A131" s="127">
        <v>83702</v>
      </c>
      <c r="B131" s="128" t="s">
        <v>3283</v>
      </c>
      <c r="L131" s="316">
        <v>83652</v>
      </c>
      <c r="M131" s="318" t="s">
        <v>3282</v>
      </c>
      <c r="N131" s="318" t="s">
        <v>709</v>
      </c>
      <c r="O131" s="318" t="s">
        <v>2986</v>
      </c>
    </row>
    <row r="132" spans="1:15">
      <c r="A132" s="127">
        <v>83703</v>
      </c>
      <c r="B132" s="128" t="s">
        <v>3284</v>
      </c>
      <c r="L132" s="316">
        <v>83653</v>
      </c>
      <c r="M132" s="318" t="s">
        <v>3282</v>
      </c>
      <c r="N132" s="318" t="s">
        <v>709</v>
      </c>
      <c r="O132" s="318" t="s">
        <v>2986</v>
      </c>
    </row>
    <row r="133" spans="1:15">
      <c r="A133" s="127">
        <v>83704</v>
      </c>
      <c r="B133" s="128" t="s">
        <v>3265</v>
      </c>
      <c r="L133" s="316">
        <v>83685</v>
      </c>
      <c r="M133" s="318" t="s">
        <v>3282</v>
      </c>
      <c r="N133" s="318" t="s">
        <v>709</v>
      </c>
      <c r="O133" s="318" t="s">
        <v>2986</v>
      </c>
    </row>
    <row r="134" spans="1:15">
      <c r="A134" s="127">
        <v>83705</v>
      </c>
      <c r="B134" s="128" t="s">
        <v>3266</v>
      </c>
      <c r="L134" s="316">
        <v>83686</v>
      </c>
      <c r="M134" s="318" t="s">
        <v>3282</v>
      </c>
      <c r="N134" s="318" t="s">
        <v>709</v>
      </c>
      <c r="O134" s="318" t="s">
        <v>2986</v>
      </c>
    </row>
    <row r="135" spans="1:15">
      <c r="A135" s="127">
        <v>83706</v>
      </c>
      <c r="B135" s="128" t="s">
        <v>3276</v>
      </c>
      <c r="L135" s="316">
        <v>83687</v>
      </c>
      <c r="M135" s="318" t="s">
        <v>3282</v>
      </c>
      <c r="N135" s="318" t="s">
        <v>709</v>
      </c>
      <c r="O135" s="318" t="s">
        <v>2986</v>
      </c>
    </row>
    <row r="136" spans="1:15">
      <c r="A136" s="127">
        <v>83709</v>
      </c>
      <c r="B136" s="128" t="s">
        <v>3273</v>
      </c>
      <c r="L136" s="316">
        <v>83654</v>
      </c>
      <c r="M136" s="318" t="s">
        <v>3137</v>
      </c>
      <c r="N136" s="318" t="s">
        <v>709</v>
      </c>
      <c r="O136" s="318" t="s">
        <v>2967</v>
      </c>
    </row>
    <row r="137" spans="1:15">
      <c r="A137" s="127">
        <v>83712</v>
      </c>
      <c r="B137" s="128" t="s">
        <v>3278</v>
      </c>
      <c r="L137" s="316">
        <v>83655</v>
      </c>
      <c r="M137" s="318" t="s">
        <v>3143</v>
      </c>
      <c r="N137" s="318" t="s">
        <v>709</v>
      </c>
      <c r="O137" s="318" t="s">
        <v>2967</v>
      </c>
    </row>
    <row r="138" spans="1:15">
      <c r="A138" s="127">
        <v>83713</v>
      </c>
      <c r="B138" s="128" t="s">
        <v>3271</v>
      </c>
      <c r="L138" s="316">
        <v>83466</v>
      </c>
      <c r="M138" s="318" t="s">
        <v>3285</v>
      </c>
      <c r="N138" s="318" t="s">
        <v>709</v>
      </c>
      <c r="O138" s="318" t="s">
        <v>2953</v>
      </c>
    </row>
    <row r="139" spans="1:15">
      <c r="A139" s="127">
        <v>83714</v>
      </c>
      <c r="B139" s="128" t="s">
        <v>3271</v>
      </c>
      <c r="L139" s="316">
        <v>83469</v>
      </c>
      <c r="M139" s="318" t="s">
        <v>3285</v>
      </c>
      <c r="N139" s="318" t="s">
        <v>709</v>
      </c>
      <c r="O139" s="318" t="s">
        <v>2953</v>
      </c>
    </row>
    <row r="140" spans="1:15">
      <c r="A140" s="127">
        <v>83714</v>
      </c>
      <c r="B140" s="128"/>
      <c r="L140" s="316">
        <v>83656</v>
      </c>
      <c r="M140" s="318" t="s">
        <v>3286</v>
      </c>
      <c r="N140" s="318" t="s">
        <v>709</v>
      </c>
      <c r="O140" s="318" t="s">
        <v>2967</v>
      </c>
    </row>
    <row r="141" spans="1:15">
      <c r="A141" s="127">
        <v>83716</v>
      </c>
      <c r="B141" s="128"/>
      <c r="L141" s="316">
        <v>97913</v>
      </c>
      <c r="M141" s="318" t="s">
        <v>3217</v>
      </c>
      <c r="N141" s="318" t="s">
        <v>1149</v>
      </c>
      <c r="O141" s="318" t="s">
        <v>2967</v>
      </c>
    </row>
    <row r="142" spans="1:15">
      <c r="A142" s="138">
        <v>97819</v>
      </c>
      <c r="B142" s="128" t="s">
        <v>2952</v>
      </c>
      <c r="L142" s="316">
        <v>83346</v>
      </c>
      <c r="M142" s="318" t="s">
        <v>3258</v>
      </c>
      <c r="N142" s="318" t="s">
        <v>709</v>
      </c>
      <c r="O142" s="318" t="s">
        <v>2960</v>
      </c>
    </row>
    <row r="143" spans="1:15">
      <c r="A143" s="138">
        <v>97834</v>
      </c>
      <c r="B143" s="128" t="s">
        <v>3287</v>
      </c>
      <c r="L143" s="316">
        <v>83657</v>
      </c>
      <c r="M143" s="318" t="s">
        <v>3288</v>
      </c>
      <c r="N143" s="318" t="s">
        <v>709</v>
      </c>
      <c r="O143" s="318" t="s">
        <v>2967</v>
      </c>
    </row>
    <row r="144" spans="1:15">
      <c r="A144" s="138">
        <v>97837</v>
      </c>
      <c r="B144" s="128" t="s">
        <v>2981</v>
      </c>
      <c r="L144" s="316">
        <v>97914</v>
      </c>
      <c r="M144" s="318" t="s">
        <v>3219</v>
      </c>
      <c r="N144" s="318" t="s">
        <v>1149</v>
      </c>
      <c r="O144" s="318" t="s">
        <v>2967</v>
      </c>
    </row>
    <row r="145" spans="1:15">
      <c r="A145" s="138">
        <v>97840</v>
      </c>
      <c r="B145" s="128" t="s">
        <v>2990</v>
      </c>
      <c r="L145" s="316">
        <v>97840</v>
      </c>
      <c r="M145" s="318" t="s">
        <v>3221</v>
      </c>
      <c r="N145" s="318" t="s">
        <v>1149</v>
      </c>
      <c r="O145" s="318" t="s">
        <v>2967</v>
      </c>
    </row>
    <row r="146" spans="1:15">
      <c r="A146" s="138">
        <v>97870</v>
      </c>
      <c r="B146" s="128" t="s">
        <v>3004</v>
      </c>
      <c r="L146" s="316">
        <v>83660</v>
      </c>
      <c r="M146" s="318" t="s">
        <v>3289</v>
      </c>
      <c r="N146" s="318" t="s">
        <v>709</v>
      </c>
      <c r="O146" s="318" t="s">
        <v>2967</v>
      </c>
    </row>
    <row r="147" spans="1:15" ht="15">
      <c r="A147" s="138">
        <v>97884</v>
      </c>
      <c r="B147" s="128" t="s">
        <v>3290</v>
      </c>
      <c r="L147" s="316">
        <v>83662</v>
      </c>
      <c r="M147" s="317" t="s">
        <v>3289</v>
      </c>
      <c r="N147" s="317" t="s">
        <v>709</v>
      </c>
      <c r="O147" s="318" t="s">
        <v>2967</v>
      </c>
    </row>
    <row r="148" spans="1:15">
      <c r="A148" s="138">
        <v>97901</v>
      </c>
      <c r="B148" s="128" t="s">
        <v>3291</v>
      </c>
      <c r="L148" s="316">
        <v>83336</v>
      </c>
      <c r="M148" s="318" t="s">
        <v>3240</v>
      </c>
      <c r="N148" s="318" t="s">
        <v>709</v>
      </c>
      <c r="O148" s="318" t="s">
        <v>2960</v>
      </c>
    </row>
    <row r="149" spans="1:15">
      <c r="A149" s="138">
        <v>97902</v>
      </c>
      <c r="B149" s="128" t="s">
        <v>3273</v>
      </c>
      <c r="L149" s="316">
        <v>83661</v>
      </c>
      <c r="M149" s="318" t="s">
        <v>3148</v>
      </c>
      <c r="N149" s="318" t="s">
        <v>709</v>
      </c>
      <c r="O149" s="318" t="s">
        <v>2967</v>
      </c>
    </row>
    <row r="150" spans="1:15">
      <c r="A150" s="138">
        <v>97903</v>
      </c>
      <c r="B150" s="128" t="s">
        <v>3292</v>
      </c>
      <c r="L150" s="316">
        <v>83348</v>
      </c>
      <c r="M150" s="318" t="s">
        <v>3259</v>
      </c>
      <c r="N150" s="318" t="s">
        <v>709</v>
      </c>
      <c r="O150" s="318" t="s">
        <v>2960</v>
      </c>
    </row>
    <row r="151" spans="1:15">
      <c r="A151" s="138">
        <v>97904</v>
      </c>
      <c r="B151" s="128"/>
      <c r="L151" s="316">
        <v>83850</v>
      </c>
      <c r="M151" s="318" t="s">
        <v>3293</v>
      </c>
      <c r="N151" s="318" t="s">
        <v>709</v>
      </c>
      <c r="O151" s="318" t="s">
        <v>2967</v>
      </c>
    </row>
    <row r="152" spans="1:15">
      <c r="A152" s="138">
        <v>97905</v>
      </c>
      <c r="B152" s="128"/>
      <c r="L152" s="316">
        <v>83262</v>
      </c>
      <c r="M152" s="318" t="s">
        <v>3294</v>
      </c>
      <c r="N152" s="318" t="s">
        <v>709</v>
      </c>
      <c r="O152" s="318" t="s">
        <v>2953</v>
      </c>
    </row>
    <row r="153" spans="1:15">
      <c r="A153" s="138">
        <v>97906</v>
      </c>
      <c r="B153" s="137"/>
      <c r="L153" s="316">
        <v>83666</v>
      </c>
      <c r="M153" s="318" t="s">
        <v>3025</v>
      </c>
      <c r="N153" s="318" t="s">
        <v>709</v>
      </c>
      <c r="O153" s="318" t="s">
        <v>3013</v>
      </c>
    </row>
    <row r="154" spans="1:15">
      <c r="A154" s="138">
        <v>97907</v>
      </c>
      <c r="B154" s="137"/>
      <c r="L154" s="316">
        <v>83201</v>
      </c>
      <c r="M154" s="322" t="s">
        <v>3271</v>
      </c>
      <c r="N154" s="318" t="s">
        <v>709</v>
      </c>
      <c r="O154" s="318" t="s">
        <v>2953</v>
      </c>
    </row>
    <row r="155" spans="1:15">
      <c r="A155" s="138">
        <v>97908</v>
      </c>
      <c r="B155" s="128" t="s">
        <v>2995</v>
      </c>
      <c r="L155" s="316">
        <v>83202</v>
      </c>
      <c r="M155" s="322" t="s">
        <v>3271</v>
      </c>
      <c r="N155" s="318" t="s">
        <v>709</v>
      </c>
      <c r="O155" s="318" t="s">
        <v>2953</v>
      </c>
    </row>
    <row r="156" spans="1:15">
      <c r="A156" s="138">
        <v>97909</v>
      </c>
      <c r="B156" s="128" t="s">
        <v>3183</v>
      </c>
      <c r="L156" s="316">
        <v>83203</v>
      </c>
      <c r="M156" s="322" t="s">
        <v>3271</v>
      </c>
      <c r="N156" s="318" t="s">
        <v>709</v>
      </c>
      <c r="O156" s="318" t="s">
        <v>2953</v>
      </c>
    </row>
    <row r="157" spans="1:15">
      <c r="A157" s="138">
        <v>97910</v>
      </c>
      <c r="B157" s="128" t="s">
        <v>3183</v>
      </c>
      <c r="L157" s="316">
        <v>83204</v>
      </c>
      <c r="M157" s="322" t="s">
        <v>3271</v>
      </c>
      <c r="N157" s="318" t="s">
        <v>709</v>
      </c>
      <c r="O157" s="318" t="s">
        <v>2953</v>
      </c>
    </row>
    <row r="158" spans="1:15">
      <c r="A158" s="138">
        <v>97911</v>
      </c>
      <c r="B158" s="128" t="s">
        <v>3183</v>
      </c>
      <c r="L158" s="316">
        <v>83205</v>
      </c>
      <c r="M158" s="322" t="s">
        <v>3271</v>
      </c>
      <c r="N158" s="318" t="s">
        <v>709</v>
      </c>
      <c r="O158" s="318" t="s">
        <v>2953</v>
      </c>
    </row>
    <row r="159" spans="1:15">
      <c r="A159" s="138">
        <v>97913</v>
      </c>
      <c r="B159" s="128" t="s">
        <v>3235</v>
      </c>
      <c r="L159" s="316">
        <v>83206</v>
      </c>
      <c r="M159" s="322" t="s">
        <v>3271</v>
      </c>
      <c r="N159" s="318" t="s">
        <v>709</v>
      </c>
      <c r="O159" s="318" t="s">
        <v>2953</v>
      </c>
    </row>
    <row r="160" spans="1:15">
      <c r="A160" s="138">
        <v>97914</v>
      </c>
      <c r="B160" s="128" t="s">
        <v>3251</v>
      </c>
      <c r="L160" s="316">
        <v>83209</v>
      </c>
      <c r="M160" s="322" t="s">
        <v>3271</v>
      </c>
      <c r="N160" s="318" t="s">
        <v>709</v>
      </c>
      <c r="O160" s="318" t="s">
        <v>2953</v>
      </c>
    </row>
    <row r="161" spans="1:15">
      <c r="A161" s="138">
        <v>97918</v>
      </c>
      <c r="B161" s="128" t="s">
        <v>3253</v>
      </c>
      <c r="L161" s="316">
        <v>83547</v>
      </c>
      <c r="M161" s="318" t="s">
        <v>3295</v>
      </c>
      <c r="N161" s="318" t="s">
        <v>709</v>
      </c>
      <c r="O161" s="318" t="s">
        <v>2967</v>
      </c>
    </row>
    <row r="162" spans="1:15">
      <c r="A162" s="138">
        <v>97920</v>
      </c>
      <c r="B162" s="128" t="s">
        <v>3269</v>
      </c>
      <c r="L162" s="316">
        <v>83349</v>
      </c>
      <c r="M162" s="318" t="s">
        <v>3242</v>
      </c>
      <c r="N162" s="318" t="s">
        <v>709</v>
      </c>
      <c r="O162" s="318" t="s">
        <v>2960</v>
      </c>
    </row>
    <row r="163" spans="1:15">
      <c r="A163" s="139"/>
      <c r="B163" s="128" t="s">
        <v>3272</v>
      </c>
      <c r="L163" s="316">
        <v>97870</v>
      </c>
      <c r="M163" s="318" t="s">
        <v>3223</v>
      </c>
      <c r="N163" s="318" t="s">
        <v>1149</v>
      </c>
      <c r="O163" s="318" t="s">
        <v>2967</v>
      </c>
    </row>
    <row r="164" spans="1:15">
      <c r="A164" s="139"/>
      <c r="B164" s="128" t="s">
        <v>3274</v>
      </c>
      <c r="L164" s="316">
        <v>83549</v>
      </c>
      <c r="M164" s="318" t="s">
        <v>3154</v>
      </c>
      <c r="N164" s="318" t="s">
        <v>709</v>
      </c>
      <c r="O164" s="318" t="s">
        <v>2967</v>
      </c>
    </row>
    <row r="165" spans="1:15">
      <c r="A165" s="139"/>
      <c r="B165" s="128" t="s">
        <v>3281</v>
      </c>
      <c r="L165" s="316">
        <v>83271</v>
      </c>
      <c r="M165" s="318" t="s">
        <v>3291</v>
      </c>
      <c r="N165" s="318" t="s">
        <v>709</v>
      </c>
      <c r="O165" s="318" t="s">
        <v>2953</v>
      </c>
    </row>
    <row r="166" spans="1:15">
      <c r="A166" s="139"/>
      <c r="B166" s="128" t="s">
        <v>3296</v>
      </c>
      <c r="L166" s="316">
        <v>83467</v>
      </c>
      <c r="M166" s="318" t="s">
        <v>3273</v>
      </c>
      <c r="N166" s="318" t="s">
        <v>709</v>
      </c>
      <c r="O166" s="318" t="s">
        <v>2953</v>
      </c>
    </row>
    <row r="167" spans="1:15">
      <c r="A167" s="139"/>
      <c r="B167" s="128"/>
      <c r="L167" s="316">
        <v>83352</v>
      </c>
      <c r="M167" s="318" t="s">
        <v>3245</v>
      </c>
      <c r="N167" s="318" t="s">
        <v>709</v>
      </c>
      <c r="O167" s="318" t="s">
        <v>2960</v>
      </c>
    </row>
    <row r="168" spans="1:15">
      <c r="A168" s="140"/>
      <c r="B168" s="140"/>
      <c r="L168" s="316">
        <v>83277</v>
      </c>
      <c r="M168" s="318" t="s">
        <v>3292</v>
      </c>
      <c r="N168" s="318" t="s">
        <v>709</v>
      </c>
      <c r="O168" s="318" t="s">
        <v>2953</v>
      </c>
    </row>
    <row r="169" spans="1:15">
      <c r="A169" s="140"/>
      <c r="B169" s="140"/>
      <c r="L169" s="316">
        <v>83669</v>
      </c>
      <c r="M169" s="318" t="s">
        <v>2975</v>
      </c>
      <c r="N169" s="318" t="s">
        <v>709</v>
      </c>
      <c r="O169" s="318" t="s">
        <v>3013</v>
      </c>
    </row>
    <row r="170" spans="1:15">
      <c r="A170" s="140"/>
      <c r="B170" s="140"/>
      <c r="L170" s="316">
        <v>83210</v>
      </c>
      <c r="M170" s="318" t="s">
        <v>3297</v>
      </c>
      <c r="N170" s="318" t="s">
        <v>709</v>
      </c>
      <c r="O170" s="318" t="s">
        <v>2953</v>
      </c>
    </row>
    <row r="171" spans="1:15">
      <c r="L171" s="316">
        <v>83353</v>
      </c>
      <c r="M171" s="318" t="s">
        <v>3260</v>
      </c>
      <c r="N171" s="318" t="s">
        <v>709</v>
      </c>
      <c r="O171" s="318" t="s">
        <v>2960</v>
      </c>
    </row>
    <row r="172" spans="1:15">
      <c r="L172" s="316">
        <v>83670</v>
      </c>
      <c r="M172" s="318" t="s">
        <v>3298</v>
      </c>
      <c r="N172" s="318" t="s">
        <v>709</v>
      </c>
      <c r="O172" s="318" t="s">
        <v>2967</v>
      </c>
    </row>
    <row r="173" spans="1:15">
      <c r="L173" s="316">
        <v>83468</v>
      </c>
      <c r="M173" s="318" t="s">
        <v>3278</v>
      </c>
      <c r="N173" s="318" t="s">
        <v>709</v>
      </c>
      <c r="O173" s="318" t="s">
        <v>2953</v>
      </c>
    </row>
    <row r="174" spans="1:15">
      <c r="L174" s="316">
        <v>83301</v>
      </c>
      <c r="M174" s="318" t="s">
        <v>3249</v>
      </c>
      <c r="N174" s="318" t="s">
        <v>709</v>
      </c>
      <c r="O174" s="318" t="s">
        <v>2960</v>
      </c>
    </row>
    <row r="175" spans="1:15">
      <c r="L175" s="316">
        <v>83302</v>
      </c>
      <c r="M175" s="318" t="s">
        <v>3249</v>
      </c>
      <c r="N175" s="318" t="s">
        <v>709</v>
      </c>
      <c r="O175" s="318" t="s">
        <v>2960</v>
      </c>
    </row>
    <row r="176" spans="1:15" ht="15">
      <c r="L176" s="316">
        <v>83303</v>
      </c>
      <c r="M176" s="317" t="s">
        <v>3249</v>
      </c>
      <c r="N176" s="317" t="s">
        <v>709</v>
      </c>
      <c r="O176" s="317" t="s">
        <v>2960</v>
      </c>
    </row>
    <row r="177" spans="12:15">
      <c r="L177" s="316">
        <v>97884</v>
      </c>
      <c r="M177" s="318" t="s">
        <v>3227</v>
      </c>
      <c r="N177" s="318" t="s">
        <v>1149</v>
      </c>
      <c r="O177" s="318" t="s">
        <v>2967</v>
      </c>
    </row>
    <row r="178" spans="12:15">
      <c r="L178" s="316">
        <v>97918</v>
      </c>
      <c r="M178" s="318" t="s">
        <v>3228</v>
      </c>
      <c r="N178" s="318" t="s">
        <v>1149</v>
      </c>
      <c r="O178" s="318" t="s">
        <v>2967</v>
      </c>
    </row>
    <row r="179" spans="12:15">
      <c r="L179" s="316">
        <v>83672</v>
      </c>
      <c r="M179" s="318" t="s">
        <v>3160</v>
      </c>
      <c r="N179" s="318" t="s">
        <v>709</v>
      </c>
      <c r="O179" s="318" t="s">
        <v>2967</v>
      </c>
    </row>
    <row r="180" spans="12:15">
      <c r="L180" s="316">
        <v>83355</v>
      </c>
      <c r="M180" s="318" t="s">
        <v>3246</v>
      </c>
      <c r="N180" s="318" t="s">
        <v>709</v>
      </c>
      <c r="O180" s="318" t="s">
        <v>2960</v>
      </c>
    </row>
    <row r="181" spans="12:15">
      <c r="L181" s="316">
        <v>97920</v>
      </c>
      <c r="M181" s="318" t="s">
        <v>3229</v>
      </c>
      <c r="N181" s="318" t="s">
        <v>1149</v>
      </c>
      <c r="O181" s="318" t="s">
        <v>2967</v>
      </c>
    </row>
    <row r="182" spans="12:15">
      <c r="L182" s="316">
        <v>83676</v>
      </c>
      <c r="M182" s="318" t="s">
        <v>3296</v>
      </c>
      <c r="N182" s="318" t="s">
        <v>709</v>
      </c>
      <c r="O182" s="318" t="s">
        <v>2986</v>
      </c>
    </row>
    <row r="183" spans="12:15">
      <c r="L183" s="316">
        <v>83676</v>
      </c>
      <c r="M183" s="318" t="s">
        <v>3296</v>
      </c>
      <c r="N183" s="318" t="s">
        <v>709</v>
      </c>
      <c r="O183" s="318" t="s">
        <v>2986</v>
      </c>
    </row>
    <row r="184" spans="12:15">
      <c r="L184" s="316">
        <v>83677</v>
      </c>
      <c r="M184" s="318" t="s">
        <v>3167</v>
      </c>
      <c r="N184" s="318" t="s">
        <v>709</v>
      </c>
      <c r="O184" s="318" t="s">
        <v>2967</v>
      </c>
    </row>
  </sheetData>
  <mergeCells count="2">
    <mergeCell ref="C1:D1"/>
    <mergeCell ref="E28:F28"/>
  </mergeCells>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B1:J51"/>
  <sheetViews>
    <sheetView workbookViewId="0"/>
  </sheetViews>
  <sheetFormatPr defaultColWidth="8.85546875" defaultRowHeight="12.75" customHeight="1" zeroHeight="1"/>
  <cols>
    <col min="1" max="1" width="1.42578125" style="335" customWidth="1"/>
    <col min="2" max="2" width="11" style="335" bestFit="1" customWidth="1"/>
    <col min="3" max="3" width="54.140625" style="335" customWidth="1"/>
    <col min="4" max="4" width="53.140625" style="335" customWidth="1"/>
    <col min="5" max="5" width="9.140625" style="335"/>
    <col min="6" max="6" width="12.5703125" style="335" bestFit="1" customWidth="1"/>
    <col min="7" max="9" width="9.140625" style="335"/>
    <col min="10" max="10" width="39.5703125" style="335" customWidth="1"/>
    <col min="11" max="16384" width="8.85546875" style="335"/>
  </cols>
  <sheetData>
    <row r="1" spans="2:10">
      <c r="C1" s="338" t="s">
        <v>5</v>
      </c>
      <c r="D1" s="338" t="s">
        <v>6</v>
      </c>
    </row>
    <row r="2" spans="2:10"/>
    <row r="3" spans="2:10">
      <c r="B3" s="339" t="s">
        <v>7</v>
      </c>
      <c r="F3" s="335" t="s">
        <v>8</v>
      </c>
    </row>
    <row r="4" spans="2:10" ht="51" customHeight="1">
      <c r="B4" s="340" t="s">
        <v>9</v>
      </c>
      <c r="C4" s="337" t="e">
        <f>"Enclosed is a Commercial &amp; Industrial Energy Efficiency incentive check for energy efficiency designed and built into the "&amp;C11&amp; " " &amp; C9&amp;" in "&amp;E8&amp;" (Commercial &amp; Industrial Energy Efficiency Application "&amp;LEFT(#REF!,2)&amp;"-"&amp;RIGHT(#REF!,3)&amp;").  The $"&amp;'Final Application'!#REF!&amp;" payment is our way of reminding you that energy efficiency pays."</f>
        <v>#REF!</v>
      </c>
      <c r="D4" s="337" t="e">
        <f>"Enclosed is a Commercial &amp; Industrial Energy Efficiency incentive check for energy efficiency designed and built into the "&amp;C11&amp; " " &amp; C9 &amp; " in "&amp;E8&amp;" (Commercial &amp; Industrial Energy Efficiency Application "&amp;LEFT(#REF!,2)&amp;"-"&amp;RIGHT(#REF!,3)&amp;").  The $"&amp;'Final Application'!#REF!&amp;" payment is our way of reminding you that energy efficiency pays."</f>
        <v>#REF!</v>
      </c>
      <c r="F4" s="341"/>
      <c r="G4" s="342"/>
      <c r="H4" s="342"/>
      <c r="I4" s="342"/>
      <c r="J4" s="343" t="str">
        <f>IF(I4="",IF(H4="",IF(G4="",IF(F4="","No Primary Contact Entered in Application",F4),G4),H4),I4)</f>
        <v>No Primary Contact Entered in Application</v>
      </c>
    </row>
    <row r="5" spans="2:10" ht="60.75" customHeight="1">
      <c r="B5" s="340" t="s">
        <v>10</v>
      </c>
      <c r="C5" s="337" t="e">
        <f>IF(C12=1,"We are glad to provide you with this incentive payment for the energy efficiency feature - "&amp;C51&amp;" - specified and installed in this facility.","We are glad to provide you with this incentive payment for the energy efficiency features - "&amp;C51&amp;" - specified and installed in this facility.")</f>
        <v>#REF!</v>
      </c>
      <c r="D5" s="337" t="e">
        <f>IF(C12=1,"We are glad to provide you with this incentive payment for "&amp;C9&amp;" for the energy efficiency feature - "&amp;C51&amp;" - specified and installed into their facility.","We are glad to provide you with this incentive payment for "&amp;C9&amp;" for the energy efficiency features - "&amp;C51&amp;" - specified and installed in their facility.")</f>
        <v>#REF!</v>
      </c>
      <c r="F5" s="344"/>
      <c r="G5" s="345"/>
      <c r="H5" s="345"/>
      <c r="I5" s="345"/>
      <c r="J5" s="346" t="str">
        <f>IF(I5="",IF(H5="",IF(G5="",IF(F5="","No Third Party Contact Entered in Application",F5),G5),H5),I5)</f>
        <v>No Third Party Contact Entered in Application</v>
      </c>
    </row>
    <row r="6" spans="2:10" ht="51">
      <c r="B6" s="340" t="s">
        <v>11</v>
      </c>
      <c r="C6" s="337" t="str">
        <f>"Please feel free to share your energy-saving story with others.  With Idaho Power's incentives available, energy efficiency pays more than ever."</f>
        <v>Please feel free to share your energy-saving story with others.  With Idaho Power's incentives available, energy efficiency pays more than ever.</v>
      </c>
      <c r="D6" s="337" t="str">
        <f>"We appreciate their investment in energy efficiency and your interest in helping them.  We both know that they will appreciate electric bills that are lower than they otherwise would have been."</f>
        <v>We appreciate their investment in energy efficiency and your interest in helping them.  We both know that they will appreciate electric bills that are lower than they otherwise would have been.</v>
      </c>
    </row>
    <row r="7" spans="2:10" ht="51">
      <c r="B7" s="340" t="s">
        <v>12</v>
      </c>
      <c r="C7" s="337" t="str">
        <f>"We appreciate working with you on this project and want to offer our help again.  When you have future energy-saving projects, just call me at "&amp;C10&amp;"."</f>
        <v>We appreciate working with you on this project and want to offer our help again.  When you have future energy-saving projects, just call me at (208) 388-6717.</v>
      </c>
      <c r="D7" s="337" t="str">
        <f>"With Idaho Power's incentives available, energy efficient designs pay more than ever.  If you have future energy-savings projects in any other facilities, we'd be glad to help again.  Just give me a call at "&amp;C10&amp;"."</f>
        <v>With Idaho Power's incentives available, energy efficient designs pay more than ever.  If you have future energy-savings projects in any other facilities, we'd be glad to help again.  Just give me a call at (208) 388-6717.</v>
      </c>
    </row>
    <row r="8" spans="2:10">
      <c r="B8" s="340" t="s">
        <v>13</v>
      </c>
      <c r="C8" s="347" t="s">
        <v>14</v>
      </c>
      <c r="D8" s="347"/>
      <c r="E8" s="347" t="e">
        <f>IF('Final Application'!#REF!="","???????",'Final Application'!#REF!)</f>
        <v>#REF!</v>
      </c>
      <c r="F8" s="335" t="s">
        <v>15</v>
      </c>
    </row>
    <row r="9" spans="2:10">
      <c r="B9" s="340" t="s">
        <v>16</v>
      </c>
      <c r="C9" s="348"/>
      <c r="D9" s="348"/>
      <c r="E9" s="335" t="s">
        <v>17</v>
      </c>
    </row>
    <row r="10" spans="2:10">
      <c r="B10" s="340" t="s">
        <v>18</v>
      </c>
      <c r="C10" s="347" t="s">
        <v>19</v>
      </c>
      <c r="D10" s="347" t="e">
        <f>#REF!</f>
        <v>#REF!</v>
      </c>
      <c r="E10" s="335" t="s">
        <v>20</v>
      </c>
    </row>
    <row r="11" spans="2:10">
      <c r="B11" s="340" t="s">
        <v>21</v>
      </c>
      <c r="C11" s="347" t="e">
        <f>IF('Final Application'!#REF!="","???????",IF('Final Application'!#REF!="new","new",IF('Final Application'!#REF!="remodel","remodeled",IF('Final Application'!#REF!="expansion","expanded",IF('Final Application'!#REF!="expansion &amp; remodel","expanded and remodeled")))))</f>
        <v>#REF!</v>
      </c>
      <c r="D11" s="347" t="e">
        <f>#REF! &amp; ", " &amp;#REF! &amp; " " &amp;#REF!</f>
        <v>#REF!</v>
      </c>
      <c r="E11" s="335" t="s">
        <v>22</v>
      </c>
    </row>
    <row r="12" spans="2:10">
      <c r="B12" s="340" t="s">
        <v>23</v>
      </c>
      <c r="C12" s="349" t="e">
        <f>COUNTIF('Final Application'!#REF!,"True")</f>
        <v>#REF!</v>
      </c>
      <c r="D12" s="347" t="e">
        <f>IF(C9="",IF('Final Application'!#REF!="","………built into the "&amp;C11&amp;" ??????? in "&amp;E8&amp;"……….","…….built into the "&amp;C11&amp;" "&amp;'Final Application'!#REF!&amp;" in "&amp;E8&amp;"……."),"…….built into the "&amp;C11&amp;" "&amp;C9&amp;" in "&amp;E8&amp;"…….")</f>
        <v>#REF!</v>
      </c>
    </row>
    <row r="13" spans="2:10">
      <c r="C13" s="343" t="s">
        <v>24</v>
      </c>
      <c r="D13" s="350" t="e">
        <f>IF(E13=FALSE,"",IF(C$12=1,C13,IF(F13="never ever last",C13&amp;", ",IF(F13="second to last",C13&amp;" &amp; ",IF(F13="last",C13,"?")))))</f>
        <v>#REF!</v>
      </c>
      <c r="E13" s="343" t="e">
        <f>'Final Application'!#REF!</f>
        <v>#REF!</v>
      </c>
      <c r="F13" s="343" t="e">
        <f>IF(F14="never ever last","never ever last",IF(F14="second to last","never ever last",IF(OR(F14="never last",F14="last"),IF(E13=TRUE,"second to last","never last"),IF(F14="not last",IF(E13=TRUE,"last","not last")))))</f>
        <v>#REF!</v>
      </c>
    </row>
    <row r="14" spans="2:10">
      <c r="C14" s="390" t="s">
        <v>25</v>
      </c>
      <c r="D14" s="351" t="e">
        <f>IF(E14=FALSE,"",IF(C$12=1,C14,IF(F14="never ever last",C14&amp;", ",IF(F14="second to last",C14&amp;" &amp; ",IF(F14="last",C14,"?")))))</f>
        <v>#REF!</v>
      </c>
      <c r="E14" s="352" t="e">
        <f>'Final Application'!#REF!</f>
        <v>#REF!</v>
      </c>
      <c r="F14" s="352" t="e">
        <f>IF(F15="never ever last","never ever last",IF(F15="second to last","never ever last",IF(OR(F15="never last",F15="last"),IF(E14=TRUE,"second to last","never last"),IF(F15="not last",IF(E14=TRUE,"last","not last")))))</f>
        <v>#REF!</v>
      </c>
    </row>
    <row r="15" spans="2:10">
      <c r="C15" s="352" t="s">
        <v>26</v>
      </c>
      <c r="D15" s="351" t="e">
        <f>IF(E15=FALSE,"",IF(C$12=1,C15,IF(F15="never ever last",C15&amp;", ",IF(F15="second to last",C15&amp;" &amp; ",IF(F15="last",C15,"?")))))</f>
        <v>#REF!</v>
      </c>
      <c r="E15" s="352" t="e">
        <f>'Final Application'!#REF!</f>
        <v>#REF!</v>
      </c>
      <c r="F15" s="352" t="e">
        <f t="shared" ref="F15:F25" si="0">IF(F16="never ever last","never ever last",IF(F16="second to last","never ever last",IF(OR(F16="never last",F16="last"),IF(E15=TRUE,"second to last","never last"),IF(F16="not last",IF(E15=TRUE,"last","not last")))))</f>
        <v>#REF!</v>
      </c>
    </row>
    <row r="16" spans="2:10">
      <c r="C16" s="352" t="s">
        <v>27</v>
      </c>
      <c r="D16" s="351" t="e">
        <f t="shared" ref="D16:D48" si="1">IF(E16=FALSE,"",IF(C$12=1,C16,IF(F16="never ever last",C16&amp;", ",IF(F16="second to last",C16&amp;" &amp; ",IF(F16="last",C16,"?")))))</f>
        <v>#REF!</v>
      </c>
      <c r="E16" s="352" t="e">
        <f>'Final Application'!#REF!</f>
        <v>#REF!</v>
      </c>
      <c r="F16" s="352" t="e">
        <f>IF(F17="never ever last","never ever last",IF(F17="second to last","never ever last",IF(OR(F17="never last",F17="last"),IF(E16=TRUE,"second to last","never last"),IF(F17="not last",IF(E16=TRUE,"last","not last")))))</f>
        <v>#REF!</v>
      </c>
    </row>
    <row r="17" spans="3:6">
      <c r="C17" s="352" t="s">
        <v>28</v>
      </c>
      <c r="D17" s="351" t="e">
        <f t="shared" si="1"/>
        <v>#REF!</v>
      </c>
      <c r="E17" s="352" t="e">
        <f>'Final Application'!#REF!</f>
        <v>#REF!</v>
      </c>
      <c r="F17" s="352" t="e">
        <f t="shared" si="0"/>
        <v>#REF!</v>
      </c>
    </row>
    <row r="18" spans="3:6">
      <c r="C18" s="352" t="s">
        <v>29</v>
      </c>
      <c r="D18" s="351" t="e">
        <f t="shared" si="1"/>
        <v>#REF!</v>
      </c>
      <c r="E18" s="352" t="e">
        <f>'Final Application'!#REF!</f>
        <v>#REF!</v>
      </c>
      <c r="F18" s="352" t="e">
        <f t="shared" si="0"/>
        <v>#REF!</v>
      </c>
    </row>
    <row r="19" spans="3:6">
      <c r="C19" s="352" t="s">
        <v>30</v>
      </c>
      <c r="D19" s="351" t="e">
        <f t="shared" si="1"/>
        <v>#REF!</v>
      </c>
      <c r="E19" s="352" t="e">
        <f>'Final Application'!#REF!</f>
        <v>#REF!</v>
      </c>
      <c r="F19" s="352" t="e">
        <f t="shared" si="0"/>
        <v>#REF!</v>
      </c>
    </row>
    <row r="20" spans="3:6">
      <c r="C20" s="352" t="s">
        <v>31</v>
      </c>
      <c r="D20" s="351" t="e">
        <f>IF(E20=FALSE,"",IF(C$12=1,C20,IF(F20="never ever last",C20&amp;", ",IF(F20="second to last",C20&amp;" &amp; ",IF(F20="last",C20,"?")))))</f>
        <v>#REF!</v>
      </c>
      <c r="E20" s="352" t="e">
        <f>'Final Application'!#REF!</f>
        <v>#REF!</v>
      </c>
      <c r="F20" s="352" t="e">
        <f>IF(F21="never ever last","never ever last",IF(F21="second to last","never ever last",IF(OR(F21="never last",F21="last"),IF(E20=TRUE,"second to last","never last"),IF(F21="not last",IF(E20=TRUE,"last","not last")))))</f>
        <v>#REF!</v>
      </c>
    </row>
    <row r="21" spans="3:6">
      <c r="C21" s="352" t="s">
        <v>32</v>
      </c>
      <c r="D21" s="351" t="e">
        <f>IF(E21=FALSE,"",IF(C$12=1,C21,IF(F21="never ever last",C21&amp;", ",IF(F21="second to last",C21&amp;" &amp; ",IF(F21="last",C21,"?")))))</f>
        <v>#REF!</v>
      </c>
      <c r="E21" s="352" t="e">
        <f>'Final Application'!#REF!</f>
        <v>#REF!</v>
      </c>
      <c r="F21" s="352" t="e">
        <f>IF(F22="never ever last","never ever last",IF(F22="second to last","never ever last",IF(OR(F22="never last",F22="last"),IF(E21=TRUE,"second to last","never last"),IF(F22="not last",IF(E21=TRUE,"last","not last")))))</f>
        <v>#REF!</v>
      </c>
    </row>
    <row r="22" spans="3:6">
      <c r="C22" s="352" t="s">
        <v>33</v>
      </c>
      <c r="D22" s="351" t="e">
        <f>IF(E22=FALSE,"",IF(C$12=1,C22,IF(F22="never ever last",C22&amp;", ",IF(F22="second to last",C22&amp;" &amp; ",IF(F22="last",C22,"?")))))</f>
        <v>#REF!</v>
      </c>
      <c r="E22" s="352" t="e">
        <f>'Final Application'!#REF!</f>
        <v>#REF!</v>
      </c>
      <c r="F22" s="352" t="e">
        <f t="shared" ref="F22" si="2">IF(F23="never ever last","never ever last",IF(F23="second to last","never ever last",IF(OR(F23="never last",F23="last"),IF(E22=TRUE,"second to last","never last"),IF(F23="not last",IF(E22=TRUE,"last","not last")))))</f>
        <v>#REF!</v>
      </c>
    </row>
    <row r="23" spans="3:6">
      <c r="C23" s="352" t="s">
        <v>34</v>
      </c>
      <c r="D23" s="351" t="e">
        <f>IF(E23=FALSE,"",IF(C$12=1,C23,IF(F23="never ever last",C23&amp;", ",IF(F23="second to last",C23&amp;" &amp; ",IF(F23="last",C23,"?")))))</f>
        <v>#REF!</v>
      </c>
      <c r="E23" s="352" t="e">
        <f>'Final Application'!#REF!</f>
        <v>#REF!</v>
      </c>
      <c r="F23" s="352" t="e">
        <f>IF(F24="never ever last","never ever last",IF(F24="second to last","never ever last",IF(OR(F24="never last",F24="last"),IF(E23=TRUE,"second to last","never last"),IF(F24="not last",IF(E23=TRUE,"last","not last")))))</f>
        <v>#REF!</v>
      </c>
    </row>
    <row r="24" spans="3:6">
      <c r="C24" s="352" t="s">
        <v>35</v>
      </c>
      <c r="D24" s="351" t="e">
        <f t="shared" si="1"/>
        <v>#REF!</v>
      </c>
      <c r="E24" s="352" t="e">
        <f>'Final Application'!#REF!</f>
        <v>#REF!</v>
      </c>
      <c r="F24" s="352" t="e">
        <f>IF(F25="never ever last","never ever last",IF(F25="second to last","never ever last",IF(OR(F25="never last",F25="last"),IF(E24=TRUE,"second to last","never last"),IF(F25="not last",IF(E24=TRUE,"last","not last")))))</f>
        <v>#REF!</v>
      </c>
    </row>
    <row r="25" spans="3:6">
      <c r="C25" s="352" t="s">
        <v>36</v>
      </c>
      <c r="D25" s="351" t="e">
        <f t="shared" si="1"/>
        <v>#REF!</v>
      </c>
      <c r="E25" s="352" t="e">
        <f>'Final Application'!#REF!</f>
        <v>#REF!</v>
      </c>
      <c r="F25" s="352" t="e">
        <f t="shared" si="0"/>
        <v>#REF!</v>
      </c>
    </row>
    <row r="26" spans="3:6">
      <c r="C26" s="352" t="s">
        <v>37</v>
      </c>
      <c r="D26" s="351" t="e">
        <f t="shared" si="1"/>
        <v>#REF!</v>
      </c>
      <c r="E26" s="352" t="e">
        <f>'Final Application'!#REF!</f>
        <v>#REF!</v>
      </c>
      <c r="F26" s="352" t="e">
        <f>IF(F27="never ever last","never ever last",IF(F27="second to last","never ever last",IF(OR(F27="never last",F27="last"),IF(E26=TRUE,"second to last","never last"),IF(F27="not last",IF(E26=TRUE,"last","not last")))))</f>
        <v>#REF!</v>
      </c>
    </row>
    <row r="27" spans="3:6">
      <c r="C27" s="352" t="s">
        <v>38</v>
      </c>
      <c r="D27" s="351" t="e">
        <f t="shared" si="1"/>
        <v>#REF!</v>
      </c>
      <c r="E27" s="352" t="e">
        <f>'Final Application'!#REF!</f>
        <v>#REF!</v>
      </c>
      <c r="F27" s="352" t="e">
        <f t="shared" ref="F27:F34" si="3">IF(F28="never ever last","never ever last",IF(F28="second to last","never ever last",IF(OR(F28="never last",F28="last"),IF(E27=TRUE,"second to last","never last"),IF(F28="not last",IF(E27=TRUE,"last","not last")))))</f>
        <v>#REF!</v>
      </c>
    </row>
    <row r="28" spans="3:6">
      <c r="C28" s="352" t="s">
        <v>39</v>
      </c>
      <c r="D28" s="351" t="e">
        <f>IF(E28=FALSE,"",IF(C$12=1,C28,IF(F28="never ever last",C28&amp;", ",IF(F28="second to last",C28&amp;" &amp; ",IF(F28="last",C28,"?")))))</f>
        <v>#REF!</v>
      </c>
      <c r="E28" s="352" t="e">
        <f>'Final Application'!#REF!</f>
        <v>#REF!</v>
      </c>
      <c r="F28" s="352" t="e">
        <f t="shared" si="3"/>
        <v>#REF!</v>
      </c>
    </row>
    <row r="29" spans="3:6">
      <c r="C29" s="352" t="s">
        <v>40</v>
      </c>
      <c r="D29" s="351" t="e">
        <f t="shared" si="1"/>
        <v>#REF!</v>
      </c>
      <c r="E29" s="352" t="e">
        <f>'Final Application'!#REF!</f>
        <v>#REF!</v>
      </c>
      <c r="F29" s="352" t="e">
        <f>IF(F33="never ever last","never ever last",IF(F33="second to last","never ever last",IF(OR(F33="never last",F33="last"),IF(E29=TRUE,"second to last","never last"),IF(F33="not last",IF(E29=TRUE,"last","not last")))))</f>
        <v>#REF!</v>
      </c>
    </row>
    <row r="30" spans="3:6">
      <c r="C30" s="352" t="s">
        <v>41</v>
      </c>
      <c r="D30" s="351" t="e">
        <f>IF(E30=FALSE,"",IF(C$12=1,C30,IF(F30="never ever last",C30&amp;", ",IF(F30="second to last",C30&amp;" &amp; ",IF(F30="last",C30,"?")))))</f>
        <v>#REF!</v>
      </c>
      <c r="E30" s="352" t="e">
        <f>'Final Application'!#REF!</f>
        <v>#REF!</v>
      </c>
      <c r="F30" s="352" t="e">
        <f t="shared" ref="F30:F32" si="4">IF(F34="never ever last","never ever last",IF(F34="second to last","never ever last",IF(OR(F34="never last",F34="last"),IF(E30=TRUE,"second to last","never last"),IF(F34="not last",IF(E30=TRUE,"last","not last")))))</f>
        <v>#REF!</v>
      </c>
    </row>
    <row r="31" spans="3:6">
      <c r="C31" s="352" t="s">
        <v>42</v>
      </c>
      <c r="D31" s="351" t="e">
        <f t="shared" si="1"/>
        <v>#REF!</v>
      </c>
      <c r="E31" s="352" t="e">
        <f>'Final Application'!#REF!</f>
        <v>#REF!</v>
      </c>
      <c r="F31" s="352" t="e">
        <f t="shared" si="4"/>
        <v>#REF!</v>
      </c>
    </row>
    <row r="32" spans="3:6">
      <c r="C32" s="352" t="s">
        <v>43</v>
      </c>
      <c r="D32" s="351" t="e">
        <f t="shared" si="1"/>
        <v>#REF!</v>
      </c>
      <c r="E32" s="352" t="e">
        <f>'Final Application'!#REF!</f>
        <v>#REF!</v>
      </c>
      <c r="F32" s="352" t="e">
        <f t="shared" si="4"/>
        <v>#REF!</v>
      </c>
    </row>
    <row r="33" spans="3:6">
      <c r="C33" s="352" t="s">
        <v>44</v>
      </c>
      <c r="D33" s="351" t="e">
        <f t="shared" si="1"/>
        <v>#REF!</v>
      </c>
      <c r="E33" s="352" t="e">
        <f>'Final Application'!#REF!</f>
        <v>#REF!</v>
      </c>
      <c r="F33" s="352" t="e">
        <f t="shared" si="3"/>
        <v>#REF!</v>
      </c>
    </row>
    <row r="34" spans="3:6">
      <c r="C34" s="352" t="s">
        <v>45</v>
      </c>
      <c r="D34" s="351" t="e">
        <f t="shared" si="1"/>
        <v>#REF!</v>
      </c>
      <c r="E34" s="352" t="e">
        <f>'Final Application'!#REF!</f>
        <v>#REF!</v>
      </c>
      <c r="F34" s="352" t="e">
        <f t="shared" si="3"/>
        <v>#REF!</v>
      </c>
    </row>
    <row r="35" spans="3:6">
      <c r="C35" s="352" t="s">
        <v>46</v>
      </c>
      <c r="D35" s="351" t="e">
        <f t="shared" si="1"/>
        <v>#REF!</v>
      </c>
      <c r="E35" s="352" t="e">
        <f>'Final Application'!#REF!</f>
        <v>#REF!</v>
      </c>
      <c r="F35" s="352" t="e">
        <f>IF(F36="never ever last","never ever last",IF(F36="second to last","never ever last",IF(OR(F36="never last",F36="last"),IF(E35=TRUE,"second to last","never last"),IF(F36="not last",IF(E35=TRUE,"last","not last")))))</f>
        <v>#REF!</v>
      </c>
    </row>
    <row r="36" spans="3:6">
      <c r="C36" s="352" t="s">
        <v>47</v>
      </c>
      <c r="D36" s="351" t="e">
        <f t="shared" si="1"/>
        <v>#REF!</v>
      </c>
      <c r="E36" s="352" t="e">
        <f>'Final Application'!#REF!</f>
        <v>#REF!</v>
      </c>
      <c r="F36" s="352" t="e">
        <f>IF(F37="never ever last","never ever last",IF(F37="second to last","never ever last",IF(OR(F37="never last",F37="last"),IF(E36=TRUE,"second to last","never last"),IF(F37="not last",IF(E36=TRUE,"last","not last")))))</f>
        <v>#REF!</v>
      </c>
    </row>
    <row r="37" spans="3:6">
      <c r="C37" s="352" t="s">
        <v>48</v>
      </c>
      <c r="D37" s="351" t="e">
        <f t="shared" si="1"/>
        <v>#REF!</v>
      </c>
      <c r="E37" s="352" t="e">
        <f>'Final Application'!#REF!</f>
        <v>#REF!</v>
      </c>
      <c r="F37" s="352" t="e">
        <f>IF(F38="never ever last","never ever last",IF(F38="second to last","never ever last",IF(OR(F38="never last",F38="last"),IF(E37=TRUE,"second to last","never last"),IF(F38="not last",IF(E37=TRUE,"last","not last")))))</f>
        <v>#REF!</v>
      </c>
    </row>
    <row r="38" spans="3:6">
      <c r="C38" s="352" t="s">
        <v>49</v>
      </c>
      <c r="D38" s="351" t="e">
        <f t="shared" si="1"/>
        <v>#REF!</v>
      </c>
      <c r="E38" s="352" t="e">
        <f>'Final Application'!#REF!</f>
        <v>#REF!</v>
      </c>
      <c r="F38" s="352" t="e">
        <f t="shared" ref="F38:F44" si="5">IF(F39="never ever last","never ever last",IF(F39="second to last","never ever last",IF(OR(F39="never last",F39="last"),IF(E38=TRUE,"second to last","never last"),IF(F39="not last",IF(E38=TRUE,"last","not last")))))</f>
        <v>#REF!</v>
      </c>
    </row>
    <row r="39" spans="3:6">
      <c r="C39" s="352" t="s">
        <v>50</v>
      </c>
      <c r="D39" s="351" t="e">
        <f t="shared" si="1"/>
        <v>#REF!</v>
      </c>
      <c r="E39" s="352" t="e">
        <f>'Final Application'!#REF!</f>
        <v>#REF!</v>
      </c>
      <c r="F39" s="352" t="e">
        <f t="shared" si="5"/>
        <v>#REF!</v>
      </c>
    </row>
    <row r="40" spans="3:6">
      <c r="C40" s="352" t="s">
        <v>51</v>
      </c>
      <c r="D40" s="351" t="e">
        <f t="shared" si="1"/>
        <v>#REF!</v>
      </c>
      <c r="E40" s="352" t="e">
        <f>'Final Application'!#REF!</f>
        <v>#REF!</v>
      </c>
      <c r="F40" s="352" t="e">
        <f t="shared" si="5"/>
        <v>#REF!</v>
      </c>
    </row>
    <row r="41" spans="3:6">
      <c r="C41" s="352" t="s">
        <v>52</v>
      </c>
      <c r="D41" s="351" t="e">
        <f t="shared" si="1"/>
        <v>#REF!</v>
      </c>
      <c r="E41" s="352" t="e">
        <f>'Final Application'!#REF!</f>
        <v>#REF!</v>
      </c>
      <c r="F41" s="352" t="e">
        <f t="shared" si="5"/>
        <v>#REF!</v>
      </c>
    </row>
    <row r="42" spans="3:6">
      <c r="C42" s="352" t="s">
        <v>53</v>
      </c>
      <c r="D42" s="351" t="e">
        <f t="shared" si="1"/>
        <v>#REF!</v>
      </c>
      <c r="E42" s="352" t="e">
        <f>'Final Application'!#REF!</f>
        <v>#REF!</v>
      </c>
      <c r="F42" s="352" t="e">
        <f t="shared" si="5"/>
        <v>#REF!</v>
      </c>
    </row>
    <row r="43" spans="3:6">
      <c r="C43" s="352" t="s">
        <v>54</v>
      </c>
      <c r="D43" s="351" t="e">
        <f t="shared" si="1"/>
        <v>#REF!</v>
      </c>
      <c r="E43" s="352" t="e">
        <f>'Final Application'!#REF!</f>
        <v>#REF!</v>
      </c>
      <c r="F43" s="352" t="e">
        <f t="shared" si="5"/>
        <v>#REF!</v>
      </c>
    </row>
    <row r="44" spans="3:6">
      <c r="C44" s="352" t="s">
        <v>55</v>
      </c>
      <c r="D44" s="351" t="e">
        <f t="shared" si="1"/>
        <v>#REF!</v>
      </c>
      <c r="E44" s="352" t="e">
        <f>'Final Application'!#REF!</f>
        <v>#REF!</v>
      </c>
      <c r="F44" s="352" t="e">
        <f t="shared" si="5"/>
        <v>#REF!</v>
      </c>
    </row>
    <row r="45" spans="3:6">
      <c r="C45" s="352" t="s">
        <v>56</v>
      </c>
      <c r="D45" s="351" t="e">
        <f t="shared" si="1"/>
        <v>#REF!</v>
      </c>
      <c r="E45" s="352" t="e">
        <f>'Final Application'!#REF!</f>
        <v>#REF!</v>
      </c>
      <c r="F45" s="352" t="e">
        <f>IF(F46="never ever last","never ever last",IF(F46="second to last","never ever last",IF(OR(F46="never last",F46="last"),IF(E45=TRUE,"second to last","never last"),IF(F46="not last",IF(E45=TRUE,"last","not last")))))</f>
        <v>#REF!</v>
      </c>
    </row>
    <row r="46" spans="3:6">
      <c r="C46" s="352" t="s">
        <v>57</v>
      </c>
      <c r="D46" s="351" t="e">
        <f t="shared" si="1"/>
        <v>#REF!</v>
      </c>
      <c r="E46" s="352" t="e">
        <f>'Final Application'!#REF!</f>
        <v>#REF!</v>
      </c>
      <c r="F46" s="352" t="e">
        <f t="shared" ref="F46:F48" si="6">IF(F47="never ever last","never ever last",IF(F47="second to last","never ever last",IF(OR(F47="never last",F47="last"),IF(E46=TRUE,"second to last","never last"),IF(F47="not last",IF(E46=TRUE,"last","not last")))))</f>
        <v>#REF!</v>
      </c>
    </row>
    <row r="47" spans="3:6">
      <c r="C47" s="352" t="s">
        <v>58</v>
      </c>
      <c r="D47" s="351" t="e">
        <f t="shared" si="1"/>
        <v>#REF!</v>
      </c>
      <c r="E47" s="352" t="e">
        <f>'Final Application'!#REF!</f>
        <v>#REF!</v>
      </c>
      <c r="F47" s="352" t="e">
        <f t="shared" si="6"/>
        <v>#REF!</v>
      </c>
    </row>
    <row r="48" spans="3:6">
      <c r="C48" s="352" t="s">
        <v>59</v>
      </c>
      <c r="D48" s="351" t="e">
        <f t="shared" si="1"/>
        <v>#REF!</v>
      </c>
      <c r="E48" s="352" t="e">
        <f>'Final Application'!#REF!</f>
        <v>#REF!</v>
      </c>
      <c r="F48" s="352" t="e">
        <f t="shared" si="6"/>
        <v>#REF!</v>
      </c>
    </row>
    <row r="49" spans="3:6">
      <c r="C49" s="346" t="s">
        <v>60</v>
      </c>
      <c r="D49" s="353" t="e">
        <f>IF(E49=FALSE,"",IF(C$12=1,C49,IF(F49="never ever last",C49&amp;", ",IF(F49="second to last",C49&amp;" &amp; ",IF(F49="last",C49,"?")))))</f>
        <v>#REF!</v>
      </c>
      <c r="E49" s="346" t="e">
        <f>'Final Application'!#REF!</f>
        <v>#REF!</v>
      </c>
      <c r="F49" s="346" t="e">
        <f>IF(E49=TRUE,"last","not last")</f>
        <v>#REF!</v>
      </c>
    </row>
    <row r="50" spans="3:6">
      <c r="E50" s="335" t="e">
        <f>IF(C51=TRUE,E38&amp;", ","")</f>
        <v>#REF!</v>
      </c>
    </row>
    <row r="51" spans="3:6">
      <c r="C51" s="354" t="e">
        <f>D13&amp;D14&amp;D15&amp;D16&amp;D17&amp;D18&amp;D19&amp;D20&amp;D21&amp;D22&amp;D23&amp;D24&amp;D25&amp;D26&amp;D27&amp;D28&amp;D29&amp;D30&amp;D31&amp;D32&amp;D33&amp;D34&amp;D35&amp;D36&amp;D37&amp;D38&amp;D39&amp;D40&amp;D41&amp;D42&amp;D43&amp;D44&amp;D45&amp;D46&amp;D47&amp;D48&amp;D49</f>
        <v>#REF!</v>
      </c>
    </row>
  </sheetData>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rgb="FFFFFF00"/>
    <pageSetUpPr fitToPage="1"/>
  </sheetPr>
  <dimension ref="A1:AB133"/>
  <sheetViews>
    <sheetView showGridLines="0" showRowColHeaders="0" tabSelected="1" workbookViewId="0">
      <selection activeCell="E10" sqref="E10"/>
    </sheetView>
  </sheetViews>
  <sheetFormatPr defaultColWidth="8.85546875" defaultRowHeight="12.75"/>
  <cols>
    <col min="1" max="1" width="2.42578125" style="1" customWidth="1"/>
    <col min="2" max="2" width="145.42578125" style="1" customWidth="1"/>
    <col min="3" max="25" width="9.140625" style="1"/>
    <col min="26" max="26" width="2.42578125" style="1" customWidth="1"/>
    <col min="27" max="27" width="142.42578125" style="1" bestFit="1" customWidth="1"/>
    <col min="28" max="16384" width="8.85546875" style="1"/>
  </cols>
  <sheetData>
    <row r="1" spans="1:27" ht="15.75" customHeight="1">
      <c r="C1" s="94"/>
      <c r="D1" s="94"/>
      <c r="E1" s="94"/>
      <c r="F1" s="94"/>
      <c r="G1" s="94"/>
      <c r="H1" s="94"/>
      <c r="I1" s="94"/>
      <c r="J1" s="94"/>
      <c r="K1" s="94"/>
      <c r="L1" s="94"/>
      <c r="M1" s="94"/>
      <c r="N1" s="94"/>
      <c r="O1" s="94"/>
      <c r="P1" s="94"/>
      <c r="Q1" s="94"/>
      <c r="R1" s="94"/>
      <c r="S1" s="94"/>
      <c r="T1" s="94"/>
      <c r="U1" s="94"/>
      <c r="V1" s="94"/>
      <c r="W1" s="94"/>
      <c r="X1" s="94"/>
      <c r="Y1" s="94"/>
      <c r="Z1" s="94"/>
      <c r="AA1" s="94"/>
    </row>
    <row r="2" spans="1:27">
      <c r="C2" s="94"/>
      <c r="D2" s="94"/>
      <c r="E2" s="94"/>
      <c r="F2" s="94"/>
      <c r="G2" s="94"/>
      <c r="H2" s="94"/>
      <c r="I2" s="94"/>
      <c r="J2" s="94"/>
      <c r="K2" s="94"/>
      <c r="L2" s="94"/>
      <c r="M2" s="94"/>
      <c r="N2" s="94"/>
      <c r="O2" s="94"/>
      <c r="P2" s="94"/>
      <c r="Q2" s="94"/>
      <c r="R2" s="94"/>
      <c r="S2" s="94"/>
      <c r="T2" s="94"/>
      <c r="U2" s="94"/>
      <c r="V2" s="94"/>
      <c r="W2" s="94"/>
      <c r="X2" s="94"/>
      <c r="Y2" s="94"/>
      <c r="Z2" s="94"/>
      <c r="AA2" s="94"/>
    </row>
    <row r="3" spans="1:27">
      <c r="C3" s="94"/>
      <c r="D3" s="94"/>
      <c r="E3" s="94"/>
      <c r="F3" s="94"/>
      <c r="G3" s="94"/>
      <c r="H3" s="94"/>
      <c r="I3" s="94"/>
      <c r="J3" s="94"/>
      <c r="K3" s="94"/>
      <c r="L3" s="94"/>
      <c r="M3" s="94"/>
      <c r="N3" s="94"/>
      <c r="O3" s="94"/>
      <c r="P3" s="94"/>
      <c r="Q3" s="94"/>
      <c r="R3" s="94"/>
      <c r="S3" s="94"/>
      <c r="T3" s="94"/>
      <c r="U3" s="94"/>
      <c r="V3" s="94"/>
      <c r="W3" s="94"/>
      <c r="X3" s="94"/>
      <c r="Y3" s="94"/>
      <c r="Z3" s="94"/>
      <c r="AA3" s="94"/>
    </row>
    <row r="4" spans="1:27" ht="5.25" customHeight="1">
      <c r="C4" s="94"/>
      <c r="D4" s="94"/>
      <c r="E4" s="94"/>
      <c r="F4" s="94"/>
      <c r="G4" s="94"/>
      <c r="H4" s="94"/>
      <c r="I4" s="94"/>
      <c r="J4" s="94"/>
      <c r="K4" s="94"/>
      <c r="L4" s="94"/>
      <c r="M4" s="94"/>
      <c r="N4" s="94"/>
      <c r="O4" s="94"/>
      <c r="P4" s="94"/>
      <c r="Q4" s="94"/>
      <c r="R4" s="94"/>
      <c r="S4" s="94"/>
      <c r="T4" s="94"/>
      <c r="U4" s="94"/>
      <c r="V4" s="94"/>
      <c r="W4" s="94"/>
      <c r="X4" s="94"/>
      <c r="Y4" s="94"/>
      <c r="Z4" s="94"/>
      <c r="AA4" s="94"/>
    </row>
    <row r="5" spans="1:27">
      <c r="C5" s="94"/>
      <c r="D5" s="94"/>
      <c r="E5" s="94"/>
      <c r="F5" s="94"/>
      <c r="G5" s="94"/>
      <c r="H5" s="94"/>
      <c r="I5" s="94"/>
      <c r="J5" s="94"/>
      <c r="K5" s="94"/>
      <c r="L5" s="94"/>
      <c r="M5" s="94"/>
      <c r="N5" s="94"/>
      <c r="O5" s="94"/>
      <c r="P5" s="94"/>
      <c r="Q5" s="94"/>
      <c r="R5" s="94"/>
      <c r="S5" s="94"/>
      <c r="T5" s="94"/>
      <c r="U5" s="94"/>
      <c r="V5" s="94"/>
      <c r="W5" s="94"/>
      <c r="X5" s="94"/>
      <c r="Y5" s="94"/>
      <c r="Z5" s="94"/>
      <c r="AA5" s="94"/>
    </row>
    <row r="6" spans="1:27" ht="5.25" customHeight="1">
      <c r="C6" s="94"/>
      <c r="D6" s="94"/>
      <c r="E6" s="94"/>
      <c r="F6" s="94"/>
      <c r="G6" s="94"/>
      <c r="H6" s="94"/>
      <c r="I6" s="94"/>
      <c r="J6" s="94"/>
      <c r="K6" s="94"/>
      <c r="L6" s="94"/>
      <c r="M6" s="94"/>
      <c r="N6" s="94"/>
      <c r="O6" s="94"/>
      <c r="P6" s="94"/>
      <c r="Q6" s="94"/>
      <c r="R6" s="94"/>
      <c r="S6" s="94"/>
      <c r="T6" s="94"/>
      <c r="U6" s="94"/>
      <c r="V6" s="94"/>
      <c r="W6" s="94"/>
      <c r="X6" s="94"/>
      <c r="Y6" s="94"/>
      <c r="Z6" s="94"/>
      <c r="AA6" s="94"/>
    </row>
    <row r="7" spans="1:27" ht="3" customHeight="1">
      <c r="C7" s="94"/>
      <c r="D7" s="94"/>
      <c r="E7" s="94"/>
      <c r="F7" s="94"/>
      <c r="G7" s="94"/>
      <c r="H7" s="94"/>
      <c r="I7" s="94"/>
      <c r="J7" s="94"/>
      <c r="K7" s="94"/>
      <c r="L7" s="94"/>
      <c r="M7" s="94"/>
      <c r="N7" s="94"/>
      <c r="O7" s="94"/>
      <c r="P7" s="94"/>
      <c r="Q7" s="94"/>
      <c r="R7" s="94"/>
      <c r="S7" s="94"/>
      <c r="T7" s="94"/>
      <c r="U7" s="94"/>
      <c r="V7" s="94"/>
      <c r="W7" s="94"/>
      <c r="X7" s="94"/>
      <c r="Y7" s="94"/>
      <c r="Z7" s="94"/>
      <c r="AA7" s="94"/>
    </row>
    <row r="8" spans="1:27">
      <c r="C8" s="94"/>
      <c r="D8" s="94"/>
      <c r="E8" s="94"/>
      <c r="F8" s="94"/>
      <c r="G8" s="94"/>
      <c r="H8" s="94"/>
      <c r="I8" s="94"/>
      <c r="J8" s="94"/>
      <c r="K8" s="94"/>
      <c r="L8" s="94"/>
      <c r="M8" s="94"/>
      <c r="N8" s="94"/>
      <c r="O8" s="94"/>
      <c r="P8" s="94"/>
      <c r="Q8" s="94"/>
      <c r="R8" s="94"/>
      <c r="S8" s="94"/>
      <c r="T8" s="94"/>
      <c r="U8" s="94"/>
      <c r="V8" s="94"/>
      <c r="W8" s="94"/>
      <c r="X8" s="94"/>
      <c r="Y8" s="94"/>
      <c r="Z8" s="94"/>
      <c r="AA8" s="94"/>
    </row>
    <row r="9" spans="1:27" ht="7.5" customHeight="1">
      <c r="C9" s="94"/>
      <c r="D9" s="94"/>
      <c r="E9" s="94"/>
      <c r="F9" s="94"/>
      <c r="G9" s="94"/>
      <c r="H9" s="94"/>
      <c r="I9" s="94"/>
      <c r="J9" s="94"/>
      <c r="K9" s="94"/>
      <c r="L9" s="94"/>
      <c r="M9" s="94"/>
      <c r="N9" s="94"/>
      <c r="O9" s="94"/>
      <c r="P9" s="94"/>
      <c r="Q9" s="94"/>
      <c r="R9" s="94"/>
      <c r="S9" s="94"/>
      <c r="T9" s="94"/>
      <c r="U9" s="94"/>
      <c r="V9" s="94"/>
      <c r="W9" s="94"/>
      <c r="X9" s="94"/>
      <c r="Y9" s="94"/>
      <c r="Z9" s="94"/>
      <c r="AA9" s="94"/>
    </row>
    <row r="10" spans="1:27">
      <c r="C10" s="94"/>
      <c r="D10" s="94"/>
      <c r="E10" s="94"/>
      <c r="F10" s="94"/>
      <c r="G10" s="94"/>
      <c r="H10" s="94"/>
      <c r="I10" s="94"/>
      <c r="J10" s="94"/>
      <c r="K10" s="94"/>
      <c r="L10" s="94"/>
      <c r="M10" s="94"/>
      <c r="N10" s="94"/>
      <c r="O10" s="94"/>
      <c r="P10" s="94"/>
      <c r="Q10" s="94"/>
      <c r="R10" s="94"/>
      <c r="S10" s="94"/>
      <c r="T10" s="94"/>
      <c r="U10" s="94"/>
      <c r="V10" s="94"/>
      <c r="W10" s="94"/>
      <c r="X10" s="94"/>
      <c r="Y10" s="94"/>
      <c r="Z10" s="94"/>
      <c r="AA10" s="94"/>
    </row>
    <row r="11" spans="1:27" ht="21" customHeight="1">
      <c r="C11" s="94"/>
      <c r="D11" s="94"/>
      <c r="E11" s="94"/>
      <c r="F11" s="94"/>
      <c r="G11" s="94"/>
      <c r="H11" s="94"/>
      <c r="I11" s="94"/>
      <c r="J11" s="94"/>
      <c r="K11" s="94"/>
      <c r="L11" s="94"/>
      <c r="M11" s="94"/>
      <c r="N11" s="94"/>
      <c r="O11" s="94"/>
      <c r="P11" s="94"/>
      <c r="Q11" s="94"/>
      <c r="R11" s="94"/>
      <c r="S11" s="94"/>
      <c r="T11" s="94"/>
      <c r="U11" s="94"/>
      <c r="V11" s="94"/>
      <c r="W11" s="94"/>
      <c r="X11" s="94"/>
      <c r="Y11" s="94"/>
      <c r="Z11" s="94"/>
      <c r="AA11" s="94"/>
    </row>
    <row r="12" spans="1:27">
      <c r="C12" s="94"/>
      <c r="D12" s="94"/>
      <c r="E12" s="94"/>
      <c r="F12" s="94"/>
      <c r="G12" s="94"/>
      <c r="H12" s="94"/>
      <c r="I12" s="94"/>
      <c r="J12" s="94"/>
      <c r="K12" s="94"/>
      <c r="L12" s="94"/>
      <c r="M12" s="94"/>
      <c r="N12" s="94"/>
      <c r="O12" s="94"/>
      <c r="P12" s="94"/>
      <c r="Q12" s="94"/>
      <c r="R12" s="94"/>
      <c r="S12" s="94"/>
      <c r="T12" s="94"/>
      <c r="U12" s="94"/>
      <c r="V12" s="94"/>
      <c r="W12" s="94"/>
      <c r="X12" s="94"/>
      <c r="Y12" s="94"/>
      <c r="Z12" s="94"/>
      <c r="AA12" s="94"/>
    </row>
    <row r="13" spans="1:27">
      <c r="C13" s="94"/>
      <c r="D13" s="94"/>
      <c r="E13" s="94"/>
      <c r="F13" s="94"/>
      <c r="G13" s="94"/>
      <c r="H13" s="94"/>
      <c r="I13" s="94"/>
      <c r="J13" s="94"/>
      <c r="K13" s="94"/>
      <c r="L13" s="94"/>
      <c r="M13" s="94"/>
      <c r="N13" s="94"/>
      <c r="O13" s="94"/>
      <c r="P13" s="94"/>
      <c r="Q13" s="94"/>
      <c r="R13" s="94"/>
      <c r="S13" s="94"/>
      <c r="T13" s="94"/>
      <c r="U13" s="94"/>
      <c r="V13" s="94"/>
      <c r="W13" s="94"/>
      <c r="X13" s="94"/>
      <c r="Y13" s="94"/>
      <c r="Z13" s="94"/>
      <c r="AA13" s="94"/>
    </row>
    <row r="14" spans="1:27" ht="45.75" customHeight="1">
      <c r="C14" s="94"/>
      <c r="D14" s="94"/>
      <c r="E14" s="94"/>
      <c r="F14" s="94"/>
      <c r="G14" s="94"/>
      <c r="H14" s="94"/>
      <c r="I14" s="94"/>
      <c r="J14" s="94"/>
      <c r="K14" s="94"/>
      <c r="L14" s="94"/>
      <c r="M14" s="94"/>
      <c r="N14" s="94"/>
      <c r="O14" s="94"/>
      <c r="P14" s="94"/>
      <c r="Q14" s="94"/>
      <c r="R14" s="94"/>
      <c r="S14" s="94"/>
      <c r="T14" s="94"/>
      <c r="U14" s="94"/>
      <c r="V14" s="94"/>
      <c r="W14" s="94"/>
      <c r="X14" s="94"/>
      <c r="Y14" s="94"/>
      <c r="Z14" s="94"/>
      <c r="AA14" s="94"/>
    </row>
    <row r="15" spans="1:27" ht="4.5" customHeight="1">
      <c r="A15" s="35"/>
      <c r="B15" s="35"/>
      <c r="C15" s="94"/>
      <c r="D15" s="94"/>
      <c r="E15" s="94"/>
      <c r="F15" s="94"/>
      <c r="G15" s="94"/>
      <c r="H15" s="94"/>
      <c r="I15" s="94"/>
      <c r="J15" s="94"/>
      <c r="K15" s="94"/>
      <c r="L15" s="94"/>
      <c r="M15" s="94"/>
      <c r="N15" s="94"/>
      <c r="O15" s="94"/>
      <c r="P15" s="94"/>
      <c r="Q15" s="94"/>
      <c r="R15" s="94"/>
      <c r="S15" s="94"/>
      <c r="T15" s="94"/>
      <c r="U15" s="94"/>
      <c r="V15" s="94"/>
      <c r="W15" s="94"/>
      <c r="X15" s="94"/>
      <c r="Y15" s="94"/>
      <c r="Z15" s="94"/>
      <c r="AA15" s="94"/>
    </row>
    <row r="16" spans="1:27">
      <c r="A16" s="25"/>
      <c r="B16" s="25"/>
      <c r="C16" s="94"/>
      <c r="D16" s="94"/>
      <c r="E16" s="94"/>
      <c r="F16" s="94"/>
      <c r="G16" s="94"/>
      <c r="H16" s="94"/>
      <c r="I16" s="94"/>
      <c r="J16" s="94"/>
      <c r="K16" s="94"/>
      <c r="L16" s="94"/>
      <c r="M16" s="94"/>
      <c r="N16" s="94"/>
      <c r="O16" s="94"/>
      <c r="P16" s="94"/>
      <c r="Q16" s="94"/>
      <c r="R16" s="94"/>
      <c r="S16" s="94"/>
      <c r="T16" s="94"/>
      <c r="U16" s="94"/>
      <c r="V16" s="94"/>
      <c r="W16" s="94"/>
      <c r="X16" s="94"/>
      <c r="Y16" s="94"/>
      <c r="Z16" s="94"/>
      <c r="AA16" s="94"/>
    </row>
    <row r="17" spans="1:28" ht="30">
      <c r="A17" s="25"/>
      <c r="B17" s="698" t="s">
        <v>3317</v>
      </c>
      <c r="C17" s="92"/>
      <c r="D17" s="92"/>
      <c r="E17" s="92"/>
      <c r="F17" s="92"/>
      <c r="G17" s="92"/>
      <c r="H17" s="92"/>
      <c r="I17" s="92"/>
      <c r="J17" s="92"/>
      <c r="K17" s="92"/>
      <c r="L17" s="92"/>
      <c r="M17" s="92"/>
      <c r="N17" s="92"/>
      <c r="O17" s="92"/>
      <c r="P17" s="92"/>
      <c r="Q17" s="92"/>
      <c r="R17" s="92"/>
      <c r="S17" s="92"/>
      <c r="T17" s="92"/>
      <c r="U17" s="92"/>
      <c r="V17" s="92"/>
      <c r="W17" s="92"/>
      <c r="X17" s="92"/>
      <c r="Y17" s="92"/>
      <c r="Z17" s="94"/>
      <c r="AA17" s="94"/>
      <c r="AB17" s="84"/>
    </row>
    <row r="18" spans="1:28" ht="15">
      <c r="A18" s="25"/>
      <c r="B18" s="85"/>
      <c r="C18" s="92"/>
      <c r="D18" s="92"/>
      <c r="E18" s="92"/>
      <c r="F18" s="92"/>
      <c r="G18" s="92"/>
      <c r="H18" s="92"/>
      <c r="I18" s="92"/>
      <c r="J18" s="92"/>
      <c r="K18" s="92"/>
      <c r="L18" s="92"/>
      <c r="M18" s="92"/>
      <c r="N18" s="92"/>
      <c r="O18" s="92"/>
      <c r="P18" s="92"/>
      <c r="Q18" s="92"/>
      <c r="R18" s="92"/>
      <c r="S18" s="92"/>
      <c r="T18" s="92"/>
      <c r="U18" s="92"/>
      <c r="V18" s="92"/>
      <c r="W18" s="92"/>
      <c r="X18" s="92"/>
      <c r="Y18" s="92"/>
      <c r="Z18" s="94"/>
      <c r="AA18" s="94"/>
      <c r="AB18" s="84"/>
    </row>
    <row r="19" spans="1:28" ht="15">
      <c r="A19" s="25"/>
      <c r="B19" s="85"/>
      <c r="C19" s="92"/>
      <c r="D19" s="92"/>
      <c r="E19" s="92"/>
      <c r="F19" s="92"/>
      <c r="G19" s="92"/>
      <c r="H19" s="92"/>
      <c r="I19" s="92"/>
      <c r="J19" s="92"/>
      <c r="K19" s="92"/>
      <c r="L19" s="92"/>
      <c r="M19" s="92"/>
      <c r="N19" s="92"/>
      <c r="O19" s="92"/>
      <c r="P19" s="92"/>
      <c r="Q19" s="92"/>
      <c r="R19" s="92"/>
      <c r="S19" s="92"/>
      <c r="T19" s="92"/>
      <c r="U19" s="92"/>
      <c r="V19" s="92"/>
      <c r="W19" s="92"/>
      <c r="X19" s="92"/>
      <c r="Y19" s="92"/>
      <c r="Z19" s="94"/>
      <c r="AA19" s="94"/>
      <c r="AB19" s="84"/>
    </row>
    <row r="20" spans="1:28" ht="15">
      <c r="A20" s="25"/>
      <c r="B20" s="88" t="s">
        <v>3299</v>
      </c>
      <c r="C20" s="92"/>
      <c r="D20" s="92"/>
      <c r="E20" s="92"/>
      <c r="F20" s="92"/>
      <c r="G20" s="92"/>
      <c r="H20" s="92"/>
      <c r="I20" s="92"/>
      <c r="J20" s="92"/>
      <c r="K20" s="92"/>
      <c r="L20" s="92"/>
      <c r="M20" s="92"/>
      <c r="N20" s="92"/>
      <c r="O20" s="92"/>
      <c r="P20" s="92"/>
      <c r="Q20" s="92"/>
      <c r="R20" s="92"/>
      <c r="S20" s="92"/>
      <c r="T20" s="92"/>
      <c r="U20" s="92"/>
      <c r="V20" s="92"/>
      <c r="W20" s="92"/>
      <c r="X20" s="92"/>
      <c r="Y20" s="92"/>
      <c r="Z20" s="94"/>
      <c r="AA20" s="94"/>
      <c r="AB20" s="84"/>
    </row>
    <row r="21" spans="1:28" ht="15">
      <c r="A21" s="25"/>
      <c r="B21" s="85"/>
      <c r="C21" s="92"/>
      <c r="D21" s="92"/>
      <c r="E21" s="92"/>
      <c r="F21" s="92"/>
      <c r="G21" s="92"/>
      <c r="H21" s="92"/>
      <c r="I21" s="92"/>
      <c r="J21" s="92"/>
      <c r="K21" s="92"/>
      <c r="L21" s="92"/>
      <c r="M21" s="92"/>
      <c r="N21" s="92"/>
      <c r="O21" s="92"/>
      <c r="P21" s="92"/>
      <c r="Q21" s="92"/>
      <c r="R21" s="92"/>
      <c r="S21" s="92"/>
      <c r="T21" s="92"/>
      <c r="U21" s="92"/>
      <c r="V21" s="92"/>
      <c r="W21" s="92"/>
      <c r="X21" s="92"/>
      <c r="Y21" s="92"/>
      <c r="Z21" s="94"/>
      <c r="AA21" s="94"/>
      <c r="AB21" s="84"/>
    </row>
    <row r="22" spans="1:28">
      <c r="A22" s="25"/>
      <c r="B22" s="89" t="s">
        <v>3300</v>
      </c>
      <c r="C22" s="92"/>
      <c r="D22" s="92"/>
      <c r="E22" s="92"/>
      <c r="F22" s="92"/>
      <c r="G22" s="92"/>
      <c r="H22" s="92"/>
      <c r="I22" s="92"/>
      <c r="J22" s="92"/>
      <c r="K22" s="92"/>
      <c r="L22" s="92"/>
      <c r="M22" s="92"/>
      <c r="N22" s="92"/>
      <c r="O22" s="92"/>
      <c r="P22" s="92"/>
      <c r="Q22" s="92"/>
      <c r="R22" s="92"/>
      <c r="S22" s="92"/>
      <c r="T22" s="92"/>
      <c r="U22" s="92"/>
      <c r="V22" s="92"/>
      <c r="W22" s="92"/>
      <c r="X22" s="92"/>
      <c r="Y22" s="92"/>
      <c r="Z22" s="94"/>
      <c r="AA22" s="94"/>
      <c r="AB22" s="84"/>
    </row>
    <row r="23" spans="1:28" ht="14.25">
      <c r="A23" s="25"/>
      <c r="B23" s="691" t="s">
        <v>3301</v>
      </c>
      <c r="C23" s="92"/>
      <c r="D23" s="92"/>
      <c r="E23" s="92"/>
      <c r="F23" s="92"/>
      <c r="G23" s="92"/>
      <c r="H23" s="92"/>
      <c r="I23" s="92"/>
      <c r="J23" s="92"/>
      <c r="K23" s="92"/>
      <c r="L23" s="92"/>
      <c r="M23" s="92"/>
      <c r="N23" s="92"/>
      <c r="O23" s="92"/>
      <c r="P23" s="92"/>
      <c r="Q23" s="92"/>
      <c r="R23" s="92"/>
      <c r="S23" s="92"/>
      <c r="T23" s="92"/>
      <c r="U23" s="92"/>
      <c r="V23" s="92"/>
      <c r="W23" s="92"/>
      <c r="X23" s="92"/>
      <c r="Y23" s="92"/>
      <c r="Z23" s="94"/>
      <c r="AA23" s="94"/>
      <c r="AB23" s="84"/>
    </row>
    <row r="24" spans="1:28" ht="14.25">
      <c r="A24" s="25"/>
      <c r="B24" s="691" t="s">
        <v>62</v>
      </c>
      <c r="C24" s="92"/>
      <c r="D24" s="92"/>
      <c r="E24" s="92"/>
      <c r="F24" s="92"/>
      <c r="G24" s="92"/>
      <c r="H24" s="92"/>
      <c r="I24" s="92"/>
      <c r="J24" s="92"/>
      <c r="K24" s="92"/>
      <c r="L24" s="92"/>
      <c r="M24" s="92"/>
      <c r="N24" s="92"/>
      <c r="O24" s="92"/>
      <c r="P24" s="92"/>
      <c r="Q24" s="92"/>
      <c r="R24" s="92"/>
      <c r="S24" s="92"/>
      <c r="T24" s="92"/>
      <c r="U24" s="92"/>
      <c r="V24" s="92"/>
      <c r="W24" s="92"/>
      <c r="X24" s="92"/>
      <c r="Y24" s="92"/>
      <c r="Z24" s="94"/>
      <c r="AA24" s="94"/>
      <c r="AB24" s="84"/>
    </row>
    <row r="25" spans="1:28" ht="14.25">
      <c r="A25" s="25"/>
      <c r="B25" s="691" t="s">
        <v>61</v>
      </c>
      <c r="C25" s="92"/>
      <c r="D25" s="92"/>
      <c r="E25" s="92"/>
      <c r="F25" s="92"/>
      <c r="G25" s="92"/>
      <c r="H25" s="92"/>
      <c r="I25" s="92"/>
      <c r="J25" s="92"/>
      <c r="K25" s="92"/>
      <c r="L25" s="92"/>
      <c r="M25" s="92"/>
      <c r="N25" s="92"/>
      <c r="O25" s="92"/>
      <c r="P25" s="92"/>
      <c r="Q25" s="92"/>
      <c r="R25" s="92"/>
      <c r="S25" s="92"/>
      <c r="T25" s="92"/>
      <c r="U25" s="92"/>
      <c r="V25" s="92"/>
      <c r="W25" s="92"/>
      <c r="X25" s="92"/>
      <c r="Y25" s="92"/>
      <c r="Z25" s="94"/>
      <c r="AA25" s="94"/>
      <c r="AB25" s="84"/>
    </row>
    <row r="26" spans="1:28" ht="14.25">
      <c r="A26" s="25"/>
      <c r="B26" s="691" t="s">
        <v>3302</v>
      </c>
      <c r="C26" s="92"/>
      <c r="D26" s="92"/>
      <c r="E26" s="92"/>
      <c r="F26" s="92"/>
      <c r="G26" s="92"/>
      <c r="H26" s="92"/>
      <c r="I26" s="92"/>
      <c r="J26" s="92"/>
      <c r="K26" s="92"/>
      <c r="L26" s="92"/>
      <c r="M26" s="92"/>
      <c r="N26" s="92"/>
      <c r="O26" s="92"/>
      <c r="P26" s="92"/>
      <c r="Q26" s="92"/>
      <c r="R26" s="92"/>
      <c r="S26" s="92"/>
      <c r="T26" s="92"/>
      <c r="U26" s="92"/>
      <c r="V26" s="92"/>
      <c r="W26" s="92"/>
      <c r="X26" s="92"/>
      <c r="Y26" s="92"/>
      <c r="Z26" s="94"/>
      <c r="AA26" s="94"/>
      <c r="AB26" s="84"/>
    </row>
    <row r="27" spans="1:28" ht="14.25">
      <c r="A27" s="25"/>
      <c r="B27" s="693" t="s">
        <v>3303</v>
      </c>
      <c r="C27" s="92"/>
      <c r="D27" s="92"/>
      <c r="E27" s="92"/>
      <c r="F27" s="92"/>
      <c r="G27" s="92"/>
      <c r="H27" s="92"/>
      <c r="I27" s="92"/>
      <c r="J27" s="92"/>
      <c r="K27" s="92"/>
      <c r="L27" s="92"/>
      <c r="M27" s="92"/>
      <c r="N27" s="92"/>
      <c r="O27" s="92"/>
      <c r="P27" s="92"/>
      <c r="Q27" s="92"/>
      <c r="R27" s="92"/>
      <c r="S27" s="92"/>
      <c r="T27" s="92"/>
      <c r="U27" s="92"/>
      <c r="V27" s="92"/>
      <c r="W27" s="92"/>
      <c r="X27" s="92"/>
      <c r="Y27" s="92"/>
      <c r="Z27" s="94"/>
      <c r="AA27" s="94"/>
      <c r="AB27" s="84"/>
    </row>
    <row r="28" spans="1:28" ht="14.25">
      <c r="A28" s="25"/>
      <c r="B28" s="693" t="s">
        <v>63</v>
      </c>
      <c r="C28" s="92"/>
      <c r="D28" s="92"/>
      <c r="E28" s="92"/>
      <c r="F28" s="92"/>
      <c r="G28" s="92"/>
      <c r="H28" s="92"/>
      <c r="I28" s="92"/>
      <c r="J28" s="92"/>
      <c r="K28" s="92"/>
      <c r="L28" s="92"/>
      <c r="M28" s="92"/>
      <c r="N28" s="92"/>
      <c r="O28" s="92"/>
      <c r="P28" s="92"/>
      <c r="Q28" s="92"/>
      <c r="R28" s="92"/>
      <c r="S28" s="92"/>
      <c r="T28" s="92"/>
      <c r="U28" s="92"/>
      <c r="V28" s="92"/>
      <c r="W28" s="92"/>
      <c r="X28" s="92"/>
      <c r="Y28" s="92"/>
      <c r="Z28" s="94"/>
      <c r="AA28" s="94"/>
      <c r="AB28" s="84"/>
    </row>
    <row r="29" spans="1:28" ht="14.25">
      <c r="A29" s="25"/>
      <c r="B29" s="691" t="s">
        <v>3304</v>
      </c>
      <c r="C29" s="92"/>
      <c r="D29" s="92"/>
      <c r="E29" s="92"/>
      <c r="F29" s="92"/>
      <c r="G29" s="92"/>
      <c r="H29" s="92"/>
      <c r="I29" s="92"/>
      <c r="J29" s="92"/>
      <c r="K29" s="92"/>
      <c r="L29" s="92"/>
      <c r="M29" s="92"/>
      <c r="N29" s="92"/>
      <c r="O29" s="92"/>
      <c r="P29" s="92"/>
      <c r="Q29" s="92"/>
      <c r="R29" s="92"/>
      <c r="S29" s="92"/>
      <c r="T29" s="92"/>
      <c r="U29" s="92"/>
      <c r="V29" s="92"/>
      <c r="W29" s="92"/>
      <c r="X29" s="92"/>
      <c r="Y29" s="92"/>
      <c r="Z29" s="94"/>
      <c r="AA29" s="94"/>
      <c r="AB29" s="84"/>
    </row>
    <row r="30" spans="1:28" ht="14.25">
      <c r="A30" s="25"/>
      <c r="B30" s="691" t="s">
        <v>3305</v>
      </c>
      <c r="C30" s="92"/>
      <c r="D30" s="92"/>
      <c r="E30" s="92"/>
      <c r="F30" s="92"/>
      <c r="G30" s="92"/>
      <c r="H30" s="92"/>
      <c r="I30" s="92"/>
      <c r="J30" s="92"/>
      <c r="K30" s="92"/>
      <c r="L30" s="92"/>
      <c r="M30" s="92"/>
      <c r="N30" s="92"/>
      <c r="O30" s="92"/>
      <c r="P30" s="92"/>
      <c r="Q30" s="92"/>
      <c r="R30" s="92"/>
      <c r="S30" s="92"/>
      <c r="T30" s="92"/>
      <c r="U30" s="92"/>
      <c r="V30" s="92"/>
      <c r="W30" s="92"/>
      <c r="X30" s="92"/>
      <c r="Y30" s="92"/>
      <c r="Z30" s="94"/>
      <c r="AA30" s="94"/>
      <c r="AB30" s="84"/>
    </row>
    <row r="31" spans="1:28" ht="28.5">
      <c r="A31" s="25"/>
      <c r="B31" s="691" t="s">
        <v>3306</v>
      </c>
      <c r="C31" s="92"/>
      <c r="D31" s="92"/>
      <c r="E31" s="92"/>
      <c r="F31" s="92"/>
      <c r="G31" s="92"/>
      <c r="H31" s="92"/>
      <c r="I31" s="92"/>
      <c r="J31" s="92"/>
      <c r="K31" s="92"/>
      <c r="L31" s="92"/>
      <c r="M31" s="92"/>
      <c r="N31" s="92"/>
      <c r="O31" s="92"/>
      <c r="P31" s="92"/>
      <c r="Q31" s="92"/>
      <c r="R31" s="92"/>
      <c r="S31" s="92"/>
      <c r="T31" s="92"/>
      <c r="U31" s="92"/>
      <c r="V31" s="92"/>
      <c r="W31" s="92"/>
      <c r="X31" s="92"/>
      <c r="Y31" s="92"/>
      <c r="Z31" s="94"/>
      <c r="AA31" s="94"/>
      <c r="AB31" s="84"/>
    </row>
    <row r="32" spans="1:28" ht="14.25">
      <c r="A32" s="25"/>
      <c r="B32" s="90"/>
      <c r="C32" s="92"/>
      <c r="D32" s="92"/>
      <c r="E32" s="92"/>
      <c r="F32" s="92"/>
      <c r="G32" s="92"/>
      <c r="H32" s="92"/>
      <c r="I32" s="92"/>
      <c r="J32" s="92"/>
      <c r="K32" s="92"/>
      <c r="L32" s="92"/>
      <c r="M32" s="92"/>
      <c r="N32" s="92"/>
      <c r="O32" s="92"/>
      <c r="P32" s="92"/>
      <c r="Q32" s="92"/>
      <c r="R32" s="92"/>
      <c r="S32" s="92"/>
      <c r="T32" s="92"/>
      <c r="U32" s="92"/>
      <c r="V32" s="92"/>
      <c r="W32" s="92"/>
      <c r="X32" s="92"/>
      <c r="Y32" s="92"/>
      <c r="Z32" s="94"/>
      <c r="AA32" s="94"/>
      <c r="AB32" s="84"/>
    </row>
    <row r="33" spans="1:28">
      <c r="A33" s="25"/>
      <c r="B33" s="89" t="s">
        <v>3307</v>
      </c>
      <c r="C33" s="92"/>
      <c r="D33" s="92"/>
      <c r="E33" s="92"/>
      <c r="F33" s="92"/>
      <c r="G33" s="92"/>
      <c r="H33" s="92"/>
      <c r="I33" s="92"/>
      <c r="J33" s="92"/>
      <c r="K33" s="92"/>
      <c r="L33" s="92"/>
      <c r="M33" s="92"/>
      <c r="N33" s="92"/>
      <c r="O33" s="92"/>
      <c r="P33" s="92"/>
      <c r="Q33" s="92"/>
      <c r="R33" s="92"/>
      <c r="S33" s="92"/>
      <c r="T33" s="92"/>
      <c r="U33" s="92"/>
      <c r="V33" s="92"/>
      <c r="W33" s="92"/>
      <c r="X33" s="92"/>
      <c r="Y33" s="92"/>
      <c r="Z33" s="94"/>
      <c r="AA33" s="94"/>
      <c r="AB33" s="84"/>
    </row>
    <row r="34" spans="1:28" ht="14.25">
      <c r="A34" s="25"/>
      <c r="B34" s="691" t="s">
        <v>3308</v>
      </c>
      <c r="C34" s="92"/>
      <c r="D34" s="92"/>
      <c r="E34" s="92"/>
      <c r="F34" s="92"/>
      <c r="G34" s="92"/>
      <c r="H34" s="92"/>
      <c r="I34" s="92"/>
      <c r="J34" s="92"/>
      <c r="K34" s="92"/>
      <c r="L34" s="92"/>
      <c r="M34" s="92"/>
      <c r="N34" s="92"/>
      <c r="O34" s="92"/>
      <c r="P34" s="92"/>
      <c r="Q34" s="92"/>
      <c r="R34" s="92"/>
      <c r="S34" s="92"/>
      <c r="T34" s="92"/>
      <c r="U34" s="92"/>
      <c r="V34" s="92"/>
      <c r="W34" s="92"/>
      <c r="X34" s="92"/>
      <c r="Y34" s="92"/>
      <c r="Z34" s="94"/>
      <c r="AA34" s="94"/>
      <c r="AB34" s="84"/>
    </row>
    <row r="35" spans="1:28" ht="28.5">
      <c r="A35" s="25"/>
      <c r="B35" s="691" t="s">
        <v>3309</v>
      </c>
      <c r="C35" s="92"/>
      <c r="D35" s="92"/>
      <c r="E35" s="92"/>
      <c r="F35" s="92"/>
      <c r="G35" s="92"/>
      <c r="H35" s="92"/>
      <c r="I35" s="92"/>
      <c r="J35" s="92"/>
      <c r="K35" s="92"/>
      <c r="L35" s="92"/>
      <c r="M35" s="92"/>
      <c r="N35" s="92"/>
      <c r="O35" s="92"/>
      <c r="P35" s="92"/>
      <c r="Q35" s="92"/>
      <c r="R35" s="92"/>
      <c r="S35" s="92"/>
      <c r="T35" s="92"/>
      <c r="U35" s="92"/>
      <c r="V35" s="92"/>
      <c r="W35" s="92"/>
      <c r="X35" s="92"/>
      <c r="Y35" s="92"/>
      <c r="Z35" s="94"/>
      <c r="AA35" s="94"/>
      <c r="AB35" s="84"/>
    </row>
    <row r="36" spans="1:28" ht="14.25">
      <c r="A36" s="692"/>
      <c r="B36" s="691" t="s">
        <v>3310</v>
      </c>
      <c r="C36" s="92"/>
      <c r="D36" s="92"/>
      <c r="E36" s="92"/>
      <c r="F36" s="92"/>
      <c r="G36" s="92"/>
      <c r="H36" s="92"/>
      <c r="I36" s="92"/>
      <c r="J36" s="92"/>
      <c r="K36" s="92"/>
      <c r="L36" s="92"/>
      <c r="M36" s="92"/>
      <c r="N36" s="92"/>
      <c r="O36" s="92"/>
      <c r="P36" s="92"/>
      <c r="Q36" s="92"/>
      <c r="R36" s="92"/>
      <c r="S36" s="92"/>
      <c r="T36" s="92"/>
      <c r="U36" s="92"/>
      <c r="V36" s="92"/>
      <c r="W36" s="92"/>
      <c r="X36" s="92"/>
      <c r="Y36" s="92"/>
      <c r="Z36" s="94"/>
      <c r="AA36" s="94"/>
      <c r="AB36" s="84"/>
    </row>
    <row r="37" spans="1:28" ht="14.25">
      <c r="A37" s="25"/>
      <c r="B37" s="691" t="s">
        <v>3303</v>
      </c>
      <c r="C37" s="92"/>
      <c r="D37" s="92"/>
      <c r="E37" s="92"/>
      <c r="F37" s="92"/>
      <c r="G37" s="92"/>
      <c r="H37" s="92"/>
      <c r="I37" s="92"/>
      <c r="J37" s="92"/>
      <c r="K37" s="92"/>
      <c r="L37" s="92"/>
      <c r="M37" s="92"/>
      <c r="N37" s="92"/>
      <c r="O37" s="92"/>
      <c r="P37" s="92"/>
      <c r="Q37" s="92"/>
      <c r="R37" s="92"/>
      <c r="S37" s="92"/>
      <c r="T37" s="92"/>
      <c r="U37" s="92"/>
      <c r="V37" s="92"/>
      <c r="W37" s="92"/>
      <c r="X37" s="92"/>
      <c r="Y37" s="92"/>
      <c r="Z37" s="94"/>
      <c r="AA37" s="94"/>
      <c r="AB37" s="84"/>
    </row>
    <row r="38" spans="1:28" ht="28.5">
      <c r="A38" s="25"/>
      <c r="B38" s="691" t="s">
        <v>3311</v>
      </c>
      <c r="C38" s="92"/>
      <c r="D38" s="92"/>
      <c r="E38" s="92"/>
      <c r="F38" s="92"/>
      <c r="G38" s="92"/>
      <c r="H38" s="92"/>
      <c r="I38" s="92"/>
      <c r="J38" s="92"/>
      <c r="K38" s="92"/>
      <c r="L38" s="92"/>
      <c r="M38" s="92"/>
      <c r="N38" s="92"/>
      <c r="O38" s="92"/>
      <c r="P38" s="92"/>
      <c r="Q38" s="92"/>
      <c r="R38" s="92"/>
      <c r="S38" s="92"/>
      <c r="T38" s="92"/>
      <c r="U38" s="92"/>
      <c r="V38" s="92"/>
      <c r="W38" s="92"/>
      <c r="X38" s="92"/>
      <c r="Y38" s="92"/>
      <c r="Z38" s="94"/>
      <c r="AA38" s="94"/>
      <c r="AB38" s="84"/>
    </row>
    <row r="39" spans="1:28" ht="14.25">
      <c r="A39" s="25"/>
      <c r="B39" s="691" t="s">
        <v>64</v>
      </c>
      <c r="C39" s="92"/>
      <c r="D39" s="92"/>
      <c r="E39" s="92"/>
      <c r="F39" s="92"/>
      <c r="G39" s="92"/>
      <c r="H39" s="92"/>
      <c r="I39" s="92"/>
      <c r="J39" s="92"/>
      <c r="K39" s="92"/>
      <c r="L39" s="92"/>
      <c r="M39" s="92"/>
      <c r="N39" s="92"/>
      <c r="O39" s="92"/>
      <c r="P39" s="92"/>
      <c r="Q39" s="92"/>
      <c r="R39" s="92"/>
      <c r="S39" s="92"/>
      <c r="T39" s="92"/>
      <c r="U39" s="92"/>
      <c r="V39" s="92"/>
      <c r="W39" s="92"/>
      <c r="X39" s="92"/>
      <c r="Y39" s="92"/>
      <c r="Z39" s="94"/>
      <c r="AA39" s="94"/>
      <c r="AB39" s="84"/>
    </row>
    <row r="40" spans="1:28" ht="14.25">
      <c r="A40" s="25"/>
      <c r="B40" s="691" t="s">
        <v>3312</v>
      </c>
      <c r="C40" s="92"/>
      <c r="D40" s="92"/>
      <c r="E40" s="92"/>
      <c r="F40" s="92"/>
      <c r="G40" s="92"/>
      <c r="H40" s="92"/>
      <c r="I40" s="92"/>
      <c r="J40" s="92"/>
      <c r="K40" s="92"/>
      <c r="L40" s="92"/>
      <c r="M40" s="92"/>
      <c r="N40" s="92"/>
      <c r="O40" s="92"/>
      <c r="P40" s="92"/>
      <c r="Q40" s="92"/>
      <c r="R40" s="92"/>
      <c r="S40" s="92"/>
      <c r="T40" s="92"/>
      <c r="U40" s="92"/>
      <c r="V40" s="92"/>
      <c r="W40" s="92"/>
      <c r="X40" s="92"/>
      <c r="Y40" s="92"/>
      <c r="Z40" s="94"/>
      <c r="AA40" s="94"/>
      <c r="AB40" s="84"/>
    </row>
    <row r="41" spans="1:28" ht="14.1" customHeight="1">
      <c r="A41" s="25"/>
      <c r="B41" s="691" t="s">
        <v>3313</v>
      </c>
      <c r="C41" s="92"/>
      <c r="D41" s="92"/>
      <c r="E41" s="92"/>
      <c r="F41" s="92"/>
      <c r="G41" s="92"/>
      <c r="H41" s="92"/>
      <c r="I41" s="92"/>
      <c r="J41" s="92"/>
      <c r="K41" s="92"/>
      <c r="L41" s="92"/>
      <c r="M41" s="92"/>
      <c r="N41" s="92"/>
      <c r="O41" s="92"/>
      <c r="P41" s="92"/>
      <c r="Q41" s="92"/>
      <c r="R41" s="92"/>
      <c r="S41" s="92"/>
      <c r="T41" s="92"/>
      <c r="U41" s="92"/>
      <c r="V41" s="92"/>
      <c r="W41" s="92"/>
      <c r="X41" s="92"/>
      <c r="Y41" s="92"/>
      <c r="Z41" s="94"/>
      <c r="AA41" s="94"/>
      <c r="AB41" s="84"/>
    </row>
    <row r="42" spans="1:28" ht="14.1" customHeight="1">
      <c r="A42" s="25"/>
      <c r="B42" s="91"/>
      <c r="C42" s="92"/>
      <c r="D42" s="92"/>
      <c r="E42" s="92"/>
      <c r="F42" s="92"/>
      <c r="G42" s="92"/>
      <c r="H42" s="92"/>
      <c r="I42" s="92"/>
      <c r="J42" s="92"/>
      <c r="K42" s="92"/>
      <c r="L42" s="92"/>
      <c r="M42" s="92"/>
      <c r="N42" s="92"/>
      <c r="O42" s="92"/>
      <c r="P42" s="92"/>
      <c r="Q42" s="92"/>
      <c r="R42" s="92"/>
      <c r="S42" s="92"/>
      <c r="T42" s="92"/>
      <c r="U42" s="92"/>
      <c r="V42" s="92"/>
      <c r="W42" s="92"/>
      <c r="X42" s="92"/>
      <c r="Y42" s="92"/>
      <c r="Z42" s="94"/>
      <c r="AA42" s="94"/>
      <c r="AB42" s="84"/>
    </row>
    <row r="43" spans="1:28" ht="14.25">
      <c r="A43" s="25"/>
      <c r="B43" s="91"/>
      <c r="C43" s="92"/>
      <c r="D43" s="92"/>
      <c r="E43" s="92"/>
      <c r="F43" s="92"/>
      <c r="G43" s="92"/>
      <c r="H43" s="92"/>
      <c r="I43" s="92"/>
      <c r="J43" s="92"/>
      <c r="K43" s="92"/>
      <c r="L43" s="92"/>
      <c r="M43" s="92"/>
      <c r="N43" s="92"/>
      <c r="O43" s="92"/>
      <c r="P43" s="92"/>
      <c r="Q43" s="92"/>
      <c r="R43" s="92"/>
      <c r="S43" s="92"/>
      <c r="T43" s="92"/>
      <c r="U43" s="92"/>
      <c r="V43" s="92"/>
      <c r="W43" s="92"/>
      <c r="X43" s="92"/>
      <c r="Y43" s="92"/>
      <c r="Z43" s="94"/>
      <c r="AA43" s="94"/>
      <c r="AB43" s="84"/>
    </row>
    <row r="44" spans="1:28" ht="14.25">
      <c r="A44" s="25"/>
      <c r="B44" s="91"/>
      <c r="C44" s="92"/>
      <c r="D44" s="92"/>
      <c r="E44" s="92"/>
      <c r="F44" s="92"/>
      <c r="G44" s="92"/>
      <c r="H44" s="92"/>
      <c r="I44" s="92"/>
      <c r="J44" s="92"/>
      <c r="K44" s="92"/>
      <c r="L44" s="92"/>
      <c r="M44" s="92"/>
      <c r="N44" s="92"/>
      <c r="O44" s="92"/>
      <c r="P44" s="92"/>
      <c r="Q44" s="92"/>
      <c r="R44" s="92"/>
      <c r="S44" s="92"/>
      <c r="T44" s="92"/>
      <c r="U44" s="92"/>
      <c r="V44" s="92"/>
      <c r="W44" s="92"/>
      <c r="X44" s="92"/>
      <c r="Y44" s="92"/>
      <c r="Z44" s="94"/>
      <c r="AA44" s="94"/>
      <c r="AB44" s="84"/>
    </row>
    <row r="45" spans="1:28" ht="15">
      <c r="A45" s="25"/>
      <c r="B45" s="86" t="s">
        <v>3314</v>
      </c>
      <c r="C45" s="92"/>
      <c r="D45" s="92"/>
      <c r="E45" s="92"/>
      <c r="F45" s="92"/>
      <c r="G45" s="92"/>
      <c r="H45" s="92"/>
      <c r="I45" s="92"/>
      <c r="J45" s="92"/>
      <c r="K45" s="92"/>
      <c r="L45" s="92"/>
      <c r="M45" s="92"/>
      <c r="N45" s="92"/>
      <c r="O45" s="92"/>
      <c r="P45" s="92"/>
      <c r="Q45" s="92"/>
      <c r="R45" s="92"/>
      <c r="S45" s="92"/>
      <c r="T45" s="92"/>
      <c r="U45" s="92"/>
      <c r="V45" s="92"/>
      <c r="W45" s="92"/>
      <c r="X45" s="92"/>
      <c r="Y45" s="92"/>
      <c r="Z45" s="94"/>
      <c r="AA45" s="94"/>
      <c r="AB45" s="84"/>
    </row>
    <row r="46" spans="1:28">
      <c r="A46" s="25"/>
      <c r="B46" s="89" t="s">
        <v>3316</v>
      </c>
      <c r="C46" s="92"/>
      <c r="D46" s="92"/>
      <c r="E46" s="92"/>
      <c r="F46" s="92"/>
      <c r="G46" s="92"/>
      <c r="H46" s="92"/>
      <c r="I46" s="92"/>
      <c r="J46" s="92"/>
      <c r="K46" s="92"/>
      <c r="L46" s="92"/>
      <c r="M46" s="92"/>
      <c r="N46" s="92"/>
      <c r="O46" s="92"/>
      <c r="P46" s="92"/>
      <c r="Q46" s="92"/>
      <c r="R46" s="92"/>
      <c r="S46" s="92"/>
      <c r="T46" s="92"/>
      <c r="U46" s="92"/>
      <c r="V46" s="92"/>
      <c r="W46" s="92"/>
      <c r="X46" s="92"/>
      <c r="Y46" s="92"/>
      <c r="Z46" s="94"/>
      <c r="AA46" s="94"/>
      <c r="AB46" s="84"/>
    </row>
    <row r="47" spans="1:28">
      <c r="A47" s="25"/>
      <c r="B47" s="89" t="s">
        <v>3315</v>
      </c>
      <c r="C47" s="92"/>
      <c r="D47" s="92"/>
      <c r="E47" s="92"/>
      <c r="F47" s="92"/>
      <c r="G47" s="92"/>
      <c r="H47" s="92"/>
      <c r="I47" s="92"/>
      <c r="J47" s="92"/>
      <c r="K47" s="92"/>
      <c r="L47" s="92"/>
      <c r="M47" s="92"/>
      <c r="N47" s="92"/>
      <c r="O47" s="92"/>
      <c r="P47" s="92"/>
      <c r="Q47" s="92"/>
      <c r="R47" s="92"/>
      <c r="S47" s="92"/>
      <c r="T47" s="92"/>
      <c r="U47" s="92"/>
      <c r="V47" s="92"/>
      <c r="W47" s="92"/>
      <c r="X47" s="92"/>
      <c r="Y47" s="92"/>
      <c r="Z47" s="94"/>
      <c r="AA47" s="94"/>
      <c r="AB47" s="84"/>
    </row>
    <row r="48" spans="1:28">
      <c r="A48" s="25"/>
      <c r="B48" s="89"/>
      <c r="C48" s="92"/>
      <c r="D48" s="92"/>
      <c r="E48" s="92"/>
      <c r="F48" s="92"/>
      <c r="G48" s="92"/>
      <c r="H48" s="92"/>
      <c r="I48" s="92"/>
      <c r="J48" s="92"/>
      <c r="K48" s="92"/>
      <c r="L48" s="92"/>
      <c r="M48" s="92"/>
      <c r="N48" s="92"/>
      <c r="O48" s="92"/>
      <c r="P48" s="92"/>
      <c r="Q48" s="92"/>
      <c r="R48" s="92"/>
      <c r="S48" s="92"/>
      <c r="T48" s="92"/>
      <c r="U48" s="92"/>
      <c r="V48" s="92"/>
      <c r="W48" s="92"/>
      <c r="X48" s="92"/>
      <c r="Y48" s="92"/>
      <c r="Z48" s="94"/>
      <c r="AA48" s="94"/>
      <c r="AB48" s="84"/>
    </row>
    <row r="49" spans="1:28" ht="14.25">
      <c r="A49" s="25"/>
      <c r="B49" s="91"/>
      <c r="C49" s="92"/>
      <c r="D49" s="92"/>
      <c r="E49" s="92"/>
      <c r="F49" s="92"/>
      <c r="G49" s="92"/>
      <c r="H49" s="92"/>
      <c r="I49" s="92"/>
      <c r="J49" s="92"/>
      <c r="K49" s="92"/>
      <c r="L49" s="92"/>
      <c r="M49" s="92"/>
      <c r="N49" s="92"/>
      <c r="O49" s="92"/>
      <c r="P49" s="92"/>
      <c r="Q49" s="92"/>
      <c r="R49" s="92"/>
      <c r="S49" s="92"/>
      <c r="T49" s="92"/>
      <c r="U49" s="92"/>
      <c r="V49" s="92"/>
      <c r="W49" s="92"/>
      <c r="X49" s="92"/>
      <c r="Y49" s="92"/>
      <c r="Z49" s="94"/>
      <c r="AA49" s="94"/>
      <c r="AB49" s="84"/>
    </row>
    <row r="50" spans="1:28" ht="14.25">
      <c r="A50" s="25"/>
      <c r="B50" s="91"/>
      <c r="C50" s="92"/>
      <c r="D50" s="92"/>
      <c r="E50" s="92"/>
      <c r="F50" s="92"/>
      <c r="G50" s="92"/>
      <c r="H50" s="92"/>
      <c r="I50" s="92"/>
      <c r="J50" s="92"/>
      <c r="K50" s="92"/>
      <c r="L50" s="92"/>
      <c r="M50" s="92"/>
      <c r="N50" s="92"/>
      <c r="O50" s="92"/>
      <c r="P50" s="92"/>
      <c r="Q50" s="92"/>
      <c r="R50" s="92"/>
      <c r="S50" s="92"/>
      <c r="T50" s="92"/>
      <c r="U50" s="92"/>
      <c r="V50" s="92"/>
      <c r="W50" s="92"/>
      <c r="X50" s="92"/>
      <c r="Y50" s="92"/>
      <c r="Z50" s="94"/>
      <c r="AA50" s="94"/>
      <c r="AB50" s="84"/>
    </row>
    <row r="51" spans="1:28" ht="14.25">
      <c r="A51" s="25"/>
      <c r="B51" s="91"/>
      <c r="C51" s="92"/>
      <c r="D51" s="92"/>
      <c r="E51" s="92"/>
      <c r="F51" s="92"/>
      <c r="G51" s="92"/>
      <c r="H51" s="92"/>
      <c r="I51" s="92"/>
      <c r="J51" s="92"/>
      <c r="K51" s="92"/>
      <c r="L51" s="92"/>
      <c r="M51" s="92"/>
      <c r="N51" s="92"/>
      <c r="O51" s="92"/>
      <c r="P51" s="92"/>
      <c r="Q51" s="92"/>
      <c r="R51" s="92"/>
      <c r="S51" s="92"/>
      <c r="T51" s="92"/>
      <c r="U51" s="92"/>
      <c r="V51" s="92"/>
      <c r="W51" s="92"/>
      <c r="X51" s="92"/>
      <c r="Y51" s="92"/>
      <c r="Z51" s="94"/>
      <c r="AA51" s="94"/>
      <c r="AB51" s="84"/>
    </row>
    <row r="52" spans="1:28" ht="14.25">
      <c r="A52" s="25"/>
      <c r="B52" s="91"/>
      <c r="C52" s="92"/>
      <c r="D52" s="92"/>
      <c r="E52" s="92"/>
      <c r="F52" s="92"/>
      <c r="G52" s="92"/>
      <c r="H52" s="92"/>
      <c r="I52" s="92"/>
      <c r="J52" s="92"/>
      <c r="K52" s="92"/>
      <c r="L52" s="92"/>
      <c r="M52" s="92"/>
      <c r="N52" s="92"/>
      <c r="O52" s="92"/>
      <c r="P52" s="92"/>
      <c r="Q52" s="92"/>
      <c r="R52" s="92"/>
      <c r="S52" s="92"/>
      <c r="T52" s="92"/>
      <c r="U52" s="92"/>
      <c r="V52" s="92"/>
      <c r="W52" s="92"/>
      <c r="X52" s="92"/>
      <c r="Y52" s="92"/>
      <c r="Z52" s="94"/>
      <c r="AA52" s="94"/>
      <c r="AB52" s="84"/>
    </row>
    <row r="53" spans="1:28" ht="14.25">
      <c r="A53" s="25"/>
      <c r="B53" s="91"/>
      <c r="C53" s="92"/>
      <c r="D53" s="92"/>
      <c r="E53" s="92"/>
      <c r="F53" s="92"/>
      <c r="G53" s="92"/>
      <c r="H53" s="92"/>
      <c r="I53" s="92"/>
      <c r="J53" s="92"/>
      <c r="K53" s="92"/>
      <c r="L53" s="92"/>
      <c r="M53" s="92"/>
      <c r="N53" s="92"/>
      <c r="O53" s="92"/>
      <c r="P53" s="92"/>
      <c r="Q53" s="92"/>
      <c r="R53" s="92"/>
      <c r="S53" s="92"/>
      <c r="T53" s="92"/>
      <c r="U53" s="92"/>
      <c r="V53" s="92"/>
      <c r="W53" s="92"/>
      <c r="X53" s="92"/>
      <c r="Y53" s="92"/>
      <c r="Z53" s="94"/>
      <c r="AA53" s="94"/>
      <c r="AB53" s="84"/>
    </row>
    <row r="54" spans="1:28" ht="14.25">
      <c r="A54" s="25"/>
      <c r="B54" s="91"/>
      <c r="C54" s="92"/>
      <c r="D54" s="92"/>
      <c r="E54" s="92"/>
      <c r="F54" s="92"/>
      <c r="G54" s="92"/>
      <c r="H54" s="92"/>
      <c r="I54" s="92"/>
      <c r="J54" s="92"/>
      <c r="K54" s="92"/>
      <c r="L54" s="92"/>
      <c r="M54" s="92"/>
      <c r="N54" s="92"/>
      <c r="O54" s="92"/>
      <c r="P54" s="92"/>
      <c r="Q54" s="92"/>
      <c r="R54" s="92"/>
      <c r="S54" s="92"/>
      <c r="T54" s="92"/>
      <c r="U54" s="92"/>
      <c r="V54" s="92"/>
      <c r="W54" s="92"/>
      <c r="X54" s="92"/>
      <c r="Y54" s="92"/>
      <c r="Z54" s="94"/>
      <c r="AA54" s="94"/>
      <c r="AB54" s="84"/>
    </row>
    <row r="55" spans="1:28" ht="14.25">
      <c r="A55" s="25"/>
      <c r="B55" s="91"/>
      <c r="C55" s="92"/>
      <c r="D55" s="92"/>
      <c r="E55" s="92"/>
      <c r="F55" s="92"/>
      <c r="G55" s="92"/>
      <c r="H55" s="92"/>
      <c r="I55" s="92"/>
      <c r="J55" s="92"/>
      <c r="K55" s="92"/>
      <c r="L55" s="92"/>
      <c r="M55" s="92"/>
      <c r="N55" s="92"/>
      <c r="O55" s="92"/>
      <c r="P55" s="92"/>
      <c r="Q55" s="92"/>
      <c r="R55" s="92"/>
      <c r="S55" s="92"/>
      <c r="T55" s="92"/>
      <c r="U55" s="92"/>
      <c r="V55" s="92"/>
      <c r="W55" s="92"/>
      <c r="X55" s="92"/>
      <c r="Y55" s="92"/>
      <c r="Z55" s="94"/>
      <c r="AA55" s="94"/>
      <c r="AB55" s="84"/>
    </row>
    <row r="56" spans="1:28" ht="14.25">
      <c r="A56" s="25"/>
      <c r="B56" s="87"/>
      <c r="C56" s="92"/>
      <c r="D56" s="92"/>
      <c r="E56" s="92"/>
      <c r="F56" s="92"/>
      <c r="G56" s="92"/>
      <c r="H56" s="92"/>
      <c r="I56" s="92"/>
      <c r="J56" s="92"/>
      <c r="K56" s="92"/>
      <c r="L56" s="92"/>
      <c r="M56" s="92"/>
      <c r="N56" s="92"/>
      <c r="O56" s="92"/>
      <c r="P56" s="92"/>
      <c r="Q56" s="92"/>
      <c r="R56" s="92"/>
      <c r="S56" s="92"/>
      <c r="T56" s="92"/>
      <c r="U56" s="92"/>
      <c r="V56" s="92"/>
      <c r="W56" s="92"/>
      <c r="X56" s="92"/>
      <c r="Y56" s="92"/>
      <c r="Z56" s="94"/>
      <c r="AA56" s="94"/>
      <c r="AB56" s="84"/>
    </row>
    <row r="57" spans="1:28" ht="14.25">
      <c r="A57" s="25"/>
      <c r="B57" s="87"/>
      <c r="C57" s="92"/>
      <c r="D57" s="92"/>
      <c r="E57" s="92"/>
      <c r="F57" s="92"/>
      <c r="G57" s="92"/>
      <c r="H57" s="92"/>
      <c r="I57" s="92"/>
      <c r="J57" s="92"/>
      <c r="K57" s="92"/>
      <c r="L57" s="92"/>
      <c r="M57" s="92"/>
      <c r="N57" s="92"/>
      <c r="O57" s="92"/>
      <c r="P57" s="92"/>
      <c r="Q57" s="92"/>
      <c r="R57" s="92"/>
      <c r="S57" s="92"/>
      <c r="T57" s="92"/>
      <c r="U57" s="92"/>
      <c r="V57" s="92"/>
      <c r="W57" s="92"/>
      <c r="X57" s="92"/>
      <c r="Y57" s="92"/>
      <c r="Z57" s="94"/>
      <c r="AA57" s="94"/>
      <c r="AB57" s="84"/>
    </row>
    <row r="58" spans="1:28">
      <c r="A58" s="25"/>
      <c r="B58" s="149" t="s">
        <v>65</v>
      </c>
      <c r="C58" s="92"/>
      <c r="D58" s="92"/>
      <c r="E58" s="92"/>
      <c r="F58" s="92"/>
      <c r="G58" s="92"/>
      <c r="H58" s="92"/>
      <c r="I58" s="92"/>
      <c r="J58" s="92"/>
      <c r="K58" s="92"/>
      <c r="L58" s="92"/>
      <c r="M58" s="92"/>
      <c r="N58" s="92"/>
      <c r="O58" s="92"/>
      <c r="P58" s="92"/>
      <c r="Q58" s="92"/>
      <c r="R58" s="92"/>
      <c r="S58" s="92"/>
      <c r="T58" s="92"/>
      <c r="U58" s="92"/>
      <c r="V58" s="92"/>
      <c r="W58" s="92"/>
      <c r="X58" s="92"/>
      <c r="Y58" s="92"/>
      <c r="Z58" s="94"/>
      <c r="AA58" s="94"/>
      <c r="AB58" s="84"/>
    </row>
    <row r="59" spans="1:28">
      <c r="A59" s="35"/>
      <c r="B59" s="35"/>
      <c r="C59" s="92"/>
      <c r="D59" s="92"/>
      <c r="E59" s="92"/>
      <c r="F59" s="92"/>
      <c r="G59" s="92"/>
      <c r="H59" s="92"/>
      <c r="I59" s="92"/>
      <c r="J59" s="92"/>
      <c r="K59" s="92"/>
      <c r="L59" s="92"/>
      <c r="M59" s="92"/>
      <c r="N59" s="92"/>
      <c r="O59" s="92"/>
      <c r="P59" s="92"/>
      <c r="Q59" s="92"/>
      <c r="R59" s="92"/>
      <c r="S59" s="92"/>
      <c r="T59" s="92"/>
      <c r="U59" s="92"/>
      <c r="V59" s="92"/>
      <c r="W59" s="92"/>
      <c r="X59" s="92"/>
      <c r="Y59" s="92"/>
      <c r="Z59" s="94"/>
      <c r="AA59" s="94"/>
      <c r="AB59" s="84"/>
    </row>
    <row r="60" spans="1:28">
      <c r="A60" s="94"/>
      <c r="B60" s="94"/>
      <c r="C60" s="92"/>
      <c r="D60" s="92"/>
      <c r="E60" s="92"/>
      <c r="F60" s="92"/>
      <c r="G60" s="92"/>
      <c r="H60" s="92"/>
      <c r="I60" s="92"/>
      <c r="J60" s="92"/>
      <c r="K60" s="92"/>
      <c r="L60" s="92"/>
      <c r="M60" s="92"/>
      <c r="N60" s="92"/>
      <c r="O60" s="92"/>
      <c r="P60" s="92"/>
      <c r="Q60" s="92"/>
      <c r="R60" s="92"/>
      <c r="S60" s="92"/>
      <c r="T60" s="92"/>
      <c r="U60" s="92"/>
      <c r="V60" s="92"/>
      <c r="W60" s="92"/>
      <c r="X60" s="92"/>
      <c r="Y60" s="92"/>
      <c r="Z60" s="94"/>
      <c r="AA60" s="94"/>
      <c r="AB60" s="84"/>
    </row>
    <row r="61" spans="1:28">
      <c r="A61" s="94"/>
      <c r="B61" s="94"/>
      <c r="C61" s="92"/>
      <c r="D61" s="92"/>
      <c r="E61" s="92"/>
      <c r="F61" s="92"/>
      <c r="G61" s="92"/>
      <c r="H61" s="92"/>
      <c r="I61" s="92"/>
      <c r="J61" s="92"/>
      <c r="K61" s="92"/>
      <c r="L61" s="92"/>
      <c r="M61" s="92"/>
      <c r="N61" s="92"/>
      <c r="O61" s="92"/>
      <c r="P61" s="92"/>
      <c r="Q61" s="92"/>
      <c r="R61" s="92"/>
      <c r="S61" s="92"/>
      <c r="T61" s="92"/>
      <c r="U61" s="92"/>
      <c r="V61" s="92"/>
      <c r="W61" s="92"/>
      <c r="X61" s="92"/>
      <c r="Y61" s="92"/>
      <c r="Z61" s="94"/>
      <c r="AA61" s="94"/>
      <c r="AB61" s="84"/>
    </row>
    <row r="62" spans="1:28">
      <c r="A62" s="94"/>
      <c r="B62" s="94"/>
      <c r="C62" s="92"/>
      <c r="D62" s="92"/>
      <c r="E62" s="92"/>
      <c r="F62" s="92"/>
      <c r="G62" s="92"/>
      <c r="H62" s="92"/>
      <c r="I62" s="92"/>
      <c r="J62" s="92"/>
      <c r="K62" s="92"/>
      <c r="L62" s="92"/>
      <c r="M62" s="92"/>
      <c r="N62" s="92"/>
      <c r="O62" s="92"/>
      <c r="P62" s="92"/>
      <c r="Q62" s="92"/>
      <c r="R62" s="92"/>
      <c r="S62" s="92"/>
      <c r="T62" s="92"/>
      <c r="U62" s="92"/>
      <c r="V62" s="92"/>
      <c r="W62" s="92"/>
      <c r="X62" s="92"/>
      <c r="Y62" s="92"/>
      <c r="Z62" s="94"/>
      <c r="AA62" s="94"/>
      <c r="AB62" s="84"/>
    </row>
    <row r="63" spans="1:28">
      <c r="A63" s="94"/>
      <c r="B63" s="94"/>
      <c r="C63" s="92"/>
      <c r="D63" s="92"/>
      <c r="E63" s="92"/>
      <c r="F63" s="92"/>
      <c r="G63" s="92"/>
      <c r="H63" s="92"/>
      <c r="I63" s="92"/>
      <c r="J63" s="92"/>
      <c r="K63" s="92"/>
      <c r="L63" s="92"/>
      <c r="M63" s="92"/>
      <c r="N63" s="92"/>
      <c r="O63" s="92"/>
      <c r="P63" s="92"/>
      <c r="Q63" s="92"/>
      <c r="R63" s="92"/>
      <c r="S63" s="92"/>
      <c r="T63" s="92"/>
      <c r="U63" s="92"/>
      <c r="V63" s="92"/>
      <c r="W63" s="92"/>
      <c r="X63" s="92"/>
      <c r="Y63" s="92"/>
      <c r="Z63" s="94"/>
      <c r="AA63" s="94"/>
      <c r="AB63" s="84"/>
    </row>
    <row r="64" spans="1:28" ht="4.5" customHeight="1">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row>
    <row r="65" spans="1:27">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row>
    <row r="66" spans="1:27">
      <c r="A66" s="94"/>
      <c r="B66" s="94"/>
      <c r="C66" s="94"/>
      <c r="D66" s="94"/>
      <c r="E66" s="94"/>
      <c r="F66" s="94"/>
      <c r="G66" s="94"/>
      <c r="H66" s="94"/>
      <c r="I66" s="94"/>
      <c r="J66" s="94"/>
      <c r="K66" s="94"/>
      <c r="L66" s="94"/>
      <c r="M66" s="94"/>
      <c r="N66" s="94"/>
      <c r="O66" s="94"/>
      <c r="P66" s="94"/>
      <c r="Q66" s="94"/>
      <c r="R66" s="94"/>
      <c r="S66" s="94"/>
      <c r="T66" s="94"/>
      <c r="U66" s="94"/>
      <c r="V66" s="94"/>
      <c r="W66" s="94"/>
      <c r="X66" s="94"/>
      <c r="Y66" s="94"/>
    </row>
    <row r="67" spans="1:27">
      <c r="A67" s="94"/>
      <c r="B67" s="94"/>
      <c r="C67" s="94"/>
      <c r="D67" s="94"/>
      <c r="E67" s="94"/>
      <c r="F67" s="94"/>
      <c r="G67" s="94"/>
      <c r="H67" s="94"/>
      <c r="I67" s="94"/>
      <c r="J67" s="94"/>
      <c r="K67" s="94"/>
      <c r="L67" s="94"/>
      <c r="M67" s="94"/>
      <c r="N67" s="94"/>
      <c r="O67" s="94"/>
      <c r="P67" s="94"/>
      <c r="Q67" s="94"/>
      <c r="R67" s="94"/>
      <c r="S67" s="94"/>
      <c r="T67" s="94"/>
      <c r="U67" s="94"/>
      <c r="V67" s="94"/>
      <c r="W67" s="94"/>
      <c r="X67" s="94"/>
      <c r="Y67" s="94"/>
    </row>
    <row r="68" spans="1:27">
      <c r="A68" s="94"/>
      <c r="B68" s="94"/>
      <c r="C68" s="94"/>
      <c r="D68" s="94"/>
      <c r="E68" s="94"/>
      <c r="F68" s="94"/>
      <c r="G68" s="94"/>
      <c r="H68" s="94"/>
      <c r="I68" s="94"/>
      <c r="J68" s="94"/>
      <c r="K68" s="94"/>
      <c r="L68" s="94"/>
      <c r="M68" s="94"/>
      <c r="N68" s="94"/>
      <c r="O68" s="94"/>
      <c r="P68" s="94"/>
      <c r="Q68" s="94"/>
      <c r="R68" s="94"/>
      <c r="S68" s="94"/>
      <c r="T68" s="94"/>
      <c r="U68" s="94"/>
      <c r="V68" s="94"/>
      <c r="W68" s="94"/>
      <c r="X68" s="94"/>
      <c r="Y68" s="94"/>
    </row>
    <row r="69" spans="1:27" ht="15.75" customHeight="1">
      <c r="A69" s="94"/>
      <c r="B69" s="94"/>
      <c r="C69" s="94"/>
      <c r="D69" s="94"/>
      <c r="E69" s="94"/>
      <c r="F69" s="94"/>
      <c r="G69" s="94"/>
      <c r="H69" s="94"/>
      <c r="I69" s="94"/>
      <c r="J69" s="94"/>
      <c r="K69" s="94"/>
      <c r="L69" s="94"/>
      <c r="M69" s="94"/>
      <c r="N69" s="94"/>
      <c r="O69" s="94"/>
      <c r="P69" s="94"/>
      <c r="Q69" s="94"/>
      <c r="R69" s="94"/>
      <c r="S69" s="94"/>
      <c r="T69" s="94"/>
      <c r="U69" s="94"/>
      <c r="V69" s="94"/>
      <c r="W69" s="94"/>
      <c r="X69" s="94"/>
      <c r="Y69" s="94"/>
    </row>
    <row r="70" spans="1:27">
      <c r="A70" s="94"/>
      <c r="B70" s="94"/>
      <c r="C70" s="94"/>
      <c r="D70" s="94"/>
      <c r="E70" s="94"/>
      <c r="F70" s="94"/>
      <c r="G70" s="94"/>
      <c r="H70" s="94"/>
      <c r="I70" s="94"/>
      <c r="J70" s="94"/>
      <c r="K70" s="94"/>
      <c r="L70" s="94"/>
      <c r="M70" s="94"/>
      <c r="N70" s="94"/>
      <c r="O70" s="94"/>
      <c r="P70" s="94"/>
      <c r="Q70" s="94"/>
      <c r="R70" s="94"/>
      <c r="S70" s="94"/>
      <c r="T70" s="94"/>
      <c r="U70" s="94"/>
      <c r="V70" s="94"/>
      <c r="W70" s="94"/>
      <c r="X70" s="94"/>
      <c r="Y70" s="94"/>
    </row>
    <row r="71" spans="1:27">
      <c r="A71" s="94"/>
      <c r="B71" s="94"/>
      <c r="C71" s="94"/>
      <c r="D71" s="94"/>
      <c r="E71" s="94"/>
      <c r="F71" s="94"/>
      <c r="G71" s="94"/>
      <c r="H71" s="94"/>
      <c r="I71" s="94"/>
      <c r="J71" s="94"/>
      <c r="K71" s="94"/>
      <c r="L71" s="94"/>
      <c r="M71" s="94"/>
      <c r="N71" s="94"/>
      <c r="O71" s="94"/>
      <c r="P71" s="94"/>
      <c r="Q71" s="94"/>
      <c r="R71" s="94"/>
      <c r="S71" s="94"/>
      <c r="T71" s="94"/>
      <c r="U71" s="94"/>
      <c r="V71" s="94"/>
      <c r="W71" s="94"/>
      <c r="X71" s="94"/>
      <c r="Y71" s="94"/>
    </row>
    <row r="72" spans="1:27" ht="5.25" customHeight="1">
      <c r="A72" s="94"/>
      <c r="B72" s="94"/>
      <c r="C72" s="94"/>
      <c r="D72" s="94"/>
      <c r="E72" s="94"/>
      <c r="F72" s="94"/>
      <c r="G72" s="94"/>
      <c r="H72" s="94"/>
      <c r="I72" s="94"/>
      <c r="J72" s="94"/>
      <c r="K72" s="94"/>
      <c r="L72" s="94"/>
      <c r="M72" s="94"/>
      <c r="N72" s="94"/>
      <c r="O72" s="94"/>
      <c r="P72" s="94"/>
      <c r="Q72" s="94"/>
      <c r="R72" s="94"/>
      <c r="S72" s="94"/>
      <c r="T72" s="94"/>
      <c r="U72" s="94"/>
      <c r="V72" s="94"/>
      <c r="W72" s="94"/>
      <c r="X72" s="94"/>
      <c r="Y72" s="94"/>
    </row>
    <row r="73" spans="1:27">
      <c r="A73" s="94"/>
      <c r="B73" s="94"/>
      <c r="C73" s="94"/>
      <c r="D73" s="94"/>
      <c r="E73" s="94"/>
      <c r="F73" s="94"/>
      <c r="G73" s="94"/>
      <c r="H73" s="94"/>
      <c r="I73" s="94"/>
      <c r="J73" s="94"/>
      <c r="K73" s="94"/>
      <c r="L73" s="94"/>
      <c r="M73" s="94"/>
      <c r="N73" s="94"/>
      <c r="O73" s="94"/>
      <c r="P73" s="94"/>
      <c r="Q73" s="94"/>
      <c r="R73" s="94"/>
      <c r="S73" s="94"/>
      <c r="T73" s="94"/>
      <c r="U73" s="94"/>
      <c r="V73" s="94"/>
      <c r="W73" s="94"/>
      <c r="X73" s="94"/>
      <c r="Y73" s="94"/>
    </row>
    <row r="74" spans="1:27" ht="5.25" customHeight="1">
      <c r="A74" s="94"/>
      <c r="B74" s="94"/>
      <c r="C74" s="94"/>
      <c r="D74" s="94"/>
      <c r="E74" s="94"/>
      <c r="F74" s="94"/>
      <c r="G74" s="94"/>
      <c r="H74" s="94"/>
      <c r="I74" s="94"/>
      <c r="J74" s="94"/>
      <c r="K74" s="94"/>
      <c r="L74" s="94"/>
      <c r="M74" s="94"/>
      <c r="N74" s="94"/>
      <c r="O74" s="94"/>
      <c r="P74" s="94"/>
      <c r="Q74" s="94"/>
      <c r="R74" s="94"/>
      <c r="S74" s="94"/>
      <c r="T74" s="94"/>
      <c r="U74" s="94"/>
      <c r="V74" s="94"/>
      <c r="W74" s="94"/>
      <c r="X74" s="94"/>
      <c r="Y74" s="94"/>
    </row>
    <row r="75" spans="1:27" ht="3" customHeight="1">
      <c r="A75" s="94"/>
      <c r="B75" s="94"/>
      <c r="C75" s="94"/>
      <c r="D75" s="94"/>
      <c r="E75" s="94"/>
      <c r="F75" s="94"/>
      <c r="G75" s="94"/>
      <c r="H75" s="94"/>
      <c r="I75" s="94"/>
      <c r="J75" s="94"/>
      <c r="K75" s="94"/>
      <c r="L75" s="94"/>
      <c r="M75" s="94"/>
      <c r="N75" s="94"/>
      <c r="O75" s="94"/>
      <c r="P75" s="94"/>
      <c r="Q75" s="94"/>
      <c r="R75" s="94"/>
      <c r="S75" s="94"/>
      <c r="T75" s="94"/>
      <c r="U75" s="94"/>
      <c r="V75" s="94"/>
      <c r="W75" s="94"/>
      <c r="X75" s="94"/>
      <c r="Y75" s="94"/>
    </row>
    <row r="76" spans="1:27">
      <c r="A76" s="94"/>
      <c r="B76" s="94"/>
      <c r="C76" s="94"/>
      <c r="D76" s="94"/>
      <c r="E76" s="94"/>
      <c r="F76" s="94"/>
      <c r="G76" s="94"/>
      <c r="H76" s="94"/>
      <c r="I76" s="94"/>
      <c r="J76" s="94"/>
      <c r="K76" s="94"/>
      <c r="L76" s="94"/>
      <c r="M76" s="94"/>
      <c r="N76" s="94"/>
      <c r="O76" s="94"/>
      <c r="P76" s="94"/>
      <c r="Q76" s="94"/>
      <c r="R76" s="94"/>
      <c r="S76" s="94"/>
      <c r="T76" s="94"/>
      <c r="U76" s="94"/>
      <c r="V76" s="94"/>
      <c r="W76" s="94"/>
      <c r="X76" s="94"/>
      <c r="Y76" s="94"/>
    </row>
    <row r="77" spans="1:27" ht="7.5" customHeight="1">
      <c r="A77" s="94"/>
      <c r="B77" s="94"/>
      <c r="C77" s="94"/>
      <c r="D77" s="94"/>
      <c r="E77" s="94"/>
      <c r="F77" s="94"/>
      <c r="G77" s="94"/>
      <c r="H77" s="94"/>
      <c r="I77" s="94"/>
      <c r="J77" s="94"/>
      <c r="K77" s="94"/>
      <c r="L77" s="94"/>
      <c r="M77" s="94"/>
      <c r="N77" s="94"/>
      <c r="O77" s="94"/>
      <c r="P77" s="94"/>
      <c r="Q77" s="94"/>
      <c r="R77" s="94"/>
      <c r="S77" s="94"/>
      <c r="T77" s="94"/>
      <c r="U77" s="94"/>
      <c r="V77" s="94"/>
      <c r="W77" s="94"/>
      <c r="X77" s="94"/>
      <c r="Y77" s="94"/>
    </row>
    <row r="78" spans="1:27">
      <c r="A78" s="94"/>
      <c r="B78" s="94"/>
      <c r="C78" s="94"/>
      <c r="D78" s="94"/>
      <c r="E78" s="94"/>
      <c r="F78" s="94"/>
      <c r="G78" s="94"/>
      <c r="H78" s="94"/>
      <c r="I78" s="94"/>
      <c r="J78" s="94"/>
      <c r="K78" s="94"/>
      <c r="L78" s="94"/>
      <c r="M78" s="94"/>
      <c r="N78" s="94"/>
      <c r="O78" s="94"/>
      <c r="P78" s="94"/>
      <c r="Q78" s="94"/>
      <c r="R78" s="94"/>
      <c r="S78" s="94"/>
      <c r="T78" s="94"/>
      <c r="U78" s="94"/>
      <c r="V78" s="94"/>
      <c r="W78" s="94"/>
      <c r="X78" s="94"/>
      <c r="Y78" s="94"/>
    </row>
    <row r="79" spans="1:27" ht="21" customHeight="1">
      <c r="A79" s="94"/>
      <c r="B79" s="94"/>
      <c r="C79" s="94"/>
      <c r="D79" s="94"/>
      <c r="E79" s="94"/>
      <c r="F79" s="94"/>
      <c r="G79" s="94"/>
      <c r="H79" s="94"/>
      <c r="I79" s="94"/>
      <c r="J79" s="94"/>
      <c r="K79" s="94"/>
      <c r="L79" s="94"/>
      <c r="M79" s="94"/>
      <c r="N79" s="94"/>
      <c r="O79" s="94"/>
      <c r="P79" s="94"/>
      <c r="Q79" s="94"/>
      <c r="R79" s="94"/>
      <c r="S79" s="94"/>
      <c r="T79" s="94"/>
      <c r="U79" s="94"/>
      <c r="V79" s="94"/>
      <c r="W79" s="94"/>
      <c r="X79" s="94"/>
      <c r="Y79" s="94"/>
    </row>
    <row r="80" spans="1:27">
      <c r="A80" s="94"/>
      <c r="B80" s="94"/>
      <c r="C80" s="94"/>
      <c r="D80" s="94"/>
      <c r="E80" s="94"/>
      <c r="F80" s="94"/>
      <c r="G80" s="94"/>
      <c r="H80" s="94"/>
      <c r="I80" s="94"/>
      <c r="J80" s="94"/>
      <c r="K80" s="94"/>
      <c r="L80" s="94"/>
      <c r="M80" s="94"/>
      <c r="N80" s="94"/>
      <c r="O80" s="94"/>
      <c r="P80" s="94"/>
      <c r="Q80" s="94"/>
      <c r="R80" s="94"/>
      <c r="S80" s="94"/>
      <c r="T80" s="94"/>
      <c r="U80" s="94"/>
      <c r="V80" s="94"/>
      <c r="W80" s="94"/>
      <c r="X80" s="94"/>
      <c r="Y80" s="94"/>
    </row>
    <row r="81" spans="1:28">
      <c r="A81" s="94"/>
      <c r="B81" s="94"/>
      <c r="C81" s="94"/>
      <c r="D81" s="94"/>
      <c r="E81" s="94"/>
      <c r="F81" s="94"/>
      <c r="G81" s="94"/>
      <c r="H81" s="94"/>
      <c r="I81" s="94"/>
      <c r="J81" s="94"/>
      <c r="K81" s="94"/>
      <c r="L81" s="94"/>
      <c r="M81" s="94"/>
      <c r="N81" s="94"/>
      <c r="O81" s="94"/>
      <c r="P81" s="94"/>
      <c r="Q81" s="94"/>
      <c r="R81" s="94"/>
      <c r="S81" s="94"/>
      <c r="T81" s="94"/>
      <c r="U81" s="94"/>
      <c r="V81" s="94"/>
      <c r="W81" s="94"/>
      <c r="X81" s="94"/>
      <c r="Y81" s="94"/>
    </row>
    <row r="82" spans="1:28" ht="45.75" customHeight="1">
      <c r="A82" s="94"/>
      <c r="B82" s="94"/>
      <c r="C82" s="94"/>
      <c r="D82" s="94"/>
      <c r="E82" s="94"/>
      <c r="F82" s="94"/>
      <c r="G82" s="94"/>
      <c r="H82" s="94"/>
      <c r="I82" s="94"/>
      <c r="J82" s="94"/>
      <c r="K82" s="94"/>
      <c r="L82" s="94"/>
      <c r="M82" s="94"/>
      <c r="N82" s="94"/>
      <c r="O82" s="94"/>
      <c r="P82" s="94"/>
      <c r="Q82" s="94"/>
      <c r="R82" s="94"/>
      <c r="S82" s="94"/>
      <c r="T82" s="94"/>
      <c r="U82" s="94"/>
      <c r="V82" s="94"/>
      <c r="W82" s="94"/>
      <c r="X82" s="94"/>
      <c r="Y82" s="94"/>
    </row>
    <row r="83" spans="1:28" ht="4.5" customHeight="1">
      <c r="A83" s="94"/>
      <c r="B83" s="94"/>
      <c r="C83" s="94"/>
      <c r="D83" s="94"/>
      <c r="E83" s="94"/>
      <c r="F83" s="94"/>
      <c r="G83" s="94"/>
      <c r="H83" s="94"/>
      <c r="I83" s="94"/>
      <c r="J83" s="94"/>
      <c r="K83" s="94"/>
      <c r="L83" s="94"/>
      <c r="M83" s="94"/>
      <c r="N83" s="94"/>
      <c r="O83" s="94"/>
      <c r="P83" s="94"/>
      <c r="Q83" s="94"/>
      <c r="R83" s="94"/>
      <c r="S83" s="94"/>
      <c r="T83" s="94"/>
      <c r="U83" s="94"/>
      <c r="V83" s="94"/>
      <c r="W83" s="94"/>
      <c r="X83" s="94"/>
      <c r="Y83" s="94"/>
    </row>
    <row r="84" spans="1:28">
      <c r="A84" s="94"/>
      <c r="B84" s="94"/>
      <c r="C84" s="94"/>
      <c r="D84" s="94"/>
      <c r="E84" s="94"/>
      <c r="F84" s="94"/>
      <c r="G84" s="94"/>
      <c r="H84" s="94"/>
      <c r="I84" s="94"/>
      <c r="J84" s="94"/>
      <c r="K84" s="94"/>
      <c r="L84" s="94"/>
      <c r="M84" s="94"/>
      <c r="N84" s="94"/>
      <c r="O84" s="94"/>
      <c r="P84" s="94"/>
      <c r="Q84" s="94"/>
      <c r="R84" s="94"/>
      <c r="S84" s="94"/>
      <c r="T84" s="94"/>
      <c r="U84" s="94"/>
      <c r="V84" s="94"/>
      <c r="W84" s="94"/>
      <c r="X84" s="94"/>
      <c r="Y84" s="94"/>
    </row>
    <row r="85" spans="1:28">
      <c r="A85" s="94"/>
      <c r="B85" s="94"/>
      <c r="C85" s="94"/>
      <c r="D85" s="94"/>
      <c r="E85" s="94"/>
      <c r="F85" s="94"/>
      <c r="G85" s="94"/>
      <c r="H85" s="94"/>
      <c r="I85" s="94"/>
      <c r="J85" s="94"/>
      <c r="K85" s="94"/>
      <c r="L85" s="94"/>
      <c r="M85" s="94"/>
      <c r="N85" s="94"/>
      <c r="O85" s="94"/>
      <c r="P85" s="94"/>
      <c r="Q85" s="94"/>
      <c r="R85" s="94"/>
      <c r="S85" s="94"/>
      <c r="T85" s="94"/>
      <c r="U85" s="94"/>
      <c r="V85" s="94"/>
      <c r="W85" s="94"/>
      <c r="X85" s="94"/>
      <c r="Y85" s="94"/>
    </row>
    <row r="86" spans="1:28">
      <c r="A86" s="94"/>
      <c r="B86" s="94"/>
      <c r="C86" s="94"/>
      <c r="D86" s="94"/>
      <c r="E86" s="94"/>
      <c r="F86" s="94"/>
      <c r="G86" s="94"/>
      <c r="H86" s="94"/>
      <c r="I86" s="94"/>
      <c r="J86" s="94"/>
      <c r="K86" s="94"/>
      <c r="L86" s="94"/>
      <c r="M86" s="94"/>
      <c r="N86" s="94"/>
      <c r="O86" s="94"/>
      <c r="P86" s="94"/>
      <c r="Q86" s="94"/>
      <c r="R86" s="94"/>
      <c r="S86" s="94"/>
      <c r="T86" s="94"/>
      <c r="U86" s="94"/>
      <c r="V86" s="94"/>
      <c r="W86" s="94"/>
      <c r="X86" s="94"/>
      <c r="Y86" s="94"/>
    </row>
    <row r="87" spans="1:28">
      <c r="A87" s="94"/>
      <c r="B87" s="94"/>
      <c r="C87" s="94"/>
      <c r="D87" s="94"/>
      <c r="E87" s="94"/>
      <c r="F87" s="94"/>
      <c r="G87" s="94"/>
      <c r="H87" s="94"/>
      <c r="I87" s="94"/>
      <c r="J87" s="94"/>
      <c r="K87" s="94"/>
      <c r="L87" s="94"/>
      <c r="M87" s="94"/>
      <c r="N87" s="94"/>
      <c r="O87" s="94"/>
      <c r="P87" s="94"/>
      <c r="Q87" s="94"/>
      <c r="R87" s="94"/>
      <c r="S87" s="94"/>
      <c r="T87" s="94"/>
      <c r="U87" s="94"/>
      <c r="V87" s="94"/>
      <c r="W87" s="94"/>
      <c r="X87" s="94"/>
      <c r="Y87" s="94"/>
    </row>
    <row r="88" spans="1:28">
      <c r="A88" s="94"/>
      <c r="B88" s="94"/>
      <c r="C88" s="94"/>
      <c r="D88" s="94"/>
      <c r="E88" s="94"/>
      <c r="F88" s="94"/>
      <c r="G88" s="94"/>
      <c r="H88" s="94"/>
      <c r="I88" s="94"/>
      <c r="J88" s="94"/>
      <c r="K88" s="94"/>
      <c r="L88" s="94"/>
      <c r="M88" s="94"/>
      <c r="N88" s="94"/>
      <c r="O88" s="94"/>
      <c r="P88" s="94"/>
      <c r="Q88" s="94"/>
      <c r="R88" s="94"/>
      <c r="S88" s="94"/>
      <c r="T88" s="94"/>
      <c r="U88" s="94"/>
      <c r="V88" s="94"/>
      <c r="W88" s="94"/>
      <c r="X88" s="94"/>
      <c r="Y88" s="94"/>
    </row>
    <row r="89" spans="1:28">
      <c r="A89" s="94"/>
      <c r="B89" s="94"/>
      <c r="C89" s="94"/>
      <c r="D89" s="94"/>
      <c r="E89" s="94"/>
      <c r="F89" s="94"/>
      <c r="G89" s="94"/>
      <c r="H89" s="94"/>
      <c r="I89" s="94"/>
      <c r="J89" s="94"/>
      <c r="K89" s="94"/>
      <c r="L89" s="94"/>
      <c r="M89" s="94"/>
      <c r="N89" s="94"/>
      <c r="O89" s="94"/>
      <c r="P89" s="94"/>
      <c r="Q89" s="94"/>
      <c r="R89" s="94"/>
      <c r="S89" s="94"/>
      <c r="T89" s="94"/>
      <c r="U89" s="94"/>
      <c r="V89" s="94"/>
      <c r="W89" s="94"/>
      <c r="X89" s="94"/>
      <c r="Y89" s="94"/>
    </row>
    <row r="90" spans="1:28" ht="30">
      <c r="A90" s="94"/>
      <c r="B90" s="94"/>
      <c r="C90" s="92"/>
      <c r="D90" s="92"/>
      <c r="E90" s="92"/>
      <c r="F90" s="92"/>
      <c r="G90" s="92"/>
      <c r="H90" s="92"/>
      <c r="I90" s="92"/>
      <c r="J90" s="92"/>
      <c r="K90" s="92"/>
      <c r="L90" s="92"/>
      <c r="M90" s="92"/>
      <c r="N90" s="92"/>
      <c r="O90" s="92"/>
      <c r="P90" s="92"/>
      <c r="Q90" s="92"/>
      <c r="R90" s="92"/>
      <c r="S90" s="92"/>
      <c r="T90" s="92"/>
      <c r="U90" s="92"/>
      <c r="V90" s="92"/>
      <c r="W90" s="92"/>
      <c r="X90" s="92"/>
      <c r="Y90" s="92"/>
      <c r="AA90" s="694" t="str">
        <f>IF(B17="","",B17)</f>
        <v>Idaho Power's Multifamily (5 units or more per building) Energy Efficiency Program offers prescriptive incentives for energy efficient installation into new commercial construction projects and major renovations and retrofit projects.</v>
      </c>
      <c r="AB90" s="84"/>
    </row>
    <row r="91" spans="1:28" ht="15">
      <c r="A91" s="94"/>
      <c r="B91" s="94"/>
      <c r="C91" s="92"/>
      <c r="D91" s="92"/>
      <c r="E91" s="92"/>
      <c r="F91" s="92"/>
      <c r="G91" s="92"/>
      <c r="H91" s="92"/>
      <c r="I91" s="92"/>
      <c r="J91" s="92"/>
      <c r="K91" s="92"/>
      <c r="L91" s="92"/>
      <c r="M91" s="92"/>
      <c r="N91" s="92"/>
      <c r="O91" s="92"/>
      <c r="P91" s="92"/>
      <c r="Q91" s="92"/>
      <c r="R91" s="92"/>
      <c r="S91" s="92"/>
      <c r="T91" s="92"/>
      <c r="U91" s="92"/>
      <c r="V91" s="92"/>
      <c r="W91" s="92"/>
      <c r="X91" s="92"/>
      <c r="Y91" s="92"/>
      <c r="AA91" s="694" t="str">
        <f t="shared" ref="AA91:AA131" si="0">IF(B18="","",B18)</f>
        <v/>
      </c>
      <c r="AB91" s="84"/>
    </row>
    <row r="92" spans="1:28" ht="15">
      <c r="A92" s="94"/>
      <c r="B92" s="94"/>
      <c r="C92" s="92"/>
      <c r="D92" s="92"/>
      <c r="E92" s="92"/>
      <c r="F92" s="92"/>
      <c r="G92" s="92"/>
      <c r="H92" s="92"/>
      <c r="I92" s="92"/>
      <c r="J92" s="92"/>
      <c r="K92" s="92"/>
      <c r="L92" s="92"/>
      <c r="M92" s="92"/>
      <c r="N92" s="92"/>
      <c r="O92" s="92"/>
      <c r="P92" s="92"/>
      <c r="Q92" s="92"/>
      <c r="R92" s="92"/>
      <c r="S92" s="92"/>
      <c r="T92" s="92"/>
      <c r="U92" s="92"/>
      <c r="V92" s="92"/>
      <c r="W92" s="92"/>
      <c r="X92" s="92"/>
      <c r="Y92" s="92"/>
      <c r="AA92" s="694" t="str">
        <f t="shared" si="0"/>
        <v/>
      </c>
      <c r="AB92" s="84"/>
    </row>
    <row r="93" spans="1:28" ht="15">
      <c r="A93" s="94"/>
      <c r="B93" s="94"/>
      <c r="C93" s="92"/>
      <c r="D93" s="92"/>
      <c r="E93" s="92"/>
      <c r="F93" s="92"/>
      <c r="G93" s="92"/>
      <c r="H93" s="92"/>
      <c r="I93" s="92"/>
      <c r="J93" s="92"/>
      <c r="K93" s="92"/>
      <c r="L93" s="92"/>
      <c r="M93" s="92"/>
      <c r="N93" s="92"/>
      <c r="O93" s="92"/>
      <c r="P93" s="92"/>
      <c r="Q93" s="92"/>
      <c r="R93" s="92"/>
      <c r="S93" s="92"/>
      <c r="T93" s="92"/>
      <c r="U93" s="92"/>
      <c r="V93" s="92"/>
      <c r="W93" s="92"/>
      <c r="X93" s="92"/>
      <c r="Y93" s="92"/>
      <c r="AA93" s="695" t="str">
        <f t="shared" si="0"/>
        <v xml:space="preserve"> Preliminary Application, Final Application and Additional Worksheets will need to be completed.</v>
      </c>
      <c r="AB93" s="84"/>
    </row>
    <row r="94" spans="1:28" ht="15">
      <c r="A94" s="94"/>
      <c r="B94" s="94"/>
      <c r="C94" s="92"/>
      <c r="D94" s="92"/>
      <c r="E94" s="92"/>
      <c r="F94" s="92"/>
      <c r="G94" s="92"/>
      <c r="H94" s="92"/>
      <c r="I94" s="92"/>
      <c r="J94" s="92"/>
      <c r="K94" s="92"/>
      <c r="L94" s="92"/>
      <c r="M94" s="92"/>
      <c r="N94" s="92"/>
      <c r="O94" s="92"/>
      <c r="P94" s="92"/>
      <c r="Q94" s="92"/>
      <c r="R94" s="92"/>
      <c r="S94" s="92"/>
      <c r="T94" s="92"/>
      <c r="U94" s="92"/>
      <c r="V94" s="92"/>
      <c r="W94" s="92"/>
      <c r="X94" s="92"/>
      <c r="Y94" s="92"/>
      <c r="AA94" s="694" t="str">
        <f t="shared" si="0"/>
        <v/>
      </c>
      <c r="AB94" s="84"/>
    </row>
    <row r="95" spans="1:28">
      <c r="A95" s="94"/>
      <c r="B95" s="94"/>
      <c r="C95" s="92"/>
      <c r="D95" s="92"/>
      <c r="E95" s="92"/>
      <c r="F95" s="92"/>
      <c r="G95" s="92"/>
      <c r="H95" s="92"/>
      <c r="I95" s="92"/>
      <c r="J95" s="92"/>
      <c r="K95" s="92"/>
      <c r="L95" s="92"/>
      <c r="M95" s="92"/>
      <c r="N95" s="92"/>
      <c r="O95" s="92"/>
      <c r="P95" s="92"/>
      <c r="Q95" s="92"/>
      <c r="R95" s="92"/>
      <c r="S95" s="92"/>
      <c r="T95" s="92"/>
      <c r="U95" s="92"/>
      <c r="V95" s="92"/>
      <c r="W95" s="92"/>
      <c r="X95" s="92"/>
      <c r="Y95" s="92"/>
      <c r="AA95" s="696" t="str">
        <f t="shared" si="0"/>
        <v>Preliminary Application Submittal Process (Idaho Power must receive a Preliminary Application before the project construction is complete).</v>
      </c>
      <c r="AB95" s="84"/>
    </row>
    <row r="96" spans="1:28" ht="14.25">
      <c r="A96" s="94"/>
      <c r="B96" s="94"/>
      <c r="C96" s="92"/>
      <c r="D96" s="92"/>
      <c r="E96" s="92"/>
      <c r="F96" s="92"/>
      <c r="G96" s="92"/>
      <c r="H96" s="92"/>
      <c r="I96" s="92"/>
      <c r="J96" s="92"/>
      <c r="K96" s="92"/>
      <c r="L96" s="92"/>
      <c r="M96" s="92"/>
      <c r="N96" s="92"/>
      <c r="O96" s="92"/>
      <c r="P96" s="92"/>
      <c r="Q96" s="92"/>
      <c r="R96" s="92"/>
      <c r="S96" s="92"/>
      <c r="T96" s="92"/>
      <c r="U96" s="92"/>
      <c r="V96" s="92"/>
      <c r="W96" s="92"/>
      <c r="X96" s="92"/>
      <c r="Y96" s="92"/>
      <c r="AA96" s="697" t="str">
        <f t="shared" si="0"/>
        <v>· Enter project information into the 'Preliminary Application' worksheet.</v>
      </c>
      <c r="AB96" s="84"/>
    </row>
    <row r="97" spans="1:28" ht="14.25">
      <c r="A97" s="94"/>
      <c r="B97" s="94"/>
      <c r="C97" s="92"/>
      <c r="D97" s="92"/>
      <c r="E97" s="92"/>
      <c r="F97" s="92"/>
      <c r="G97" s="92"/>
      <c r="H97" s="92"/>
      <c r="I97" s="92"/>
      <c r="J97" s="92"/>
      <c r="K97" s="92"/>
      <c r="L97" s="92"/>
      <c r="M97" s="92"/>
      <c r="N97" s="92"/>
      <c r="O97" s="92"/>
      <c r="P97" s="92"/>
      <c r="Q97" s="92"/>
      <c r="R97" s="92"/>
      <c r="S97" s="92"/>
      <c r="T97" s="92"/>
      <c r="U97" s="92"/>
      <c r="V97" s="92"/>
      <c r="W97" s="92"/>
      <c r="X97" s="92"/>
      <c r="Y97" s="92"/>
      <c r="AA97" s="697" t="str">
        <f t="shared" si="0"/>
        <v>· Email addresses are required.  Project correspondence will be sent via e-mail.</v>
      </c>
      <c r="AB97" s="84"/>
    </row>
    <row r="98" spans="1:28" ht="14.25">
      <c r="A98" s="94"/>
      <c r="B98" s="94"/>
      <c r="C98" s="92"/>
      <c r="D98" s="92"/>
      <c r="E98" s="92"/>
      <c r="F98" s="92"/>
      <c r="G98" s="92"/>
      <c r="H98" s="92"/>
      <c r="I98" s="92"/>
      <c r="J98" s="92"/>
      <c r="K98" s="92"/>
      <c r="L98" s="92"/>
      <c r="M98" s="92"/>
      <c r="N98" s="92"/>
      <c r="O98" s="92"/>
      <c r="P98" s="92"/>
      <c r="Q98" s="92"/>
      <c r="R98" s="92"/>
      <c r="S98" s="92"/>
      <c r="T98" s="92"/>
      <c r="U98" s="92"/>
      <c r="V98" s="92"/>
      <c r="W98" s="92"/>
      <c r="X98" s="92"/>
      <c r="Y98" s="92"/>
      <c r="AA98" s="697" t="str">
        <f t="shared" si="0"/>
        <v>· Fields with * are required and the application will not be accepted without this information provided.</v>
      </c>
      <c r="AB98" s="84"/>
    </row>
    <row r="99" spans="1:28" ht="14.25">
      <c r="A99" s="94"/>
      <c r="B99" s="94"/>
      <c r="C99" s="92"/>
      <c r="D99" s="92"/>
      <c r="E99" s="92"/>
      <c r="F99" s="92"/>
      <c r="G99" s="92"/>
      <c r="H99" s="92"/>
      <c r="I99" s="92"/>
      <c r="J99" s="92"/>
      <c r="K99" s="92"/>
      <c r="L99" s="92"/>
      <c r="M99" s="92"/>
      <c r="N99" s="92"/>
      <c r="O99" s="92"/>
      <c r="P99" s="92"/>
      <c r="Q99" s="92"/>
      <c r="R99" s="92"/>
      <c r="S99" s="92"/>
      <c r="T99" s="92"/>
      <c r="U99" s="92"/>
      <c r="V99" s="92"/>
      <c r="W99" s="92"/>
      <c r="X99" s="92"/>
      <c r="Y99" s="92"/>
      <c r="AA99" s="697" t="str">
        <f t="shared" si="0"/>
        <v>· If you have additional building with less than 5 dwelling units per building, please check the box  and visit our additional offerings for residential.</v>
      </c>
      <c r="AB99" s="84"/>
    </row>
    <row r="100" spans="1:28" ht="14.25">
      <c r="A100" s="94"/>
      <c r="B100" s="94"/>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AA100" s="697" t="str">
        <f t="shared" si="0"/>
        <v>· Save the file in excel format (select "save as" and name the file by the project name)</v>
      </c>
      <c r="AB100" s="84"/>
    </row>
    <row r="101" spans="1:28" ht="14.25">
      <c r="A101" s="94"/>
      <c r="B101" s="94"/>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AA101" s="697" t="str">
        <f t="shared" si="0"/>
        <v>· Email the file as an Excel document (not as PDF) to Idaho Power at multifamily@idahopower.com.</v>
      </c>
      <c r="AB101" s="84"/>
    </row>
    <row r="102" spans="1:28" ht="14.25">
      <c r="A102" s="94"/>
      <c r="B102" s="94"/>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AA102" s="697" t="str">
        <f t="shared" si="0"/>
        <v>· The subject line of the e-mail should read:  Preliminary Application - (enter Project Name).</v>
      </c>
      <c r="AB102" s="84"/>
    </row>
    <row r="103" spans="1:28" ht="14.25">
      <c r="A103" s="94"/>
      <c r="B103" s="94"/>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AA103" s="697" t="str">
        <f t="shared" si="0"/>
        <v>For example: Preliminary Application for Canyon Apartments</v>
      </c>
      <c r="AB103" s="84"/>
    </row>
    <row r="104" spans="1:28" ht="28.5">
      <c r="A104" s="94"/>
      <c r="B104" s="94"/>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AA104" s="697" t="str">
        <f t="shared" si="0"/>
        <v>· Once your project is entered into our system you will receive an e-mail verifying the application has been received.  This e-mail will contain the project's unique Multifamily project number.</v>
      </c>
      <c r="AB104" s="84"/>
    </row>
    <row r="105" spans="1:28" ht="14.25">
      <c r="A105" s="94"/>
      <c r="B105" s="94"/>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AA105" s="697" t="str">
        <f t="shared" si="0"/>
        <v/>
      </c>
      <c r="AB105" s="84"/>
    </row>
    <row r="106" spans="1:28">
      <c r="A106" s="94"/>
      <c r="B106" s="94"/>
      <c r="C106" s="92"/>
      <c r="D106" s="92"/>
      <c r="E106" s="92"/>
      <c r="F106" s="92"/>
      <c r="G106" s="92"/>
      <c r="H106" s="92"/>
      <c r="I106" s="92"/>
      <c r="J106" s="92"/>
      <c r="K106" s="92"/>
      <c r="L106" s="92"/>
      <c r="M106" s="92"/>
      <c r="N106" s="92"/>
      <c r="O106" s="92"/>
      <c r="P106" s="92"/>
      <c r="Q106" s="92"/>
      <c r="R106" s="92"/>
      <c r="S106" s="92"/>
      <c r="T106" s="92"/>
      <c r="U106" s="92"/>
      <c r="V106" s="92"/>
      <c r="W106" s="92"/>
      <c r="X106" s="92"/>
      <c r="Y106" s="92"/>
      <c r="AA106" s="696" t="str">
        <f t="shared" si="0"/>
        <v>Final Application Submittal Process (Idaho Power must receive the Final Application Information within 90 days of project completion)</v>
      </c>
      <c r="AB106" s="84"/>
    </row>
    <row r="107" spans="1:28" ht="14.25">
      <c r="A107" s="94"/>
      <c r="B107" s="94"/>
      <c r="C107" s="92"/>
      <c r="D107" s="92"/>
      <c r="E107" s="92"/>
      <c r="F107" s="92"/>
      <c r="G107" s="92"/>
      <c r="H107" s="92"/>
      <c r="I107" s="92"/>
      <c r="J107" s="92"/>
      <c r="K107" s="92"/>
      <c r="L107" s="92"/>
      <c r="M107" s="92"/>
      <c r="N107" s="92"/>
      <c r="O107" s="92"/>
      <c r="P107" s="92"/>
      <c r="Q107" s="92"/>
      <c r="R107" s="92"/>
      <c r="S107" s="92"/>
      <c r="T107" s="92"/>
      <c r="U107" s="92"/>
      <c r="V107" s="92"/>
      <c r="W107" s="92"/>
      <c r="X107" s="92"/>
      <c r="Y107" s="92"/>
      <c r="AA107" s="697" t="str">
        <f t="shared" si="0"/>
        <v>· Once the project has been completed, click on the 'Final Application' worksheet and fill in final project information.</v>
      </c>
      <c r="AB107" s="84"/>
    </row>
    <row r="108" spans="1:28" ht="28.5">
      <c r="A108" s="94"/>
      <c r="B108" s="94"/>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AA108" s="697" t="str">
        <f t="shared" si="0"/>
        <v>· Information will have automatically been carried forward from the Preliminary Application to the Final Application, but you can update and overwrite values as necessary.</v>
      </c>
      <c r="AB108" s="84"/>
    </row>
    <row r="109" spans="1:28" ht="14.25">
      <c r="A109" s="94"/>
      <c r="B109" s="94"/>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AA109" s="697" t="str">
        <f t="shared" si="0"/>
        <v>· Complete the Final Application and additional worksheets relative to your specific project (New Construction and Major Renovations or Retrofit).</v>
      </c>
      <c r="AB109" s="84"/>
    </row>
    <row r="110" spans="1:28" ht="14.25">
      <c r="A110" s="94"/>
      <c r="B110" s="94"/>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AA110" s="697" t="str">
        <f t="shared" si="0"/>
        <v>· Save the file in excel format (select "save as" and name the file by the project name)</v>
      </c>
      <c r="AB110" s="84"/>
    </row>
    <row r="111" spans="1:28" ht="28.5">
      <c r="A111" s="94"/>
      <c r="B111" s="94"/>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AA111" s="697" t="str">
        <f t="shared" si="0"/>
        <v>· Email the file as an Excel document (not as PDF) to Idaho Power at multifamily@idahopower.com, along with all required supporting documentation, i.e. proof of purchase, invoices, equipment specification sheets, lighting COMcheck, etc.</v>
      </c>
      <c r="AB111" s="84"/>
    </row>
    <row r="112" spans="1:28" ht="14.25">
      <c r="A112" s="94"/>
      <c r="B112" s="94"/>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AA112" s="697" t="str">
        <f t="shared" si="0"/>
        <v>· The subject line of the e-mail should read: Final Application - (enter Project Name).</v>
      </c>
      <c r="AB112" s="84"/>
    </row>
    <row r="113" spans="1:28" ht="14.25">
      <c r="A113" s="94"/>
      <c r="B113" s="94"/>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AA113" s="697" t="str">
        <f t="shared" si="0"/>
        <v>For example: Final Application - Canyon Apartments</v>
      </c>
      <c r="AB113" s="84"/>
    </row>
    <row r="114" spans="1:28" ht="28.5">
      <c r="A114" s="94"/>
      <c r="B114" s="94"/>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701"/>
      <c r="AA114" s="697" t="str">
        <f t="shared" si="0"/>
        <v>· Once Idaho Power receives your final application and supporting documentation, the project will be reviewed. Idaho Power will reach out directly to you if there are any questions on your final application.</v>
      </c>
      <c r="AB114" s="84"/>
    </row>
    <row r="115" spans="1:28" ht="14.25">
      <c r="A115" s="94"/>
      <c r="B115" s="94"/>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AA115" s="697" t="str">
        <f t="shared" si="0"/>
        <v/>
      </c>
      <c r="AB115" s="84"/>
    </row>
    <row r="116" spans="1:28" ht="14.25">
      <c r="A116" s="94"/>
      <c r="B116" s="94"/>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AA116" s="697" t="str">
        <f t="shared" si="0"/>
        <v/>
      </c>
      <c r="AB116" s="84"/>
    </row>
    <row r="117" spans="1:28" ht="14.25">
      <c r="A117" s="94"/>
      <c r="B117" s="94"/>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AA117" s="697" t="str">
        <f t="shared" si="0"/>
        <v/>
      </c>
      <c r="AB117" s="84"/>
    </row>
    <row r="118" spans="1:28" ht="15">
      <c r="A118" s="94"/>
      <c r="B118" s="94"/>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AA118" s="699" t="str">
        <f t="shared" si="0"/>
        <v>How to determine if you have a Retrofit project or New Construction and Major Renovations project:</v>
      </c>
      <c r="AB118" s="84"/>
    </row>
    <row r="119" spans="1:28">
      <c r="A119" s="94"/>
      <c r="B119" s="94"/>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AA119" s="700" t="str">
        <f t="shared" si="0"/>
        <v>New Construction and Major Renovation Worksheet - For new construction project, additions, expansions or change of use projects.</v>
      </c>
      <c r="AB119" s="84"/>
    </row>
    <row r="120" spans="1:28">
      <c r="A120" s="94"/>
      <c r="B120" s="94"/>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AA120" s="700" t="str">
        <f t="shared" si="0"/>
        <v>Retrofit Worksheet - For existing projects with existing equipment being replaced.</v>
      </c>
      <c r="AB120" s="84"/>
    </row>
    <row r="121" spans="1:28" ht="14.25">
      <c r="A121" s="94"/>
      <c r="B121" s="94"/>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AA121" s="93" t="str">
        <f t="shared" si="0"/>
        <v/>
      </c>
      <c r="AB121" s="84"/>
    </row>
    <row r="122" spans="1:28" ht="14.25">
      <c r="A122" s="94"/>
      <c r="B122" s="94"/>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AA122" s="93" t="str">
        <f t="shared" si="0"/>
        <v/>
      </c>
      <c r="AB122" s="84"/>
    </row>
    <row r="123" spans="1:28" ht="14.25">
      <c r="A123" s="94"/>
      <c r="B123" s="94"/>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AA123" s="93" t="str">
        <f t="shared" si="0"/>
        <v/>
      </c>
      <c r="AB123" s="84"/>
    </row>
    <row r="124" spans="1:28" ht="14.25">
      <c r="A124" s="94"/>
      <c r="B124" s="94"/>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AA124" s="93" t="str">
        <f t="shared" si="0"/>
        <v/>
      </c>
      <c r="AB124" s="84"/>
    </row>
    <row r="125" spans="1:28" ht="14.25">
      <c r="A125" s="94"/>
      <c r="B125" s="94"/>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AA125" s="93" t="str">
        <f t="shared" si="0"/>
        <v/>
      </c>
      <c r="AB125" s="84"/>
    </row>
    <row r="126" spans="1:28" ht="14.25">
      <c r="A126" s="94"/>
      <c r="B126" s="94"/>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AA126" s="93" t="str">
        <f t="shared" si="0"/>
        <v/>
      </c>
      <c r="AB126" s="84"/>
    </row>
    <row r="127" spans="1:28" ht="14.25">
      <c r="A127" s="94"/>
      <c r="B127" s="94"/>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AA127" s="93" t="str">
        <f t="shared" si="0"/>
        <v/>
      </c>
      <c r="AB127" s="84"/>
    </row>
    <row r="128" spans="1:28" ht="14.25">
      <c r="A128" s="94"/>
      <c r="B128" s="94"/>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AA128" s="93" t="str">
        <f t="shared" si="0"/>
        <v/>
      </c>
      <c r="AB128" s="84"/>
    </row>
    <row r="129" spans="1:28" ht="14.25">
      <c r="A129" s="94"/>
      <c r="B129" s="94"/>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AA129" s="93" t="str">
        <f t="shared" si="0"/>
        <v/>
      </c>
      <c r="AB129" s="84"/>
    </row>
    <row r="130" spans="1:28" ht="14.25">
      <c r="A130" s="94"/>
      <c r="B130" s="94"/>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AA130" s="93" t="str">
        <f t="shared" si="0"/>
        <v/>
      </c>
      <c r="AB130" s="84"/>
    </row>
    <row r="131" spans="1:28">
      <c r="A131" s="94"/>
      <c r="B131" s="94"/>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AA131" s="104" t="str">
        <f t="shared" si="0"/>
        <v>MF (11/23)</v>
      </c>
      <c r="AB131" s="84"/>
    </row>
    <row r="132" spans="1:28" ht="4.5" customHeight="1">
      <c r="C132" s="94"/>
      <c r="D132" s="94"/>
      <c r="E132" s="94"/>
      <c r="F132" s="94"/>
      <c r="G132" s="94"/>
      <c r="H132" s="94"/>
      <c r="I132" s="94"/>
      <c r="J132" s="94"/>
      <c r="K132" s="94"/>
      <c r="L132" s="94"/>
      <c r="M132" s="94"/>
      <c r="N132" s="94"/>
      <c r="O132" s="94"/>
      <c r="P132" s="94"/>
      <c r="Q132" s="94"/>
      <c r="R132" s="94"/>
      <c r="S132" s="94"/>
      <c r="T132" s="94"/>
      <c r="U132" s="94"/>
      <c r="V132" s="94"/>
      <c r="W132" s="94"/>
      <c r="X132" s="94"/>
      <c r="Y132" s="94"/>
    </row>
    <row r="133" spans="1:28">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row>
  </sheetData>
  <sheetProtection algorithmName="SHA-512" hashValue="UjsSJHn9T0KnkXoprg/OaDfSlVym8/TMw+Ou0LZNZKagqRwZcE9M0X/BTTwKvqnaZM97W+OEUwIe/6B9JFKzOA==" saltValue="0Pd8cn4QZuUUXKZ3sQWI9Q==" spinCount="100000" sheet="1" selectLockedCells="1"/>
  <pageMargins left="0.7" right="0.7" top="0.75" bottom="0.75" header="0.3" footer="0.3"/>
  <pageSetup scale="63"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5" tint="0.39997558519241921"/>
    <pageSetUpPr fitToPage="1"/>
  </sheetPr>
  <dimension ref="A1:FV290"/>
  <sheetViews>
    <sheetView showGridLines="0" showRowColHeaders="0" zoomScaleNormal="100" workbookViewId="0">
      <selection activeCell="B7" sqref="B7:S7"/>
    </sheetView>
  </sheetViews>
  <sheetFormatPr defaultColWidth="8.85546875" defaultRowHeight="12.75"/>
  <cols>
    <col min="1" max="1" width="1.140625" style="1" customWidth="1"/>
    <col min="2" max="34" width="3.42578125" style="1" customWidth="1"/>
    <col min="35" max="35" width="4" style="1" customWidth="1"/>
    <col min="36" max="36" width="1.5703125" style="1" customWidth="1"/>
    <col min="37" max="38" width="3.42578125" style="1" hidden="1" customWidth="1"/>
    <col min="39" max="42" width="7" style="1" hidden="1" customWidth="1"/>
    <col min="43" max="43" width="3.42578125" style="1" hidden="1" customWidth="1"/>
    <col min="44" max="44" width="7" style="1" hidden="1" customWidth="1"/>
    <col min="45" max="46" width="3.42578125" style="1" hidden="1" customWidth="1"/>
    <col min="47" max="47" width="5.5703125" style="1" hidden="1" customWidth="1"/>
    <col min="48" max="48" width="7" style="1" hidden="1" customWidth="1"/>
    <col min="49" max="49" width="5.5703125" style="1" hidden="1" customWidth="1"/>
    <col min="50" max="50" width="5.5703125" style="1" customWidth="1"/>
    <col min="51" max="51" width="10.5703125" style="1" customWidth="1"/>
    <col min="52" max="52" width="10.5703125" style="1" hidden="1" customWidth="1"/>
    <col min="53" max="67" width="10.5703125" style="1" customWidth="1"/>
    <col min="68" max="149" width="5.5703125" style="1" customWidth="1"/>
    <col min="150" max="150" width="2.140625" style="1" customWidth="1"/>
    <col min="151" max="151" width="4.42578125" style="1" customWidth="1"/>
    <col min="152" max="152" width="2.140625" style="1" customWidth="1"/>
    <col min="153" max="153" width="4.140625" style="1" customWidth="1"/>
    <col min="154" max="154" width="2.42578125" style="1" customWidth="1"/>
    <col min="155" max="155" width="2.140625" style="1" customWidth="1"/>
    <col min="156" max="156" width="3.5703125" style="1" customWidth="1"/>
    <col min="157" max="157" width="2.140625" style="1" customWidth="1"/>
    <col min="158" max="161" width="3.5703125" style="1" customWidth="1"/>
    <col min="162" max="163" width="2.42578125" style="1" customWidth="1"/>
    <col min="164" max="164" width="3.5703125" style="1" customWidth="1"/>
    <col min="165" max="165" width="2.42578125" style="1" customWidth="1"/>
    <col min="166" max="166" width="4.5703125" style="1" customWidth="1"/>
    <col min="167" max="167" width="8.42578125" style="1" customWidth="1"/>
    <col min="168" max="168" width="2.5703125" style="1" customWidth="1"/>
    <col min="169" max="16384" width="8.85546875" style="1"/>
  </cols>
  <sheetData>
    <row r="1" spans="1:67" ht="34.5" customHeight="1">
      <c r="B1" s="766" t="s">
        <v>66</v>
      </c>
      <c r="C1" s="766"/>
      <c r="D1" s="766"/>
      <c r="E1" s="766"/>
      <c r="F1" s="766"/>
      <c r="G1" s="766"/>
      <c r="H1" s="766"/>
      <c r="I1" s="767"/>
      <c r="J1" s="767"/>
      <c r="K1" s="767"/>
      <c r="L1" s="767"/>
      <c r="M1" s="767"/>
      <c r="N1" s="767"/>
      <c r="O1" s="767"/>
      <c r="P1" s="767"/>
      <c r="Q1" s="767"/>
      <c r="R1" s="767"/>
      <c r="S1" s="767"/>
      <c r="T1" s="767"/>
      <c r="AA1" s="143"/>
      <c r="AI1" s="194"/>
      <c r="AJ1" s="525" t="s">
        <v>67</v>
      </c>
      <c r="AX1" s="94"/>
      <c r="AY1" s="94"/>
      <c r="AZ1" s="94"/>
      <c r="BA1" s="94"/>
      <c r="BB1" s="94"/>
      <c r="BC1" s="94"/>
      <c r="BD1" s="94"/>
      <c r="BE1" s="94"/>
      <c r="BF1" s="94"/>
      <c r="BG1" s="94"/>
      <c r="BH1" s="94"/>
      <c r="BI1" s="94"/>
      <c r="BJ1" s="94"/>
      <c r="BK1" s="94"/>
      <c r="BL1" s="94"/>
      <c r="BM1" s="94"/>
      <c r="BN1" s="94"/>
      <c r="BO1" s="94"/>
    </row>
    <row r="2" spans="1:67" ht="18">
      <c r="B2" s="768" t="s">
        <v>68</v>
      </c>
      <c r="C2" s="768"/>
      <c r="D2" s="768"/>
      <c r="E2" s="768"/>
      <c r="F2" s="768"/>
      <c r="G2" s="768"/>
      <c r="H2" s="768"/>
      <c r="I2" s="767"/>
      <c r="J2" s="767"/>
      <c r="K2" s="767"/>
      <c r="L2" s="767"/>
      <c r="M2" s="767"/>
      <c r="N2" s="767"/>
      <c r="O2" s="767"/>
      <c r="P2" s="767"/>
      <c r="Q2" s="767"/>
      <c r="R2" s="767"/>
      <c r="S2" s="767"/>
      <c r="T2" s="3"/>
      <c r="U2" s="3"/>
      <c r="V2" s="3"/>
      <c r="W2" s="3"/>
      <c r="X2" s="3"/>
      <c r="Y2" s="3"/>
      <c r="Z2" s="3"/>
      <c r="AX2" s="94"/>
      <c r="AY2" s="94"/>
      <c r="AZ2" s="94"/>
      <c r="BA2" s="94"/>
      <c r="BB2" s="94"/>
      <c r="BC2" s="94"/>
      <c r="BD2" s="94"/>
      <c r="BE2" s="94"/>
      <c r="BF2" s="94"/>
      <c r="BG2" s="94"/>
      <c r="BH2" s="94"/>
      <c r="BI2" s="94"/>
      <c r="BJ2" s="94"/>
      <c r="BK2" s="94"/>
      <c r="BL2" s="94"/>
      <c r="BM2" s="94"/>
      <c r="BN2" s="94"/>
      <c r="BO2" s="94"/>
    </row>
    <row r="3" spans="1:67" ht="36" customHeight="1">
      <c r="B3" s="769" t="s">
        <v>69</v>
      </c>
      <c r="C3" s="769"/>
      <c r="D3" s="769"/>
      <c r="E3" s="769"/>
      <c r="F3" s="769"/>
      <c r="G3" s="769"/>
      <c r="H3" s="769"/>
      <c r="I3" s="769"/>
      <c r="J3" s="769"/>
      <c r="K3" s="769"/>
      <c r="L3" s="769"/>
      <c r="M3" s="769"/>
      <c r="N3" s="769"/>
      <c r="O3" s="767"/>
      <c r="P3" s="767"/>
      <c r="Q3" s="767"/>
      <c r="R3" s="767"/>
      <c r="S3" s="767"/>
      <c r="T3" s="767"/>
      <c r="U3" s="767"/>
      <c r="V3" s="3"/>
      <c r="W3" s="3"/>
      <c r="X3" s="3"/>
      <c r="Y3" s="3"/>
      <c r="Z3" s="3"/>
      <c r="AA3" s="3"/>
      <c r="AJ3" s="3"/>
      <c r="AX3" s="94"/>
      <c r="AY3" s="94"/>
      <c r="AZ3" s="94"/>
      <c r="BA3" s="94"/>
      <c r="BB3" s="94"/>
      <c r="BC3" s="94"/>
      <c r="BD3" s="94"/>
      <c r="BE3" s="94"/>
      <c r="BF3" s="94"/>
      <c r="BG3" s="94"/>
      <c r="BH3" s="94"/>
      <c r="BI3" s="94"/>
      <c r="BJ3" s="94"/>
      <c r="BK3" s="94"/>
      <c r="BL3" s="94"/>
      <c r="BM3" s="94"/>
      <c r="BN3" s="94"/>
      <c r="BO3" s="94"/>
    </row>
    <row r="4" spans="1:67" ht="4.5" customHeight="1">
      <c r="A4" s="35"/>
      <c r="B4" s="199"/>
      <c r="C4" s="199"/>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X4" s="94"/>
      <c r="AY4" s="94"/>
      <c r="AZ4" s="94"/>
      <c r="BA4" s="94"/>
      <c r="BB4" s="94"/>
      <c r="BC4" s="94"/>
      <c r="BD4" s="94"/>
      <c r="BE4" s="94"/>
      <c r="BF4" s="94"/>
      <c r="BG4" s="94"/>
      <c r="BH4" s="94"/>
      <c r="BI4" s="94"/>
      <c r="BJ4" s="94"/>
      <c r="BK4" s="94"/>
      <c r="BL4" s="94"/>
      <c r="BM4" s="94"/>
      <c r="BN4" s="94"/>
      <c r="BO4" s="94"/>
    </row>
    <row r="5" spans="1:67" ht="15" customHeight="1">
      <c r="A5" s="25"/>
      <c r="B5" s="196" t="s">
        <v>70</v>
      </c>
      <c r="C5" s="25"/>
      <c r="D5" s="25"/>
      <c r="E5" s="25"/>
      <c r="F5" s="25"/>
      <c r="G5" s="25"/>
      <c r="H5" s="25"/>
      <c r="I5" s="25"/>
      <c r="J5" s="25"/>
      <c r="K5" s="25"/>
      <c r="L5" s="25"/>
      <c r="M5" s="163"/>
      <c r="N5" s="163"/>
      <c r="O5" s="163"/>
      <c r="P5" s="163"/>
      <c r="Q5" s="163"/>
      <c r="R5" s="163"/>
      <c r="S5" s="163"/>
      <c r="T5" s="163"/>
      <c r="U5" s="163"/>
      <c r="V5" s="163"/>
      <c r="W5" s="163"/>
      <c r="X5" s="163"/>
      <c r="Y5" s="163"/>
      <c r="Z5" s="25"/>
      <c r="AA5" s="25"/>
      <c r="AB5" s="25"/>
      <c r="AC5" s="25"/>
      <c r="AD5" s="25"/>
      <c r="AE5" s="25"/>
      <c r="AF5" s="25"/>
      <c r="AG5" s="25"/>
      <c r="AH5" s="25"/>
      <c r="AI5" s="38" t="s">
        <v>71</v>
      </c>
      <c r="AJ5" s="25"/>
      <c r="AX5" s="94"/>
      <c r="AY5" s="94"/>
      <c r="AZ5" s="94"/>
      <c r="BA5" s="94"/>
      <c r="BB5" s="94"/>
      <c r="BC5" s="94"/>
      <c r="BD5" s="94"/>
      <c r="BE5" s="94"/>
      <c r="BF5" s="94"/>
      <c r="BG5" s="94"/>
      <c r="BH5" s="94"/>
      <c r="BI5" s="94"/>
      <c r="BJ5" s="94"/>
      <c r="BK5" s="94"/>
      <c r="BL5" s="94"/>
      <c r="BM5" s="94"/>
      <c r="BN5" s="94"/>
      <c r="BO5" s="94"/>
    </row>
    <row r="6" spans="1:67" ht="19.5" customHeight="1">
      <c r="A6" s="25"/>
      <c r="B6" s="164" t="s">
        <v>72</v>
      </c>
      <c r="C6" s="164"/>
      <c r="D6" s="164"/>
      <c r="E6" s="164"/>
      <c r="F6" s="164"/>
      <c r="G6" s="164"/>
      <c r="H6" s="164"/>
      <c r="I6" s="164"/>
      <c r="J6" s="164"/>
      <c r="K6" s="164"/>
      <c r="L6" s="164"/>
      <c r="M6" s="25"/>
      <c r="N6" s="25"/>
      <c r="O6" s="25"/>
      <c r="P6" s="25"/>
      <c r="Q6" s="25"/>
      <c r="R6" s="157"/>
      <c r="S6" s="157"/>
      <c r="T6" s="524" t="s">
        <v>73</v>
      </c>
      <c r="U6" s="524"/>
      <c r="V6" s="524"/>
      <c r="W6" s="524"/>
      <c r="X6" s="524"/>
      <c r="Y6" s="524"/>
      <c r="Z6" s="164"/>
      <c r="AA6" s="164"/>
      <c r="AB6" s="25"/>
      <c r="AC6" s="25"/>
      <c r="AD6" s="25"/>
      <c r="AE6" s="157"/>
      <c r="AF6" s="157" t="s">
        <v>74</v>
      </c>
      <c r="AG6" s="157"/>
      <c r="AH6" s="157"/>
      <c r="AI6" s="157"/>
      <c r="AJ6" s="25"/>
      <c r="AX6" s="94"/>
      <c r="AY6" s="94"/>
      <c r="AZ6" s="94"/>
      <c r="BA6" s="94"/>
      <c r="BB6" s="94"/>
      <c r="BC6" s="94"/>
      <c r="BD6" s="94"/>
      <c r="BE6" s="94"/>
      <c r="BF6" s="94"/>
      <c r="BG6" s="94"/>
      <c r="BH6" s="94"/>
      <c r="BI6" s="94"/>
      <c r="BJ6" s="94"/>
      <c r="BK6" s="94"/>
      <c r="BL6" s="94"/>
      <c r="BM6" s="94"/>
      <c r="BN6" s="94"/>
      <c r="BO6" s="94"/>
    </row>
    <row r="7" spans="1:67" ht="15" customHeight="1">
      <c r="A7" s="25"/>
      <c r="B7" s="773"/>
      <c r="C7" s="774"/>
      <c r="D7" s="774"/>
      <c r="E7" s="774"/>
      <c r="F7" s="774"/>
      <c r="G7" s="774"/>
      <c r="H7" s="774"/>
      <c r="I7" s="774"/>
      <c r="J7" s="774"/>
      <c r="K7" s="774"/>
      <c r="L7" s="774"/>
      <c r="M7" s="774"/>
      <c r="N7" s="774"/>
      <c r="O7" s="774"/>
      <c r="P7" s="774"/>
      <c r="Q7" s="774"/>
      <c r="R7" s="774"/>
      <c r="S7" s="775"/>
      <c r="T7" s="773"/>
      <c r="U7" s="774"/>
      <c r="V7" s="774"/>
      <c r="W7" s="774"/>
      <c r="X7" s="774"/>
      <c r="Y7" s="774"/>
      <c r="Z7" s="774"/>
      <c r="AA7" s="774"/>
      <c r="AB7" s="774"/>
      <c r="AC7" s="774"/>
      <c r="AD7" s="774"/>
      <c r="AE7" s="775"/>
      <c r="AF7" s="783"/>
      <c r="AG7" s="784"/>
      <c r="AH7" s="784"/>
      <c r="AI7" s="785"/>
      <c r="AJ7" s="25"/>
      <c r="AX7" s="94"/>
      <c r="AY7" s="94"/>
      <c r="AZ7" s="94"/>
      <c r="BA7" s="94"/>
      <c r="BB7" s="94"/>
      <c r="BC7" s="94"/>
      <c r="BD7" s="94"/>
      <c r="BE7" s="94"/>
      <c r="BF7" s="94"/>
      <c r="BG7" s="94"/>
      <c r="BH7" s="94"/>
      <c r="BI7" s="94"/>
      <c r="BJ7" s="94"/>
      <c r="BK7" s="94"/>
      <c r="BL7" s="94"/>
      <c r="BM7" s="94"/>
      <c r="BN7" s="94"/>
      <c r="BO7" s="94"/>
    </row>
    <row r="8" spans="1:67" ht="12.75" customHeight="1">
      <c r="A8" s="25"/>
      <c r="B8" s="165" t="s">
        <v>75</v>
      </c>
      <c r="C8" s="160"/>
      <c r="D8" s="160"/>
      <c r="E8" s="160"/>
      <c r="F8" s="160"/>
      <c r="G8" s="160"/>
      <c r="H8" s="160"/>
      <c r="I8" s="160"/>
      <c r="J8" s="160"/>
      <c r="K8" s="160"/>
      <c r="L8" s="160"/>
      <c r="M8" s="25"/>
      <c r="N8" s="25"/>
      <c r="O8" s="25"/>
      <c r="P8" s="25"/>
      <c r="Q8" s="25"/>
      <c r="R8" s="25"/>
      <c r="S8" s="25"/>
      <c r="T8" s="523" t="s">
        <v>76</v>
      </c>
      <c r="U8" s="175"/>
      <c r="V8" s="175"/>
      <c r="W8" s="175"/>
      <c r="X8" s="175"/>
      <c r="Y8" s="175"/>
      <c r="Z8" s="523" t="s">
        <v>3324</v>
      </c>
      <c r="AA8" s="25"/>
      <c r="AB8" s="523"/>
      <c r="AC8" s="25"/>
      <c r="AD8" s="523" t="s">
        <v>3327</v>
      </c>
      <c r="AE8" s="25"/>
      <c r="AF8" s="25"/>
      <c r="AG8" s="25"/>
      <c r="AH8" s="25"/>
      <c r="AI8" s="25"/>
      <c r="AJ8" s="25"/>
      <c r="AX8" s="94"/>
      <c r="AY8" s="94"/>
      <c r="AZ8" s="94"/>
      <c r="BA8" s="94"/>
      <c r="BB8" s="94"/>
      <c r="BC8" s="94"/>
      <c r="BD8" s="94"/>
      <c r="BE8" s="94"/>
      <c r="BF8" s="94"/>
      <c r="BG8" s="94"/>
      <c r="BH8" s="94"/>
      <c r="BI8" s="94"/>
      <c r="BJ8" s="94"/>
      <c r="BK8" s="94"/>
      <c r="BL8" s="94"/>
      <c r="BM8" s="94"/>
      <c r="BN8" s="94"/>
      <c r="BO8" s="94"/>
    </row>
    <row r="9" spans="1:67" ht="15" customHeight="1">
      <c r="A9" s="25"/>
      <c r="B9" s="773"/>
      <c r="C9" s="786"/>
      <c r="D9" s="786"/>
      <c r="E9" s="786"/>
      <c r="F9" s="786"/>
      <c r="G9" s="786"/>
      <c r="H9" s="786"/>
      <c r="I9" s="786"/>
      <c r="J9" s="786"/>
      <c r="K9" s="786"/>
      <c r="L9" s="786"/>
      <c r="M9" s="786"/>
      <c r="N9" s="786"/>
      <c r="O9" s="786"/>
      <c r="P9" s="786"/>
      <c r="Q9" s="786"/>
      <c r="R9" s="786"/>
      <c r="S9" s="787"/>
      <c r="T9" s="791"/>
      <c r="U9" s="792"/>
      <c r="V9" s="792"/>
      <c r="W9" s="792"/>
      <c r="X9" s="792"/>
      <c r="Y9" s="793"/>
      <c r="Z9" s="791"/>
      <c r="AA9" s="792"/>
      <c r="AB9" s="792"/>
      <c r="AC9" s="793"/>
      <c r="AD9" s="791"/>
      <c r="AE9" s="792"/>
      <c r="AF9" s="792"/>
      <c r="AG9" s="792"/>
      <c r="AH9" s="792"/>
      <c r="AI9" s="793"/>
      <c r="AJ9" s="25"/>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row>
    <row r="10" spans="1:67" ht="12.75" customHeight="1">
      <c r="A10" s="25"/>
      <c r="B10" s="162" t="s">
        <v>77</v>
      </c>
      <c r="C10" s="161"/>
      <c r="D10" s="161"/>
      <c r="E10" s="161"/>
      <c r="F10" s="161"/>
      <c r="G10" s="161"/>
      <c r="H10" s="161"/>
      <c r="I10" s="161"/>
      <c r="J10" s="161"/>
      <c r="K10" s="161"/>
      <c r="L10" s="161"/>
      <c r="M10" s="25"/>
      <c r="N10" s="25"/>
      <c r="O10" s="25"/>
      <c r="P10" s="25"/>
      <c r="Q10" s="25"/>
      <c r="R10" s="157"/>
      <c r="S10" s="157"/>
      <c r="T10" s="164" t="s">
        <v>78</v>
      </c>
      <c r="U10" s="172"/>
      <c r="V10" s="172"/>
      <c r="W10" s="172"/>
      <c r="X10" s="172"/>
      <c r="Y10" s="172"/>
      <c r="Z10" s="172"/>
      <c r="AA10" s="25"/>
      <c r="AB10" s="25"/>
      <c r="AC10" s="25"/>
      <c r="AD10" s="164" t="s">
        <v>79</v>
      </c>
      <c r="AE10" s="172"/>
      <c r="AF10" s="154" t="s">
        <v>80</v>
      </c>
      <c r="AG10" s="154"/>
      <c r="AH10" s="154"/>
      <c r="AI10" s="157"/>
      <c r="AJ10" s="25"/>
      <c r="AX10" s="94"/>
      <c r="AY10" s="94"/>
      <c r="AZ10" s="94"/>
      <c r="BA10" s="94"/>
      <c r="BB10" s="94"/>
      <c r="BC10" s="94"/>
      <c r="BD10" s="94"/>
      <c r="BE10" s="94"/>
      <c r="BF10" s="94"/>
      <c r="BG10" s="94"/>
      <c r="BH10" s="94"/>
      <c r="BI10" s="94"/>
      <c r="BJ10" s="94"/>
      <c r="BK10" s="94"/>
      <c r="BL10" s="94"/>
      <c r="BM10" s="94"/>
      <c r="BN10" s="94"/>
      <c r="BO10" s="94"/>
    </row>
    <row r="11" spans="1:67" ht="15" customHeight="1">
      <c r="A11" s="25"/>
      <c r="B11" s="773"/>
      <c r="C11" s="786"/>
      <c r="D11" s="786"/>
      <c r="E11" s="786"/>
      <c r="F11" s="786"/>
      <c r="G11" s="786"/>
      <c r="H11" s="786"/>
      <c r="I11" s="786"/>
      <c r="J11" s="786"/>
      <c r="K11" s="786"/>
      <c r="L11" s="786"/>
      <c r="M11" s="786"/>
      <c r="N11" s="786"/>
      <c r="O11" s="786"/>
      <c r="P11" s="786"/>
      <c r="Q11" s="786"/>
      <c r="R11" s="786"/>
      <c r="S11" s="787"/>
      <c r="T11" s="773"/>
      <c r="U11" s="786"/>
      <c r="V11" s="786"/>
      <c r="W11" s="786"/>
      <c r="X11" s="786"/>
      <c r="Y11" s="786"/>
      <c r="Z11" s="786"/>
      <c r="AA11" s="786"/>
      <c r="AB11" s="786"/>
      <c r="AC11" s="787"/>
      <c r="AD11" s="773"/>
      <c r="AE11" s="787"/>
      <c r="AF11" s="788"/>
      <c r="AG11" s="789"/>
      <c r="AH11" s="789"/>
      <c r="AI11" s="790"/>
      <c r="AJ11" s="25"/>
      <c r="AX11" s="94"/>
      <c r="AY11" s="94"/>
      <c r="AZ11" s="94"/>
      <c r="BA11" s="94"/>
      <c r="BB11" s="94"/>
      <c r="BC11" s="94"/>
      <c r="BD11" s="94"/>
      <c r="BE11" s="94"/>
      <c r="BF11" s="94"/>
      <c r="BG11" s="94"/>
      <c r="BH11" s="94"/>
      <c r="BI11" s="94"/>
      <c r="BJ11" s="94"/>
      <c r="BK11" s="94"/>
      <c r="BL11" s="94"/>
      <c r="BM11" s="94"/>
      <c r="BN11" s="94"/>
      <c r="BO11" s="94"/>
    </row>
    <row r="12" spans="1:67" ht="12.75" customHeight="1">
      <c r="A12" s="25"/>
      <c r="B12" s="165" t="s">
        <v>81</v>
      </c>
      <c r="C12" s="160"/>
      <c r="D12" s="160"/>
      <c r="E12" s="160"/>
      <c r="F12" s="160"/>
      <c r="G12" s="160"/>
      <c r="H12" s="160"/>
      <c r="I12" s="160"/>
      <c r="J12" s="160"/>
      <c r="K12" s="160"/>
      <c r="L12" s="160"/>
      <c r="M12" s="155"/>
      <c r="N12" s="155"/>
      <c r="O12" s="155"/>
      <c r="P12" s="155"/>
      <c r="Q12" s="155"/>
      <c r="R12" s="159"/>
      <c r="S12" s="159"/>
      <c r="T12" s="165" t="s">
        <v>82</v>
      </c>
      <c r="U12" s="160"/>
      <c r="V12" s="160"/>
      <c r="W12" s="160"/>
      <c r="X12" s="160"/>
      <c r="Y12" s="160"/>
      <c r="Z12" s="160"/>
      <c r="AA12" s="155"/>
      <c r="AB12" s="155"/>
      <c r="AC12" s="155"/>
      <c r="AD12" s="165"/>
      <c r="AE12" s="160"/>
      <c r="AF12" s="159" t="s">
        <v>83</v>
      </c>
      <c r="AG12" s="159"/>
      <c r="AH12" s="159"/>
      <c r="AI12" s="159"/>
      <c r="AJ12" s="25"/>
      <c r="AX12" s="94"/>
      <c r="AY12" s="94"/>
      <c r="AZ12" s="94"/>
      <c r="BA12" s="94"/>
      <c r="BB12" s="94"/>
      <c r="BC12" s="94"/>
      <c r="BD12" s="94"/>
      <c r="BE12" s="94"/>
      <c r="BF12" s="94"/>
      <c r="BG12" s="94"/>
      <c r="BH12" s="94"/>
      <c r="BI12" s="94"/>
      <c r="BJ12" s="94"/>
      <c r="BK12" s="94"/>
      <c r="BL12" s="94"/>
      <c r="BM12" s="94"/>
      <c r="BN12" s="94"/>
      <c r="BO12" s="94"/>
    </row>
    <row r="13" spans="1:67" ht="15" customHeight="1">
      <c r="A13" s="25"/>
      <c r="B13" s="773"/>
      <c r="C13" s="786"/>
      <c r="D13" s="786"/>
      <c r="E13" s="786"/>
      <c r="F13" s="786"/>
      <c r="G13" s="786"/>
      <c r="H13" s="786"/>
      <c r="I13" s="786"/>
      <c r="J13" s="786"/>
      <c r="K13" s="786"/>
      <c r="L13" s="786"/>
      <c r="M13" s="786"/>
      <c r="N13" s="786"/>
      <c r="O13" s="786"/>
      <c r="P13" s="786"/>
      <c r="Q13" s="786"/>
      <c r="R13" s="786"/>
      <c r="S13" s="787"/>
      <c r="T13" s="773"/>
      <c r="U13" s="786"/>
      <c r="V13" s="786"/>
      <c r="W13" s="786"/>
      <c r="X13" s="786"/>
      <c r="Y13" s="786"/>
      <c r="Z13" s="786"/>
      <c r="AA13" s="786"/>
      <c r="AB13" s="786"/>
      <c r="AC13" s="787"/>
      <c r="AD13" s="773"/>
      <c r="AE13" s="787"/>
      <c r="AF13" s="788"/>
      <c r="AG13" s="789"/>
      <c r="AH13" s="789"/>
      <c r="AI13" s="790"/>
      <c r="AJ13" s="25"/>
      <c r="AX13" s="94"/>
      <c r="AY13" s="94"/>
      <c r="AZ13" s="94"/>
      <c r="BA13" s="94"/>
      <c r="BB13" s="94"/>
      <c r="BC13" s="94"/>
      <c r="BD13" s="94"/>
      <c r="BE13" s="94"/>
      <c r="BF13" s="94"/>
      <c r="BG13" s="94"/>
      <c r="BH13" s="94"/>
      <c r="BI13" s="94"/>
      <c r="BJ13" s="94"/>
      <c r="BK13" s="94"/>
      <c r="BL13" s="94"/>
      <c r="BM13" s="94"/>
      <c r="BN13" s="94"/>
      <c r="BO13" s="94"/>
    </row>
    <row r="14" spans="1:67" ht="12.75" customHeight="1">
      <c r="A14" s="25"/>
      <c r="B14" s="162" t="s">
        <v>84</v>
      </c>
      <c r="C14" s="161"/>
      <c r="D14" s="161"/>
      <c r="E14" s="161"/>
      <c r="F14" s="161"/>
      <c r="G14" s="161"/>
      <c r="H14" s="161"/>
      <c r="I14" s="161"/>
      <c r="J14" s="161"/>
      <c r="K14" s="161"/>
      <c r="L14" s="161"/>
      <c r="M14" s="165" t="s">
        <v>85</v>
      </c>
      <c r="N14" s="165"/>
      <c r="O14" s="165"/>
      <c r="P14" s="165"/>
      <c r="Q14" s="165"/>
      <c r="R14" s="155"/>
      <c r="S14" s="155"/>
      <c r="T14" s="162" t="s">
        <v>86</v>
      </c>
      <c r="U14" s="162"/>
      <c r="V14" s="162"/>
      <c r="W14" s="154"/>
      <c r="X14" s="155"/>
      <c r="Y14" s="155"/>
      <c r="Z14" s="162" t="s">
        <v>87</v>
      </c>
      <c r="AA14" s="162"/>
      <c r="AB14" s="162"/>
      <c r="AC14" s="162"/>
      <c r="AD14" s="162"/>
      <c r="AE14" s="162"/>
      <c r="AF14" s="162"/>
      <c r="AG14" s="162"/>
      <c r="AH14" s="162"/>
      <c r="AI14" s="162"/>
      <c r="AJ14" s="25"/>
      <c r="AX14" s="94"/>
      <c r="AY14" s="94"/>
      <c r="AZ14" s="94"/>
      <c r="BA14" s="94"/>
      <c r="BB14" s="94"/>
      <c r="BC14" s="94"/>
      <c r="BD14" s="94"/>
      <c r="BE14" s="94"/>
      <c r="BF14" s="94"/>
      <c r="BG14" s="94"/>
      <c r="BH14" s="94"/>
      <c r="BI14" s="94"/>
      <c r="BJ14" s="94"/>
      <c r="BK14" s="94"/>
      <c r="BL14" s="94"/>
      <c r="BM14" s="94"/>
      <c r="BN14" s="94"/>
      <c r="BO14" s="94"/>
    </row>
    <row r="15" spans="1:67" ht="15" customHeight="1">
      <c r="A15" s="25"/>
      <c r="B15" s="776"/>
      <c r="C15" s="777"/>
      <c r="D15" s="777"/>
      <c r="E15" s="777"/>
      <c r="F15" s="777"/>
      <c r="G15" s="777"/>
      <c r="H15" s="777"/>
      <c r="I15" s="777"/>
      <c r="J15" s="777"/>
      <c r="K15" s="777"/>
      <c r="L15" s="778"/>
      <c r="M15" s="776"/>
      <c r="N15" s="777"/>
      <c r="O15" s="777"/>
      <c r="P15" s="777"/>
      <c r="Q15" s="777"/>
      <c r="R15" s="777"/>
      <c r="S15" s="778"/>
      <c r="T15" s="776"/>
      <c r="U15" s="777"/>
      <c r="V15" s="777"/>
      <c r="W15" s="777"/>
      <c r="X15" s="777"/>
      <c r="Y15" s="778"/>
      <c r="Z15" s="794"/>
      <c r="AA15" s="786"/>
      <c r="AB15" s="786"/>
      <c r="AC15" s="786"/>
      <c r="AD15" s="786"/>
      <c r="AE15" s="786"/>
      <c r="AF15" s="786"/>
      <c r="AG15" s="786"/>
      <c r="AH15" s="786"/>
      <c r="AI15" s="787"/>
      <c r="AJ15" s="25"/>
      <c r="AX15" s="94"/>
      <c r="AY15" s="94"/>
      <c r="AZ15" s="94"/>
      <c r="BA15" s="94"/>
      <c r="BB15" s="94"/>
      <c r="BC15" s="94"/>
      <c r="BD15" s="94"/>
      <c r="BE15" s="94"/>
      <c r="BF15" s="94"/>
      <c r="BG15" s="94"/>
      <c r="BH15" s="94"/>
      <c r="BI15" s="94"/>
      <c r="BJ15" s="94"/>
      <c r="BK15" s="94"/>
      <c r="BL15" s="94"/>
      <c r="BM15" s="94"/>
      <c r="BN15" s="94"/>
      <c r="BO15" s="94"/>
    </row>
    <row r="16" spans="1:67" ht="12.75" customHeight="1">
      <c r="A16" s="25"/>
      <c r="B16" s="165" t="s">
        <v>88</v>
      </c>
      <c r="C16" s="160"/>
      <c r="D16" s="160"/>
      <c r="E16" s="160"/>
      <c r="F16" s="160"/>
      <c r="G16" s="160"/>
      <c r="H16" s="160"/>
      <c r="I16" s="160"/>
      <c r="J16" s="160"/>
      <c r="K16" s="160"/>
      <c r="L16" s="160"/>
      <c r="M16" s="165" t="s">
        <v>89</v>
      </c>
      <c r="N16" s="165"/>
      <c r="O16" s="165"/>
      <c r="P16" s="165"/>
      <c r="Q16" s="165"/>
      <c r="R16" s="155"/>
      <c r="S16" s="155"/>
      <c r="T16" s="165" t="s">
        <v>90</v>
      </c>
      <c r="U16" s="165"/>
      <c r="V16" s="165"/>
      <c r="W16" s="157"/>
      <c r="X16" s="155"/>
      <c r="Y16" s="155"/>
      <c r="Z16" s="165" t="s">
        <v>91</v>
      </c>
      <c r="AA16" s="165"/>
      <c r="AB16" s="165"/>
      <c r="AC16" s="165"/>
      <c r="AD16" s="165"/>
      <c r="AE16" s="165"/>
      <c r="AF16" s="165"/>
      <c r="AG16" s="165"/>
      <c r="AH16" s="165"/>
      <c r="AI16" s="165"/>
      <c r="AJ16" s="25"/>
      <c r="AX16" s="94"/>
      <c r="AY16" s="94"/>
      <c r="AZ16" s="94"/>
      <c r="BA16" s="94"/>
      <c r="BB16" s="94"/>
      <c r="BC16" s="94"/>
      <c r="BD16" s="94"/>
      <c r="BE16" s="94"/>
      <c r="BF16" s="94"/>
      <c r="BG16" s="94"/>
      <c r="BH16" s="94"/>
      <c r="BI16" s="94"/>
      <c r="BJ16" s="94"/>
      <c r="BK16" s="94"/>
      <c r="BL16" s="94"/>
      <c r="BM16" s="94"/>
      <c r="BN16" s="94"/>
      <c r="BO16" s="94"/>
    </row>
    <row r="17" spans="1:67" ht="15" customHeight="1">
      <c r="A17" s="25"/>
      <c r="B17" s="776"/>
      <c r="C17" s="777"/>
      <c r="D17" s="777"/>
      <c r="E17" s="777"/>
      <c r="F17" s="777"/>
      <c r="G17" s="777"/>
      <c r="H17" s="777"/>
      <c r="I17" s="777"/>
      <c r="J17" s="777"/>
      <c r="K17" s="777"/>
      <c r="L17" s="778"/>
      <c r="M17" s="776"/>
      <c r="N17" s="777"/>
      <c r="O17" s="777"/>
      <c r="P17" s="777"/>
      <c r="Q17" s="777"/>
      <c r="R17" s="777"/>
      <c r="S17" s="778"/>
      <c r="T17" s="776"/>
      <c r="U17" s="777"/>
      <c r="V17" s="777"/>
      <c r="W17" s="777"/>
      <c r="X17" s="777"/>
      <c r="Y17" s="778"/>
      <c r="Z17" s="794"/>
      <c r="AA17" s="786"/>
      <c r="AB17" s="786"/>
      <c r="AC17" s="786"/>
      <c r="AD17" s="786"/>
      <c r="AE17" s="786"/>
      <c r="AF17" s="786"/>
      <c r="AG17" s="786"/>
      <c r="AH17" s="786"/>
      <c r="AI17" s="787"/>
      <c r="AJ17" s="25"/>
      <c r="AX17" s="94"/>
      <c r="AY17" s="94"/>
      <c r="AZ17" s="94"/>
      <c r="BA17" s="94"/>
      <c r="BB17" s="94"/>
      <c r="BC17" s="94"/>
      <c r="BD17" s="94"/>
      <c r="BE17" s="94"/>
      <c r="BF17" s="94"/>
      <c r="BG17" s="94"/>
      <c r="BH17" s="94"/>
      <c r="BI17" s="94"/>
      <c r="BJ17" s="94"/>
      <c r="BK17" s="94"/>
      <c r="BL17" s="94"/>
      <c r="BM17" s="94"/>
      <c r="BN17" s="94"/>
      <c r="BO17" s="94"/>
    </row>
    <row r="18" spans="1:67" ht="12.75" customHeight="1">
      <c r="A18" s="25"/>
      <c r="B18" s="162" t="s">
        <v>92</v>
      </c>
      <c r="C18" s="162"/>
      <c r="D18" s="162"/>
      <c r="E18" s="162"/>
      <c r="F18" s="162"/>
      <c r="G18" s="162"/>
      <c r="H18" s="162"/>
      <c r="I18" s="162"/>
      <c r="J18" s="162"/>
      <c r="K18" s="162"/>
      <c r="L18" s="162"/>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25"/>
      <c r="AX18" s="94"/>
      <c r="AY18" s="94"/>
      <c r="AZ18" s="94"/>
      <c r="BA18" s="94"/>
      <c r="BB18" s="94"/>
      <c r="BC18" s="94"/>
      <c r="BD18" s="94"/>
      <c r="BE18" s="94"/>
      <c r="BF18" s="94"/>
      <c r="BG18" s="94"/>
      <c r="BH18" s="94"/>
      <c r="BI18" s="94"/>
      <c r="BJ18" s="94"/>
      <c r="BK18" s="94"/>
      <c r="BL18" s="94"/>
      <c r="BM18" s="94"/>
      <c r="BN18" s="94"/>
      <c r="BO18" s="94"/>
    </row>
    <row r="19" spans="1:67" ht="15" customHeight="1">
      <c r="A19" s="25"/>
      <c r="B19" s="773"/>
      <c r="C19" s="786"/>
      <c r="D19" s="786"/>
      <c r="E19" s="786"/>
      <c r="F19" s="786"/>
      <c r="G19" s="786"/>
      <c r="H19" s="786"/>
      <c r="I19" s="786"/>
      <c r="J19" s="786"/>
      <c r="K19" s="786"/>
      <c r="L19" s="786"/>
      <c r="M19" s="786"/>
      <c r="N19" s="786"/>
      <c r="O19" s="786"/>
      <c r="P19" s="786"/>
      <c r="Q19" s="786"/>
      <c r="R19" s="786"/>
      <c r="S19" s="786"/>
      <c r="T19" s="774"/>
      <c r="U19" s="774"/>
      <c r="V19" s="774"/>
      <c r="W19" s="774"/>
      <c r="X19" s="774"/>
      <c r="Y19" s="774"/>
      <c r="Z19" s="774"/>
      <c r="AA19" s="774"/>
      <c r="AB19" s="774"/>
      <c r="AC19" s="774"/>
      <c r="AD19" s="774"/>
      <c r="AE19" s="774"/>
      <c r="AF19" s="774"/>
      <c r="AG19" s="774"/>
      <c r="AH19" s="774"/>
      <c r="AI19" s="775"/>
      <c r="AJ19" s="15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row>
    <row r="20" spans="1:67" ht="12.75" customHeight="1">
      <c r="A20" s="25"/>
      <c r="B20" s="162" t="s">
        <v>93</v>
      </c>
      <c r="C20" s="162"/>
      <c r="D20" s="162"/>
      <c r="E20" s="162"/>
      <c r="F20" s="162"/>
      <c r="G20" s="162"/>
      <c r="H20" s="162"/>
      <c r="I20" s="162"/>
      <c r="J20" s="162"/>
      <c r="K20" s="162"/>
      <c r="L20" s="162"/>
      <c r="M20" s="162" t="s">
        <v>94</v>
      </c>
      <c r="N20" s="162"/>
      <c r="O20" s="162"/>
      <c r="P20" s="162"/>
      <c r="Q20" s="162"/>
      <c r="R20" s="162"/>
      <c r="S20" s="162"/>
      <c r="T20" s="25"/>
      <c r="U20" s="25"/>
      <c r="V20" s="25"/>
      <c r="W20" s="25"/>
      <c r="X20" s="25"/>
      <c r="Y20" s="25"/>
      <c r="Z20" s="25"/>
      <c r="AA20" s="25"/>
      <c r="AB20" s="25"/>
      <c r="AC20" s="25"/>
      <c r="AD20" s="25"/>
      <c r="AE20" s="25"/>
      <c r="AF20" s="25"/>
      <c r="AG20" s="25"/>
      <c r="AH20" s="25"/>
      <c r="AI20" s="25"/>
      <c r="AJ20" s="25"/>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row>
    <row r="21" spans="1:67" ht="15" customHeight="1">
      <c r="A21" s="25"/>
      <c r="B21" s="783"/>
      <c r="C21" s="784"/>
      <c r="D21" s="784"/>
      <c r="E21" s="784"/>
      <c r="F21" s="784"/>
      <c r="G21" s="784"/>
      <c r="H21" s="784"/>
      <c r="I21" s="784"/>
      <c r="J21" s="784"/>
      <c r="K21" s="784"/>
      <c r="L21" s="785"/>
      <c r="M21" s="783"/>
      <c r="N21" s="784"/>
      <c r="O21" s="784"/>
      <c r="P21" s="784"/>
      <c r="Q21" s="784"/>
      <c r="R21" s="784"/>
      <c r="S21" s="785"/>
      <c r="T21" s="25"/>
      <c r="U21" s="25"/>
      <c r="V21" s="25"/>
      <c r="W21" s="25"/>
      <c r="X21" s="25"/>
      <c r="Y21" s="25"/>
      <c r="Z21" s="25"/>
      <c r="AA21" s="25"/>
      <c r="AB21" s="25"/>
      <c r="AC21" s="25"/>
      <c r="AD21" s="25"/>
      <c r="AE21" s="25"/>
      <c r="AF21" s="25"/>
      <c r="AG21" s="25"/>
      <c r="AH21" s="25"/>
      <c r="AI21" s="25"/>
      <c r="AJ21" s="25"/>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row>
    <row r="22" spans="1:67" ht="15" customHeight="1">
      <c r="A22" s="25"/>
      <c r="B22" s="25"/>
      <c r="C22" s="25"/>
      <c r="D22" s="25"/>
      <c r="E22" s="25"/>
      <c r="F22" s="25"/>
      <c r="G22" s="25"/>
      <c r="H22" s="25"/>
      <c r="I22" s="25"/>
      <c r="J22" s="25"/>
      <c r="K22" s="25"/>
      <c r="L22" s="25"/>
      <c r="M22" s="25"/>
      <c r="N22" s="25"/>
      <c r="O22" s="166"/>
      <c r="P22" s="152"/>
      <c r="Q22" s="166"/>
      <c r="R22" s="166"/>
      <c r="S22" s="166"/>
      <c r="T22" s="151"/>
      <c r="U22" s="151"/>
      <c r="V22" s="151"/>
      <c r="W22" s="151"/>
      <c r="X22" s="151"/>
      <c r="Y22" s="151"/>
      <c r="Z22" s="166"/>
      <c r="AA22" s="166"/>
      <c r="AB22" s="166"/>
      <c r="AC22" s="166"/>
      <c r="AD22" s="166"/>
      <c r="AE22" s="166"/>
      <c r="AF22" s="166"/>
      <c r="AG22" s="166"/>
      <c r="AH22" s="166"/>
      <c r="AI22" s="166"/>
      <c r="AJ22" s="25"/>
      <c r="AX22" s="94"/>
      <c r="AY22" s="94"/>
      <c r="AZ22" s="94"/>
      <c r="BA22" s="94"/>
      <c r="BB22" s="94"/>
      <c r="BC22" s="94"/>
      <c r="BD22" s="94"/>
      <c r="BE22" s="94"/>
      <c r="BF22" s="94"/>
      <c r="BG22" s="94"/>
      <c r="BH22" s="94"/>
      <c r="BI22" s="94"/>
      <c r="BJ22" s="94"/>
      <c r="BK22" s="94"/>
      <c r="BL22" s="94"/>
      <c r="BM22" s="94"/>
      <c r="BN22" s="94"/>
      <c r="BO22" s="94"/>
    </row>
    <row r="23" spans="1:67" ht="15" customHeight="1">
      <c r="A23" s="25"/>
      <c r="B23" s="196" t="s">
        <v>95</v>
      </c>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X23" s="94"/>
      <c r="AY23" s="94"/>
      <c r="AZ23" s="94"/>
      <c r="BA23" s="94"/>
      <c r="BB23" s="94"/>
      <c r="BC23" s="94"/>
      <c r="BD23" s="94"/>
      <c r="BE23" s="94"/>
      <c r="BF23" s="94"/>
      <c r="BG23" s="94"/>
      <c r="BH23" s="94"/>
      <c r="BI23" s="94"/>
      <c r="BJ23" s="94"/>
      <c r="BK23" s="94"/>
      <c r="BL23" s="94"/>
      <c r="BM23" s="94"/>
      <c r="BN23" s="94"/>
      <c r="BO23" s="94"/>
    </row>
    <row r="24" spans="1:67">
      <c r="A24" s="25"/>
      <c r="B24" s="518" t="s">
        <v>96</v>
      </c>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X24" s="94"/>
      <c r="AY24" s="94"/>
      <c r="AZ24" s="94"/>
      <c r="BA24" s="94"/>
      <c r="BB24" s="94"/>
      <c r="BC24" s="94"/>
      <c r="BD24" s="94"/>
      <c r="BE24" s="94"/>
      <c r="BF24" s="94"/>
      <c r="BG24" s="94"/>
      <c r="BH24" s="94"/>
      <c r="BI24" s="94"/>
      <c r="BJ24" s="94"/>
      <c r="BK24" s="94"/>
      <c r="BL24" s="94"/>
      <c r="BM24" s="94"/>
      <c r="BN24" s="94"/>
      <c r="BO24" s="94"/>
    </row>
    <row r="25" spans="1:67">
      <c r="A25" s="25"/>
      <c r="B25" s="518" t="s">
        <v>3333</v>
      </c>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X25" s="94"/>
      <c r="AY25" s="94"/>
      <c r="AZ25" s="94"/>
      <c r="BA25" s="94"/>
      <c r="BB25" s="94"/>
      <c r="BC25" s="94"/>
      <c r="BD25" s="94"/>
      <c r="BE25" s="94"/>
      <c r="BF25" s="94"/>
      <c r="BG25" s="94"/>
      <c r="BH25" s="94"/>
      <c r="BI25" s="94"/>
      <c r="BJ25" s="94"/>
      <c r="BK25" s="94"/>
      <c r="BL25" s="94"/>
      <c r="BM25" s="94"/>
      <c r="BN25" s="94"/>
      <c r="BO25" s="94"/>
    </row>
    <row r="26" spans="1:67" ht="14.2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197"/>
      <c r="AX26" s="94"/>
      <c r="AY26" s="94"/>
      <c r="AZ26" s="94"/>
      <c r="BA26" s="94"/>
      <c r="BB26" s="94"/>
      <c r="BC26" s="94"/>
      <c r="BD26" s="94"/>
      <c r="BE26" s="94"/>
      <c r="BF26" s="94"/>
      <c r="BG26" s="94"/>
      <c r="BH26" s="94"/>
      <c r="BI26" s="94"/>
      <c r="BJ26" s="94"/>
      <c r="BK26" s="94"/>
      <c r="BL26" s="94"/>
      <c r="BM26" s="94"/>
      <c r="BN26" s="94"/>
      <c r="BO26" s="94"/>
    </row>
    <row r="27" spans="1:67">
      <c r="A27" s="25"/>
      <c r="B27" s="518" t="s">
        <v>97</v>
      </c>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X27" s="94"/>
      <c r="AY27" s="94"/>
      <c r="AZ27" s="94"/>
      <c r="BA27" s="94"/>
      <c r="BB27" s="94"/>
      <c r="BC27" s="94"/>
      <c r="BD27" s="94"/>
      <c r="BE27" s="94"/>
      <c r="BF27" s="94"/>
      <c r="BG27" s="94"/>
      <c r="BH27" s="94"/>
      <c r="BI27" s="94"/>
      <c r="BJ27" s="94"/>
      <c r="BK27" s="94"/>
      <c r="BL27" s="94"/>
      <c r="BM27" s="94"/>
      <c r="BN27" s="94"/>
      <c r="BO27" s="94"/>
    </row>
    <row r="28" spans="1:67" ht="4.1500000000000004" customHeight="1">
      <c r="A28" s="25"/>
      <c r="B28" s="518"/>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X28" s="94"/>
      <c r="AY28" s="94"/>
      <c r="AZ28" s="94"/>
      <c r="BA28" s="94"/>
      <c r="BB28" s="94"/>
      <c r="BC28" s="94"/>
      <c r="BD28" s="94"/>
      <c r="BE28" s="94"/>
      <c r="BF28" s="94"/>
      <c r="BG28" s="94"/>
      <c r="BH28" s="94"/>
      <c r="BI28" s="94"/>
      <c r="BJ28" s="94"/>
      <c r="BK28" s="94"/>
      <c r="BL28" s="94"/>
      <c r="BM28" s="94"/>
      <c r="BN28" s="94"/>
      <c r="BO28" s="94"/>
    </row>
    <row r="29" spans="1:67">
      <c r="A29" s="25"/>
      <c r="B29" s="518" t="s">
        <v>98</v>
      </c>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X29" s="94"/>
      <c r="AY29" s="94"/>
      <c r="AZ29" s="723" t="b">
        <v>0</v>
      </c>
      <c r="BA29" s="94"/>
      <c r="BB29" s="94"/>
      <c r="BC29" s="94"/>
      <c r="BD29" s="94"/>
      <c r="BE29" s="94"/>
      <c r="BF29" s="94"/>
      <c r="BG29" s="94"/>
      <c r="BH29" s="94"/>
      <c r="BI29" s="94"/>
      <c r="BJ29" s="94"/>
      <c r="BK29" s="94"/>
      <c r="BL29" s="94"/>
      <c r="BM29" s="94"/>
      <c r="BN29" s="94"/>
      <c r="BO29" s="94"/>
    </row>
    <row r="30" spans="1:67">
      <c r="A30" s="25"/>
      <c r="B30" s="518"/>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X30" s="94"/>
      <c r="AY30" s="94"/>
      <c r="AZ30" s="94"/>
      <c r="BA30" s="94"/>
      <c r="BB30" s="94"/>
      <c r="BC30" s="94"/>
      <c r="BD30" s="94"/>
      <c r="BE30" s="94"/>
      <c r="BF30" s="94"/>
      <c r="BG30" s="94"/>
      <c r="BH30" s="94"/>
      <c r="BI30" s="94"/>
      <c r="BJ30" s="94"/>
      <c r="BK30" s="94"/>
      <c r="BL30" s="94"/>
      <c r="BM30" s="94"/>
      <c r="BN30" s="94"/>
      <c r="BO30" s="94"/>
    </row>
    <row r="31" spans="1:67">
      <c r="A31" s="25"/>
      <c r="B31" s="518" t="s">
        <v>99</v>
      </c>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X31" s="94"/>
      <c r="AY31" s="94"/>
      <c r="AZ31" s="94"/>
      <c r="BA31" s="94"/>
      <c r="BB31" s="94"/>
      <c r="BC31" s="94"/>
      <c r="BD31" s="94"/>
      <c r="BE31" s="94"/>
      <c r="BF31" s="94"/>
      <c r="BG31" s="94"/>
      <c r="BH31" s="94"/>
      <c r="BI31" s="94"/>
      <c r="BJ31" s="94"/>
      <c r="BK31" s="94"/>
      <c r="BL31" s="94"/>
      <c r="BM31" s="94"/>
      <c r="BN31" s="94"/>
      <c r="BO31" s="94"/>
    </row>
    <row r="32" spans="1:67">
      <c r="A32" s="25"/>
      <c r="B32" s="616" t="s">
        <v>100</v>
      </c>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X32" s="94"/>
      <c r="AY32" s="94"/>
      <c r="AZ32" s="531"/>
      <c r="BA32" s="94"/>
      <c r="BB32" s="94"/>
      <c r="BC32" s="94"/>
      <c r="BD32" s="94"/>
      <c r="BE32" s="94"/>
      <c r="BF32" s="94"/>
      <c r="BG32" s="94"/>
      <c r="BH32" s="94"/>
      <c r="BI32" s="94"/>
      <c r="BJ32" s="94"/>
      <c r="BK32" s="94"/>
      <c r="BL32" s="94"/>
      <c r="BM32" s="94"/>
      <c r="BN32" s="94"/>
      <c r="BO32" s="94"/>
    </row>
    <row r="33" spans="1:67" ht="12.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X33" s="94"/>
      <c r="AY33" s="94"/>
      <c r="AZ33" s="94"/>
      <c r="BA33" s="94"/>
      <c r="BB33" s="94"/>
      <c r="BC33" s="94"/>
      <c r="BD33" s="94"/>
      <c r="BE33" s="94"/>
      <c r="BF33" s="94"/>
      <c r="BG33" s="94"/>
      <c r="BH33" s="94"/>
      <c r="BI33" s="94"/>
      <c r="BJ33" s="94"/>
      <c r="BK33" s="94"/>
      <c r="BL33" s="94"/>
      <c r="BM33" s="94"/>
      <c r="BN33" s="94"/>
      <c r="BO33" s="94"/>
    </row>
    <row r="34" spans="1:67" ht="4.1500000000000004" customHeight="1">
      <c r="A34" s="25"/>
      <c r="B34" s="526"/>
      <c r="C34" s="526"/>
      <c r="D34" s="526"/>
      <c r="E34" s="526"/>
      <c r="F34" s="526"/>
      <c r="G34" s="526"/>
      <c r="H34" s="526"/>
      <c r="I34" s="526"/>
      <c r="J34" s="526"/>
      <c r="K34" s="526"/>
      <c r="L34" s="526"/>
      <c r="M34" s="526"/>
      <c r="N34" s="526"/>
      <c r="O34" s="25"/>
      <c r="P34" s="25"/>
      <c r="Q34" s="25"/>
      <c r="R34" s="25"/>
      <c r="S34" s="25"/>
      <c r="T34" s="25"/>
      <c r="U34" s="25"/>
      <c r="V34" s="25"/>
      <c r="W34" s="25"/>
      <c r="X34" s="25"/>
      <c r="Y34" s="25"/>
      <c r="Z34" s="25"/>
      <c r="AA34" s="25"/>
      <c r="AB34" s="25"/>
      <c r="AC34" s="25"/>
      <c r="AD34" s="25"/>
      <c r="AE34" s="25"/>
      <c r="AF34" s="25"/>
      <c r="AG34" s="25"/>
      <c r="AH34" s="25"/>
      <c r="AI34" s="25"/>
      <c r="AJ34" s="25"/>
      <c r="AX34" s="94"/>
      <c r="AY34" s="94"/>
      <c r="AZ34" s="94"/>
      <c r="BA34" s="94"/>
      <c r="BB34" s="94"/>
      <c r="BC34" s="94"/>
      <c r="BD34" s="94"/>
      <c r="BE34" s="94"/>
      <c r="BF34" s="94"/>
      <c r="BG34" s="94"/>
      <c r="BH34" s="94"/>
      <c r="BI34" s="94"/>
      <c r="BJ34" s="94"/>
      <c r="BK34" s="94"/>
      <c r="BL34" s="94"/>
      <c r="BM34" s="94"/>
      <c r="BN34" s="94"/>
      <c r="BO34" s="94"/>
    </row>
    <row r="35" spans="1:67" ht="4.1500000000000004"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X35" s="94"/>
      <c r="AY35" s="94"/>
      <c r="AZ35" s="94"/>
      <c r="BA35" s="94"/>
      <c r="BB35" s="94"/>
      <c r="BC35" s="94"/>
      <c r="BD35" s="94"/>
      <c r="BE35" s="94"/>
      <c r="BF35" s="94"/>
      <c r="BG35" s="94"/>
      <c r="BH35" s="94"/>
      <c r="BI35" s="94"/>
      <c r="BJ35" s="94"/>
      <c r="BK35" s="94"/>
      <c r="BL35" s="94"/>
      <c r="BM35" s="94"/>
      <c r="BN35" s="94"/>
      <c r="BO35" s="94"/>
    </row>
    <row r="36" spans="1:67" ht="4.1500000000000004"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X36" s="94"/>
      <c r="AY36" s="94"/>
      <c r="AZ36" s="94"/>
      <c r="BA36" s="94"/>
      <c r="BB36" s="94"/>
      <c r="BC36" s="94"/>
      <c r="BD36" s="94"/>
      <c r="BE36" s="94"/>
      <c r="BF36" s="94"/>
      <c r="BG36" s="94"/>
      <c r="BH36" s="94"/>
      <c r="BI36" s="94"/>
      <c r="BJ36" s="94"/>
      <c r="BK36" s="94"/>
      <c r="BL36" s="94"/>
      <c r="BM36" s="94"/>
      <c r="BN36" s="94"/>
      <c r="BO36" s="94"/>
    </row>
    <row r="37" spans="1:67" ht="4.1500000000000004"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X37" s="94"/>
      <c r="AY37" s="94"/>
      <c r="AZ37" s="94"/>
      <c r="BA37" s="94"/>
      <c r="BB37" s="94"/>
      <c r="BC37" s="94"/>
      <c r="BD37" s="94"/>
      <c r="BE37" s="94"/>
      <c r="BF37" s="94"/>
      <c r="BG37" s="94"/>
      <c r="BH37" s="94"/>
      <c r="BI37" s="94"/>
      <c r="BJ37" s="94"/>
      <c r="BK37" s="94"/>
      <c r="BL37" s="94"/>
      <c r="BM37" s="94"/>
      <c r="BN37" s="94"/>
      <c r="BO37" s="94"/>
    </row>
    <row r="38" spans="1:67" ht="4.1500000000000004"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30"/>
      <c r="AX38" s="94"/>
      <c r="AY38" s="94"/>
      <c r="AZ38" s="94"/>
      <c r="BA38" s="94"/>
      <c r="BB38" s="94"/>
      <c r="BC38" s="94"/>
      <c r="BD38" s="94"/>
      <c r="BE38" s="94"/>
      <c r="BF38" s="94"/>
      <c r="BG38" s="94"/>
      <c r="BH38" s="94"/>
      <c r="BI38" s="94"/>
      <c r="BJ38" s="94"/>
      <c r="BK38" s="94"/>
      <c r="BL38" s="94"/>
      <c r="BM38" s="94"/>
      <c r="BN38" s="94"/>
      <c r="BO38" s="94"/>
    </row>
    <row r="39" spans="1:67" ht="4.1500000000000004" customHeight="1">
      <c r="A39" s="25"/>
      <c r="B39" s="157"/>
      <c r="C39" s="157"/>
      <c r="D39" s="25"/>
      <c r="E39" s="157"/>
      <c r="F39" s="25"/>
      <c r="G39" s="25"/>
      <c r="H39" s="169"/>
      <c r="I39" s="169"/>
      <c r="J39" s="25"/>
      <c r="K39" s="25"/>
      <c r="L39" s="157"/>
      <c r="M39" s="157"/>
      <c r="N39" s="25"/>
      <c r="O39" s="157"/>
      <c r="P39" s="157"/>
      <c r="Q39" s="333"/>
      <c r="R39" s="157"/>
      <c r="S39" s="370"/>
      <c r="T39" s="25"/>
      <c r="U39" s="157"/>
      <c r="V39" s="157"/>
      <c r="W39" s="333"/>
      <c r="X39" s="157"/>
      <c r="Y39" s="28"/>
      <c r="Z39" s="157"/>
      <c r="AA39" s="157"/>
      <c r="AB39" s="153"/>
      <c r="AC39" s="25"/>
      <c r="AD39" s="157"/>
      <c r="AE39" s="157"/>
      <c r="AF39" s="157"/>
      <c r="AG39" s="25"/>
      <c r="AH39" s="25"/>
      <c r="AI39" s="29"/>
      <c r="AJ39" s="30"/>
      <c r="AX39" s="94"/>
      <c r="AY39" s="94"/>
      <c r="AZ39" s="94"/>
      <c r="BA39" s="94"/>
      <c r="BB39" s="94"/>
      <c r="BC39" s="94"/>
      <c r="BD39" s="94"/>
      <c r="BE39" s="94"/>
      <c r="BF39" s="94"/>
      <c r="BG39" s="94"/>
      <c r="BH39" s="94"/>
      <c r="BI39" s="94"/>
      <c r="BJ39" s="94"/>
      <c r="BK39" s="94"/>
      <c r="BL39" s="94"/>
      <c r="BM39" s="94"/>
      <c r="BN39" s="94"/>
      <c r="BO39" s="94"/>
    </row>
    <row r="40" spans="1:67" ht="4.1500000000000004" customHeight="1">
      <c r="A40" s="25"/>
      <c r="B40" s="157"/>
      <c r="C40" s="157"/>
      <c r="D40" s="157"/>
      <c r="E40" s="157"/>
      <c r="F40" s="157"/>
      <c r="G40" s="25"/>
      <c r="H40" s="169"/>
      <c r="I40" s="169"/>
      <c r="J40" s="25"/>
      <c r="K40" s="25"/>
      <c r="L40" s="157"/>
      <c r="M40" s="157"/>
      <c r="N40" s="25"/>
      <c r="O40" s="157"/>
      <c r="P40" s="157"/>
      <c r="Q40" s="333"/>
      <c r="R40" s="157"/>
      <c r="S40" s="370"/>
      <c r="T40" s="25"/>
      <c r="U40" s="157"/>
      <c r="V40" s="157"/>
      <c r="W40" s="333"/>
      <c r="X40" s="157"/>
      <c r="Y40" s="28"/>
      <c r="Z40" s="157"/>
      <c r="AA40" s="25"/>
      <c r="AB40" s="153"/>
      <c r="AC40" s="157"/>
      <c r="AD40" s="157"/>
      <c r="AE40" s="157"/>
      <c r="AF40" s="157"/>
      <c r="AG40" s="25"/>
      <c r="AH40" s="25"/>
      <c r="AI40" s="29"/>
      <c r="AJ40" s="30"/>
      <c r="AX40" s="94"/>
      <c r="AY40" s="94"/>
      <c r="AZ40" s="94"/>
      <c r="BA40" s="94"/>
      <c r="BB40" s="94"/>
      <c r="BC40" s="94"/>
      <c r="BD40" s="94"/>
      <c r="BE40" s="94"/>
      <c r="BF40" s="94"/>
      <c r="BG40" s="94"/>
      <c r="BH40" s="94"/>
      <c r="BI40" s="94"/>
      <c r="BJ40" s="94"/>
      <c r="BK40" s="94"/>
      <c r="BL40" s="94"/>
      <c r="BM40" s="94"/>
      <c r="BN40" s="94"/>
      <c r="BO40" s="94"/>
    </row>
    <row r="41" spans="1:67" ht="4.1500000000000004" customHeight="1">
      <c r="A41" s="25"/>
      <c r="B41" s="157"/>
      <c r="C41" s="157"/>
      <c r="D41" s="157"/>
      <c r="E41" s="159"/>
      <c r="F41" s="333"/>
      <c r="G41" s="157"/>
      <c r="H41" s="370"/>
      <c r="I41" s="157"/>
      <c r="J41" s="25"/>
      <c r="K41" s="25"/>
      <c r="L41" s="25"/>
      <c r="M41" s="330"/>
      <c r="N41" s="25"/>
      <c r="O41" s="330"/>
      <c r="P41" s="25"/>
      <c r="Q41" s="25"/>
      <c r="R41" s="25"/>
      <c r="S41" s="25"/>
      <c r="T41" s="25"/>
      <c r="U41" s="25"/>
      <c r="V41" s="25"/>
      <c r="W41" s="25"/>
      <c r="X41" s="25"/>
      <c r="Y41" s="25"/>
      <c r="Z41" s="157"/>
      <c r="AA41" s="25"/>
      <c r="AB41" s="153"/>
      <c r="AC41" s="157"/>
      <c r="AD41" s="157"/>
      <c r="AE41" s="157"/>
      <c r="AF41" s="157"/>
      <c r="AG41" s="25"/>
      <c r="AH41" s="25"/>
      <c r="AI41" s="25"/>
      <c r="AJ41" s="30"/>
      <c r="AX41" s="94"/>
      <c r="AY41" s="94"/>
      <c r="AZ41" s="94"/>
      <c r="BA41" s="94"/>
      <c r="BB41" s="94"/>
      <c r="BC41" s="94"/>
      <c r="BD41" s="94"/>
      <c r="BE41" s="94"/>
      <c r="BF41" s="94"/>
      <c r="BG41" s="94"/>
      <c r="BH41" s="94"/>
      <c r="BI41" s="94"/>
      <c r="BJ41" s="94"/>
      <c r="BK41" s="94"/>
      <c r="BL41" s="94"/>
      <c r="BM41" s="94"/>
      <c r="BN41" s="94"/>
      <c r="BO41" s="94"/>
    </row>
    <row r="42" spans="1:67" ht="4.1500000000000004" customHeight="1">
      <c r="A42" s="25"/>
      <c r="B42" s="157"/>
      <c r="C42" s="157"/>
      <c r="D42" s="157"/>
      <c r="E42" s="157"/>
      <c r="F42" s="333"/>
      <c r="G42" s="157"/>
      <c r="H42" s="370"/>
      <c r="I42" s="157"/>
      <c r="J42" s="169"/>
      <c r="K42" s="25"/>
      <c r="L42" s="157"/>
      <c r="M42" s="157"/>
      <c r="N42" s="25"/>
      <c r="O42" s="157"/>
      <c r="P42" s="159"/>
      <c r="Q42" s="333"/>
      <c r="R42" s="157"/>
      <c r="S42" s="370"/>
      <c r="T42" s="25"/>
      <c r="U42" s="157"/>
      <c r="V42" s="157"/>
      <c r="W42" s="333"/>
      <c r="X42" s="157"/>
      <c r="Y42" s="28"/>
      <c r="Z42" s="157"/>
      <c r="AA42" s="157"/>
      <c r="AB42" s="153"/>
      <c r="AC42" s="157"/>
      <c r="AD42" s="157"/>
      <c r="AE42" s="157"/>
      <c r="AF42" s="157"/>
      <c r="AG42" s="25"/>
      <c r="AH42" s="25"/>
      <c r="AI42" s="29"/>
      <c r="AJ42" s="30"/>
      <c r="AX42" s="94"/>
      <c r="AY42" s="94"/>
      <c r="AZ42" s="94"/>
      <c r="BA42" s="94"/>
      <c r="BB42" s="94"/>
      <c r="BC42" s="94"/>
      <c r="BD42" s="94"/>
      <c r="BE42" s="94"/>
      <c r="BF42" s="94"/>
      <c r="BG42" s="94"/>
      <c r="BH42" s="94"/>
      <c r="BI42" s="94"/>
      <c r="BJ42" s="94"/>
      <c r="BK42" s="94"/>
      <c r="BL42" s="94"/>
      <c r="BM42" s="94"/>
      <c r="BN42" s="94"/>
      <c r="BO42" s="94"/>
    </row>
    <row r="43" spans="1:67" s="2" customFormat="1">
      <c r="A43" s="32"/>
      <c r="B43" s="779" t="s">
        <v>101</v>
      </c>
      <c r="C43" s="779"/>
      <c r="D43" s="779"/>
      <c r="E43" s="779"/>
      <c r="F43" s="779"/>
      <c r="G43" s="779"/>
      <c r="H43" s="779"/>
      <c r="I43" s="779"/>
      <c r="J43" s="779"/>
      <c r="K43" s="779"/>
      <c r="L43" s="779"/>
      <c r="M43" s="779"/>
      <c r="N43" s="779"/>
      <c r="O43" s="779"/>
      <c r="P43" s="779"/>
      <c r="Q43" s="779"/>
      <c r="R43" s="779"/>
      <c r="S43" s="779"/>
      <c r="T43" s="779"/>
      <c r="U43" s="779"/>
      <c r="V43" s="779"/>
      <c r="W43" s="779"/>
      <c r="X43" s="779"/>
      <c r="Y43" s="779"/>
      <c r="Z43" s="779"/>
      <c r="AA43" s="779"/>
      <c r="AB43" s="779"/>
      <c r="AC43" s="779"/>
      <c r="AD43" s="779"/>
      <c r="AE43" s="779"/>
      <c r="AF43" s="779"/>
      <c r="AG43" s="779"/>
      <c r="AH43" s="779"/>
      <c r="AI43" s="779"/>
      <c r="AJ43" s="32"/>
      <c r="AK43" s="1"/>
      <c r="AL43" s="1"/>
      <c r="AM43" s="1"/>
      <c r="AN43" s="1"/>
      <c r="AO43" s="1"/>
      <c r="AP43" s="1"/>
      <c r="AQ43" s="1"/>
      <c r="AR43" s="1"/>
      <c r="AS43" s="1"/>
      <c r="AT43" s="1"/>
      <c r="AU43" s="1"/>
      <c r="AV43" s="1"/>
      <c r="AW43" s="1"/>
      <c r="AX43" s="96"/>
      <c r="AY43" s="96"/>
      <c r="AZ43" s="96"/>
      <c r="BA43" s="96"/>
      <c r="BB43" s="96"/>
      <c r="BC43" s="96"/>
      <c r="BD43" s="96"/>
      <c r="BE43" s="96"/>
      <c r="BF43" s="96"/>
      <c r="BG43" s="96"/>
      <c r="BH43" s="96"/>
      <c r="BI43" s="96"/>
      <c r="BJ43" s="96"/>
      <c r="BK43" s="96"/>
      <c r="BL43" s="96"/>
      <c r="BM43" s="96"/>
      <c r="BN43" s="96"/>
      <c r="BO43" s="96"/>
    </row>
    <row r="44" spans="1:67">
      <c r="A44" s="25"/>
      <c r="B44" s="33" t="str">
        <f>Version</f>
        <v>MF (11/23)</v>
      </c>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333"/>
      <c r="AC44" s="157"/>
      <c r="AD44" s="28"/>
      <c r="AE44" s="32"/>
      <c r="AF44" s="32"/>
      <c r="AG44" s="29"/>
      <c r="AH44" s="25"/>
      <c r="AI44" s="25"/>
      <c r="AJ44" s="25"/>
      <c r="AX44" s="94"/>
      <c r="AY44" s="94"/>
      <c r="AZ44" s="94"/>
      <c r="BA44" s="94"/>
      <c r="BB44" s="94"/>
      <c r="BC44" s="94"/>
      <c r="BD44" s="94"/>
      <c r="BE44" s="94"/>
      <c r="BF44" s="94"/>
      <c r="BG44" s="94"/>
      <c r="BH44" s="94"/>
      <c r="BI44" s="94"/>
      <c r="BJ44" s="94"/>
      <c r="BK44" s="94"/>
      <c r="BL44" s="94"/>
      <c r="BM44" s="94"/>
      <c r="BN44" s="94"/>
      <c r="BO44" s="94"/>
    </row>
    <row r="45" spans="1:67">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157"/>
      <c r="AC45" s="157"/>
      <c r="AD45" s="157"/>
      <c r="AE45" s="32"/>
      <c r="AF45" s="32"/>
      <c r="AG45" s="157"/>
      <c r="AH45" s="32"/>
      <c r="AI45" s="32"/>
      <c r="AJ45" s="25"/>
      <c r="AX45" s="94"/>
      <c r="AY45" s="94"/>
      <c r="AZ45" s="94"/>
      <c r="BA45" s="94"/>
      <c r="BB45" s="94"/>
      <c r="BC45" s="94"/>
      <c r="BD45" s="94"/>
      <c r="BE45" s="94"/>
      <c r="BF45" s="94"/>
      <c r="BG45" s="94"/>
      <c r="BH45" s="94"/>
      <c r="BI45" s="94"/>
      <c r="BJ45" s="94"/>
      <c r="BK45" s="94"/>
      <c r="BL45" s="94"/>
      <c r="BM45" s="94"/>
      <c r="BN45" s="94"/>
      <c r="BO45" s="94"/>
    </row>
    <row r="46" spans="1:67" ht="12.7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row>
    <row r="47" spans="1:67">
      <c r="A47" s="94"/>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row>
    <row r="48" spans="1:67">
      <c r="A48" s="94"/>
      <c r="B48" s="94"/>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row>
    <row r="49" spans="1:67">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row>
    <row r="50" spans="1:67">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row>
    <row r="51" spans="1:67">
      <c r="A51" s="94"/>
      <c r="B51" s="94"/>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row>
    <row r="52" spans="1:67">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row>
    <row r="53" spans="1:67">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row>
    <row r="54" spans="1:67">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row>
    <row r="55" spans="1:67">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row>
    <row r="56" spans="1:67">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row>
    <row r="57" spans="1:67">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row>
    <row r="58" spans="1:67">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4"/>
      <c r="BM58" s="94"/>
      <c r="BN58" s="94"/>
      <c r="BO58" s="94"/>
    </row>
    <row r="59" spans="1:67">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row>
    <row r="60" spans="1:67">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row>
    <row r="61" spans="1:67">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row>
    <row r="62" spans="1:67">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row>
    <row r="63" spans="1:67">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row>
    <row r="64" spans="1:67">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row>
    <row r="65" spans="1:67">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row>
    <row r="66" spans="1:67">
      <c r="A66" s="94"/>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row>
    <row r="67" spans="1:67">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row>
    <row r="68" spans="1:67">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row>
    <row r="69" spans="1:67">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row>
    <row r="70" spans="1:67">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row>
    <row r="71" spans="1:67">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row>
    <row r="72" spans="1:67">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row>
    <row r="73" spans="1:67">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row>
    <row r="74" spans="1:67">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row>
    <row r="75" spans="1:67">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row>
    <row r="76" spans="1:67">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row>
    <row r="77" spans="1:67">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row>
    <row r="78" spans="1:67">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row>
    <row r="79" spans="1:67">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row>
    <row r="80" spans="1:67">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row>
    <row r="81" spans="1:67">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row>
    <row r="82" spans="1:67">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row>
    <row r="83" spans="1:67">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row>
    <row r="84" spans="1:67">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4"/>
      <c r="BC84" s="94"/>
      <c r="BD84" s="94"/>
      <c r="BE84" s="94"/>
      <c r="BF84" s="94"/>
      <c r="BG84" s="94"/>
      <c r="BH84" s="94"/>
      <c r="BI84" s="94"/>
      <c r="BJ84" s="94"/>
      <c r="BK84" s="94"/>
      <c r="BL84" s="94"/>
      <c r="BM84" s="94"/>
      <c r="BN84" s="94"/>
      <c r="BO84" s="94"/>
    </row>
    <row r="85" spans="1:67">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row>
    <row r="86" spans="1:67">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row>
    <row r="87" spans="1:67">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row>
    <row r="88" spans="1:67">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row>
    <row r="89" spans="1:67">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row>
    <row r="90" spans="1:67">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row>
    <row r="91" spans="1:67">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row>
    <row r="92" spans="1:67">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row>
    <row r="93" spans="1:67">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row>
    <row r="94" spans="1:67">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row>
    <row r="95" spans="1:67">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row>
    <row r="96" spans="1:67">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row>
    <row r="97" spans="1:67">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row>
    <row r="98" spans="1:67" ht="15" customHeight="1">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row>
    <row r="99" spans="1:67" ht="12.75" customHeight="1">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row>
    <row r="100" spans="1:67">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row>
    <row r="101" spans="1:67" ht="12.75" customHeight="1">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c r="BH101" s="94"/>
      <c r="BI101" s="94"/>
      <c r="BJ101" s="94"/>
      <c r="BK101" s="94"/>
      <c r="BL101" s="94"/>
      <c r="BM101" s="94"/>
      <c r="BN101" s="94"/>
      <c r="BO101" s="94"/>
    </row>
    <row r="102" spans="1:67">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row>
    <row r="103" spans="1:67" ht="12.75" customHeight="1">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c r="BC103" s="94"/>
      <c r="BD103" s="94"/>
      <c r="BE103" s="94"/>
      <c r="BF103" s="94"/>
      <c r="BG103" s="94"/>
      <c r="BH103" s="94"/>
      <c r="BI103" s="94"/>
      <c r="BJ103" s="94"/>
      <c r="BK103" s="94"/>
      <c r="BL103" s="94"/>
      <c r="BM103" s="94"/>
      <c r="BN103" s="94"/>
      <c r="BO103" s="94"/>
    </row>
    <row r="104" spans="1:67">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row>
    <row r="105" spans="1:67" ht="12.75" customHeight="1">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row>
    <row r="106" spans="1:67">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row>
    <row r="107" spans="1:67" ht="12.75" customHeight="1">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row>
    <row r="108" spans="1:67">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row>
    <row r="109" spans="1:67" ht="12.75" customHeight="1">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row>
    <row r="110" spans="1:67">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row>
    <row r="111" spans="1:67" ht="12.75" customHeight="1">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row>
    <row r="112" spans="1:67">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4"/>
      <c r="BH112" s="94"/>
      <c r="BI112" s="94"/>
      <c r="BJ112" s="94"/>
      <c r="BK112" s="94"/>
      <c r="BL112" s="94"/>
      <c r="BM112" s="94"/>
      <c r="BN112" s="94"/>
      <c r="BO112" s="94"/>
    </row>
    <row r="113" spans="1:67" ht="12.75" customHeight="1">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row>
    <row r="114" spans="1:67">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c r="BK114" s="94"/>
      <c r="BL114" s="94"/>
      <c r="BM114" s="94"/>
      <c r="BN114" s="94"/>
      <c r="BO114" s="94"/>
    </row>
    <row r="115" spans="1:67" ht="12.75" customHeight="1">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row>
    <row r="116" spans="1:67">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row>
    <row r="117" spans="1:67" ht="12.75" customHeight="1">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row>
    <row r="118" spans="1:67">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row>
    <row r="119" spans="1:67" ht="12.75" customHeight="1">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row>
    <row r="120" spans="1:67">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row>
    <row r="121" spans="1:67">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row>
    <row r="122" spans="1:67">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row>
    <row r="123" spans="1:67" ht="12.75" customHeight="1">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row>
    <row r="124" spans="1:67">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row>
    <row r="125" spans="1:67" ht="12.75"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row>
    <row r="126" spans="1:67">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c r="BB126" s="94"/>
      <c r="BC126" s="94"/>
      <c r="BD126" s="94"/>
      <c r="BE126" s="94"/>
      <c r="BF126" s="94"/>
      <c r="BG126" s="94"/>
      <c r="BH126" s="94"/>
      <c r="BI126" s="94"/>
      <c r="BJ126" s="94"/>
      <c r="BK126" s="94"/>
      <c r="BL126" s="94"/>
      <c r="BM126" s="94"/>
      <c r="BN126" s="94"/>
      <c r="BO126" s="94"/>
    </row>
    <row r="127" spans="1:67" ht="12.75" customHeight="1">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c r="BC127" s="94"/>
      <c r="BD127" s="94"/>
      <c r="BE127" s="94"/>
      <c r="BF127" s="94"/>
      <c r="BG127" s="94"/>
      <c r="BH127" s="94"/>
      <c r="BI127" s="94"/>
      <c r="BJ127" s="94"/>
      <c r="BK127" s="94"/>
      <c r="BL127" s="94"/>
      <c r="BM127" s="94"/>
      <c r="BN127" s="94"/>
      <c r="BO127" s="94"/>
    </row>
    <row r="128" spans="1:67">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row>
    <row r="129" spans="1:67" ht="12.75" customHeight="1">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c r="BK129" s="94"/>
      <c r="BL129" s="94"/>
      <c r="BM129" s="94"/>
      <c r="BN129" s="94"/>
      <c r="BO129" s="94"/>
    </row>
    <row r="130" spans="1:67">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c r="BC130" s="94"/>
      <c r="BD130" s="94"/>
      <c r="BE130" s="94"/>
      <c r="BF130" s="94"/>
      <c r="BG130" s="94"/>
      <c r="BH130" s="94"/>
      <c r="BI130" s="94"/>
      <c r="BJ130" s="94"/>
      <c r="BK130" s="94"/>
      <c r="BL130" s="94"/>
      <c r="BM130" s="94"/>
      <c r="BN130" s="94"/>
      <c r="BO130" s="94"/>
    </row>
    <row r="131" spans="1:67">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row>
    <row r="132" spans="1:67">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row>
    <row r="133" spans="1:67">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c r="BB133" s="94"/>
      <c r="BC133" s="94"/>
      <c r="BD133" s="94"/>
      <c r="BE133" s="94"/>
      <c r="BF133" s="94"/>
      <c r="BG133" s="94"/>
      <c r="BH133" s="94"/>
      <c r="BI133" s="94"/>
      <c r="BJ133" s="94"/>
      <c r="BK133" s="94"/>
      <c r="BL133" s="94"/>
      <c r="BM133" s="94"/>
      <c r="BN133" s="94"/>
      <c r="BO133" s="94"/>
    </row>
    <row r="134" spans="1:67" ht="15" customHeight="1">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c r="BC134" s="94"/>
      <c r="BD134" s="94"/>
      <c r="BE134" s="94"/>
      <c r="BF134" s="94"/>
      <c r="BG134" s="94"/>
      <c r="BH134" s="94"/>
      <c r="BI134" s="94"/>
      <c r="BJ134" s="94"/>
      <c r="BK134" s="94"/>
      <c r="BL134" s="94"/>
      <c r="BM134" s="94"/>
      <c r="BN134" s="94"/>
      <c r="BO134" s="94"/>
    </row>
    <row r="135" spans="1:67">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row>
    <row r="136" spans="1:67" ht="12.75" customHeight="1">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row>
    <row r="137" spans="1:67">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row>
    <row r="138" spans="1:67" ht="12.75" customHeight="1">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row>
    <row r="139" spans="1:67">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row>
    <row r="140" spans="1:67" ht="12.75" customHeight="1">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c r="BC140" s="94"/>
      <c r="BD140" s="94"/>
      <c r="BE140" s="94"/>
      <c r="BF140" s="94"/>
      <c r="BG140" s="94"/>
      <c r="BH140" s="94"/>
      <c r="BI140" s="94"/>
      <c r="BJ140" s="94"/>
      <c r="BK140" s="94"/>
      <c r="BL140" s="94"/>
      <c r="BM140" s="94"/>
      <c r="BN140" s="94"/>
      <c r="BO140" s="94"/>
    </row>
    <row r="141" spans="1:67">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row>
    <row r="142" spans="1:67" ht="12.75" customHeight="1">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row>
    <row r="143" spans="1:67">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row>
    <row r="144" spans="1:67">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row>
    <row r="145" spans="1:67" ht="12.75" customHeight="1">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row>
    <row r="146" spans="1:67" ht="12.75" customHeight="1">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row>
    <row r="147" spans="1:67">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row>
    <row r="148" spans="1:67" ht="12.75" customHeight="1">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row>
    <row r="149" spans="1:67" ht="12.75" customHeigh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row>
    <row r="150" spans="1:67">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4"/>
      <c r="BB150" s="94"/>
      <c r="BC150" s="94"/>
      <c r="BD150" s="94"/>
      <c r="BE150" s="94"/>
      <c r="BF150" s="94"/>
      <c r="BG150" s="94"/>
      <c r="BH150" s="94"/>
      <c r="BI150" s="94"/>
      <c r="BJ150" s="94"/>
      <c r="BK150" s="94"/>
      <c r="BL150" s="94"/>
      <c r="BM150" s="94"/>
      <c r="BN150" s="94"/>
      <c r="BO150" s="94"/>
    </row>
    <row r="151" spans="1:67">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c r="BC151" s="94"/>
      <c r="BD151" s="94"/>
      <c r="BE151" s="94"/>
      <c r="BF151" s="94"/>
      <c r="BG151" s="94"/>
      <c r="BH151" s="94"/>
      <c r="BI151" s="94"/>
      <c r="BJ151" s="94"/>
      <c r="BK151" s="94"/>
      <c r="BL151" s="94"/>
      <c r="BM151" s="94"/>
      <c r="BN151" s="94"/>
      <c r="BO151" s="94"/>
    </row>
    <row r="152" spans="1:67">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row>
    <row r="153" spans="1:67">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row>
    <row r="154" spans="1:67">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c r="BB154" s="94"/>
      <c r="BC154" s="94"/>
      <c r="BD154" s="94"/>
      <c r="BE154" s="94"/>
      <c r="BF154" s="94"/>
      <c r="BG154" s="94"/>
      <c r="BH154" s="94"/>
      <c r="BI154" s="94"/>
      <c r="BJ154" s="94"/>
      <c r="BK154" s="94"/>
      <c r="BL154" s="94"/>
      <c r="BM154" s="94"/>
      <c r="BN154" s="94"/>
      <c r="BO154" s="94"/>
    </row>
    <row r="155" spans="1:67">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row>
    <row r="156" spans="1:67">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row>
    <row r="157" spans="1:67">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4"/>
      <c r="BB157" s="94"/>
      <c r="BC157" s="94"/>
      <c r="BD157" s="94"/>
      <c r="BE157" s="94"/>
      <c r="BF157" s="94"/>
      <c r="BG157" s="94"/>
      <c r="BH157" s="94"/>
      <c r="BI157" s="94"/>
      <c r="BJ157" s="94"/>
      <c r="BK157" s="94"/>
      <c r="BL157" s="94"/>
      <c r="BM157" s="94"/>
      <c r="BN157" s="94"/>
      <c r="BO157" s="94"/>
    </row>
    <row r="158" spans="1:67">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row>
    <row r="159" spans="1:67">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row>
    <row r="160" spans="1:67">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row>
    <row r="161" spans="1:67">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row>
    <row r="162" spans="1:67">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row>
    <row r="163" spans="1:67">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row>
    <row r="164" spans="1:67">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row>
    <row r="165" spans="1:67">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c r="BK165" s="94"/>
      <c r="BL165" s="94"/>
      <c r="BM165" s="94"/>
      <c r="BN165" s="94"/>
      <c r="BO165" s="94"/>
    </row>
    <row r="166" spans="1:67">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4"/>
      <c r="BB166" s="94"/>
      <c r="BC166" s="94"/>
      <c r="BD166" s="94"/>
      <c r="BE166" s="94"/>
      <c r="BF166" s="94"/>
      <c r="BG166" s="94"/>
      <c r="BH166" s="94"/>
      <c r="BI166" s="94"/>
      <c r="BJ166" s="94"/>
      <c r="BK166" s="94"/>
      <c r="BL166" s="94"/>
      <c r="BM166" s="94"/>
      <c r="BN166" s="94"/>
      <c r="BO166" s="94"/>
    </row>
    <row r="167" spans="1:67">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row>
    <row r="168" spans="1:67">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row>
    <row r="169" spans="1:67">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row>
    <row r="170" spans="1:67">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row>
    <row r="171" spans="1:67">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row>
    <row r="172" spans="1:67">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row>
    <row r="173" spans="1:67">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row>
    <row r="174" spans="1:67">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row>
    <row r="175" spans="1:67">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row>
    <row r="176" spans="1:67">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row>
    <row r="177" spans="1:67">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row>
    <row r="178" spans="1:67">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row>
    <row r="179" spans="1:67">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row>
    <row r="180" spans="1:67">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row>
    <row r="181" spans="1:67">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row>
    <row r="182" spans="1:67">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row>
    <row r="183" spans="1:67">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94"/>
      <c r="BF183" s="94"/>
      <c r="BG183" s="94"/>
      <c r="BH183" s="94"/>
      <c r="BI183" s="94"/>
      <c r="BJ183" s="94"/>
      <c r="BK183" s="94"/>
      <c r="BL183" s="94"/>
      <c r="BM183" s="94"/>
      <c r="BN183" s="94"/>
      <c r="BO183" s="94"/>
    </row>
    <row r="184" spans="1:67">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row>
    <row r="185" spans="1:67" ht="15" customHeight="1">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94"/>
      <c r="BI185" s="94"/>
      <c r="BJ185" s="94"/>
      <c r="BK185" s="94"/>
      <c r="BL185" s="94"/>
      <c r="BM185" s="94"/>
      <c r="BN185" s="94"/>
      <c r="BO185" s="94"/>
    </row>
    <row r="186" spans="1:67" ht="9.75" customHeight="1">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c r="AZ186" s="94"/>
      <c r="BA186" s="94"/>
      <c r="BB186" s="94"/>
      <c r="BC186" s="94"/>
      <c r="BD186" s="94"/>
      <c r="BE186" s="94"/>
      <c r="BF186" s="94"/>
      <c r="BG186" s="94"/>
      <c r="BH186" s="94"/>
      <c r="BI186" s="94"/>
      <c r="BJ186" s="94"/>
      <c r="BK186" s="94"/>
      <c r="BL186" s="94"/>
      <c r="BM186" s="94"/>
      <c r="BN186" s="94"/>
      <c r="BO186" s="94"/>
    </row>
    <row r="187" spans="1:67" ht="15" customHeight="1">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row>
    <row r="188" spans="1:67" ht="10.5" customHeight="1">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row>
    <row r="189" spans="1:67" ht="15" customHeight="1">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c r="BK189" s="94"/>
      <c r="BL189" s="94"/>
      <c r="BM189" s="94"/>
      <c r="BN189" s="94"/>
      <c r="BO189" s="94"/>
    </row>
    <row r="190" spans="1:67" ht="10.5" customHeight="1">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row>
    <row r="191" spans="1:67" ht="15"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row>
    <row r="192" spans="1:67" ht="10.5" customHeight="1">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row>
    <row r="193" spans="1:67" ht="15" customHeight="1">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row>
    <row r="194" spans="1:67" ht="10.5" customHeight="1">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row>
    <row r="195" spans="1:67" ht="15"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row>
    <row r="196" spans="1:67" ht="10.5" customHeight="1">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4"/>
      <c r="BB196" s="94"/>
      <c r="BC196" s="94"/>
      <c r="BD196" s="94"/>
      <c r="BE196" s="94"/>
      <c r="BF196" s="94"/>
      <c r="BG196" s="94"/>
      <c r="BH196" s="94"/>
      <c r="BI196" s="94"/>
      <c r="BJ196" s="94"/>
      <c r="BK196" s="94"/>
      <c r="BL196" s="94"/>
      <c r="BM196" s="94"/>
      <c r="BN196" s="94"/>
      <c r="BO196" s="94"/>
    </row>
    <row r="197" spans="1:67" ht="15" customHeight="1">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row>
    <row r="198" spans="1:67" ht="10.5"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row>
    <row r="199" spans="1:67" ht="15" customHeight="1">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row>
    <row r="200" spans="1:67" ht="10.5" customHeight="1">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row>
    <row r="201" spans="1:67" ht="15"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row>
    <row r="202" spans="1:67" ht="12.75" customHeight="1">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row>
    <row r="203" spans="1:67" ht="15" customHeight="1">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row>
    <row r="204" spans="1:67" ht="10.5"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row>
    <row r="205" spans="1:67" ht="20.25">
      <c r="B205" s="766" t="str">
        <f>B1</f>
        <v>Multifamily (5 units or more per building)</v>
      </c>
      <c r="C205" s="766"/>
      <c r="D205" s="766"/>
      <c r="E205" s="766"/>
      <c r="F205" s="766"/>
      <c r="G205" s="766"/>
      <c r="H205" s="766"/>
      <c r="I205" s="767"/>
      <c r="J205" s="767"/>
      <c r="K205" s="767"/>
      <c r="L205" s="767"/>
      <c r="M205" s="767"/>
      <c r="N205" s="767"/>
      <c r="O205" s="767"/>
      <c r="P205" s="767"/>
      <c r="Q205" s="767"/>
      <c r="R205" s="767"/>
      <c r="S205" s="767"/>
      <c r="T205" s="767"/>
      <c r="AI205" s="17" t="s">
        <v>102</v>
      </c>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row>
    <row r="206" spans="1:67" ht="18">
      <c r="B206" s="18" t="str">
        <f>B2</f>
        <v>Energy Efficiency Incentives</v>
      </c>
      <c r="C206" s="18"/>
      <c r="D206" s="3"/>
      <c r="E206" s="3"/>
      <c r="F206" s="3"/>
      <c r="G206" s="3"/>
      <c r="H206" s="3"/>
      <c r="I206" s="3"/>
      <c r="J206" s="3"/>
      <c r="K206" s="3"/>
      <c r="L206" s="3"/>
      <c r="M206" s="3"/>
      <c r="N206" s="3"/>
      <c r="O206" s="3"/>
      <c r="P206" s="3"/>
      <c r="Q206" s="3"/>
      <c r="R206" s="3"/>
      <c r="S206" s="3"/>
      <c r="T206" s="3"/>
      <c r="U206" s="3"/>
      <c r="V206" s="3"/>
      <c r="W206" s="3"/>
      <c r="X206" s="3"/>
      <c r="AI206" s="141" t="str">
        <f>AJ1</f>
        <v>Effective November 1, 2023</v>
      </c>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c r="BK206" s="94"/>
      <c r="BL206" s="94"/>
      <c r="BM206" s="94"/>
      <c r="BN206" s="94"/>
      <c r="BO206" s="94"/>
    </row>
    <row r="207" spans="1:67" ht="36" customHeight="1">
      <c r="B207" s="67" t="str">
        <f>B3</f>
        <v>Application Data Entry</v>
      </c>
      <c r="C207" s="18"/>
      <c r="D207" s="3"/>
      <c r="E207" s="3"/>
      <c r="F207" s="3"/>
      <c r="G207" s="3"/>
      <c r="H207" s="3"/>
      <c r="I207" s="3"/>
      <c r="J207" s="3"/>
      <c r="K207" s="3"/>
      <c r="L207" s="3"/>
      <c r="M207" s="3"/>
      <c r="N207" s="3"/>
      <c r="O207" s="3"/>
      <c r="P207" s="3"/>
      <c r="Q207" s="3"/>
      <c r="R207" s="3"/>
      <c r="S207" s="3"/>
      <c r="T207" s="3"/>
      <c r="U207" s="3"/>
      <c r="V207" s="3"/>
      <c r="W207" s="3"/>
      <c r="X207" s="3"/>
      <c r="Y207" s="3"/>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row>
    <row r="208" spans="1:67" ht="4.5" customHeight="1">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row>
    <row r="209" spans="2:67" ht="15" customHeight="1">
      <c r="B209" s="233" t="s">
        <v>70</v>
      </c>
      <c r="C209" s="24"/>
      <c r="D209" s="24"/>
      <c r="E209" s="4"/>
      <c r="F209" s="4"/>
      <c r="G209" s="4"/>
      <c r="H209" s="4"/>
      <c r="I209" s="4"/>
      <c r="J209" s="4"/>
      <c r="K209" s="4"/>
      <c r="L209" s="4"/>
      <c r="M209" s="4"/>
      <c r="N209" s="4"/>
      <c r="O209" s="4"/>
      <c r="P209" s="4"/>
      <c r="Q209" s="4"/>
      <c r="Y209" s="142"/>
      <c r="AI209" s="232" t="str">
        <f>AI5</f>
        <v>*Indicates required field - if left blank your project will not be reviewed</v>
      </c>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4"/>
      <c r="BG209" s="94"/>
      <c r="BH209" s="94"/>
      <c r="BI209" s="94"/>
      <c r="BJ209" s="94"/>
      <c r="BK209" s="94"/>
      <c r="BL209" s="94"/>
      <c r="BM209" s="94"/>
      <c r="BN209" s="94"/>
      <c r="BO209" s="94"/>
    </row>
    <row r="210" spans="2:67" ht="12.75" customHeight="1">
      <c r="B210" s="740" t="str">
        <f>IF(B6="","",B6)</f>
        <v>Applicant Name* (Project Owner)</v>
      </c>
      <c r="C210" s="741"/>
      <c r="D210" s="741"/>
      <c r="E210" s="741"/>
      <c r="F210" s="741"/>
      <c r="G210" s="741"/>
      <c r="H210" s="741"/>
      <c r="I210" s="741"/>
      <c r="J210" s="741"/>
      <c r="K210" s="741"/>
      <c r="L210" s="741"/>
      <c r="M210" s="741"/>
      <c r="N210" s="741"/>
      <c r="O210" s="741"/>
      <c r="P210" s="741"/>
      <c r="Q210" s="741"/>
      <c r="R210" s="741"/>
      <c r="S210" s="742"/>
      <c r="T210" s="740" t="str">
        <f>IF(T$6="","",T$6)</f>
        <v>Account Number (If available)</v>
      </c>
      <c r="U210" s="741"/>
      <c r="V210" s="741"/>
      <c r="W210" s="741"/>
      <c r="X210" s="741"/>
      <c r="Y210" s="741"/>
      <c r="Z210" s="741"/>
      <c r="AA210" s="741"/>
      <c r="AB210" s="741"/>
      <c r="AC210" s="741"/>
      <c r="AD210" s="741"/>
      <c r="AE210" s="742"/>
      <c r="AF210" s="740" t="str">
        <f>IF(AF6="","",AF6)</f>
        <v>Date</v>
      </c>
      <c r="AG210" s="741"/>
      <c r="AH210" s="741"/>
      <c r="AI210" s="742"/>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row>
    <row r="211" spans="2:67" ht="15" customHeight="1">
      <c r="B211" s="743" t="str">
        <f>IF(B7="","",B7)</f>
        <v/>
      </c>
      <c r="C211" s="744"/>
      <c r="D211" s="744"/>
      <c r="E211" s="744"/>
      <c r="F211" s="744"/>
      <c r="G211" s="744"/>
      <c r="H211" s="744"/>
      <c r="I211" s="744"/>
      <c r="J211" s="744"/>
      <c r="K211" s="744"/>
      <c r="L211" s="744"/>
      <c r="M211" s="744"/>
      <c r="N211" s="744"/>
      <c r="O211" s="744"/>
      <c r="P211" s="744"/>
      <c r="Q211" s="744"/>
      <c r="R211" s="744"/>
      <c r="S211" s="745"/>
      <c r="T211" s="763" t="str">
        <f>IF(T$7="","",T$7)</f>
        <v/>
      </c>
      <c r="U211" s="764"/>
      <c r="V211" s="764"/>
      <c r="W211" s="764"/>
      <c r="X211" s="764"/>
      <c r="Y211" s="764"/>
      <c r="Z211" s="764"/>
      <c r="AA211" s="764"/>
      <c r="AB211" s="764"/>
      <c r="AC211" s="764"/>
      <c r="AD211" s="764"/>
      <c r="AE211" s="765"/>
      <c r="AF211" s="752" t="str">
        <f>IF(AF7="","",AF7)</f>
        <v/>
      </c>
      <c r="AG211" s="753"/>
      <c r="AH211" s="753"/>
      <c r="AI211" s="754"/>
      <c r="AK211" s="94"/>
      <c r="AL211" s="94"/>
      <c r="AM211" s="94"/>
      <c r="AN211" s="94"/>
      <c r="AO211" s="94"/>
      <c r="AP211" s="94"/>
      <c r="AQ211" s="94"/>
      <c r="AR211" s="94"/>
      <c r="AS211" s="94"/>
      <c r="AT211" s="94"/>
      <c r="AU211" s="94"/>
      <c r="AV211" s="94"/>
      <c r="AW211" s="94"/>
      <c r="AX211" s="94"/>
      <c r="AY211" s="94"/>
      <c r="AZ211" s="94"/>
      <c r="BA211" s="94"/>
      <c r="BB211" s="94"/>
      <c r="BC211" s="94"/>
      <c r="BD211" s="94"/>
      <c r="BE211" s="94"/>
      <c r="BF211" s="94"/>
      <c r="BG211" s="94"/>
      <c r="BH211" s="94"/>
      <c r="BI211" s="94"/>
      <c r="BJ211" s="94"/>
      <c r="BK211" s="94"/>
      <c r="BL211" s="94"/>
      <c r="BM211" s="94"/>
      <c r="BN211" s="94"/>
      <c r="BO211" s="94"/>
    </row>
    <row r="212" spans="2:67">
      <c r="B212" s="740" t="str">
        <f>IF(B$8="","",B$8)</f>
        <v>Project / Facility Name</v>
      </c>
      <c r="C212" s="741"/>
      <c r="D212" s="741"/>
      <c r="E212" s="741"/>
      <c r="F212" s="741"/>
      <c r="G212" s="741"/>
      <c r="H212" s="741"/>
      <c r="I212" s="741"/>
      <c r="J212" s="741"/>
      <c r="K212" s="741"/>
      <c r="L212" s="741"/>
      <c r="M212" s="741"/>
      <c r="N212" s="741"/>
      <c r="O212" s="741"/>
      <c r="P212" s="741"/>
      <c r="Q212" s="741"/>
      <c r="R212" s="741"/>
      <c r="S212" s="742"/>
      <c r="T212" s="740" t="str">
        <f>IF(T$8="","",T$8)</f>
        <v>Total Area [sq ft]</v>
      </c>
      <c r="U212" s="741"/>
      <c r="V212" s="741"/>
      <c r="W212" s="741"/>
      <c r="X212" s="742"/>
      <c r="Y212" s="740" t="str">
        <f>IF(Z$8="","",Z$8)</f>
        <v>Number of stories</v>
      </c>
      <c r="Z212" s="741"/>
      <c r="AA212" s="741"/>
      <c r="AB212" s="741"/>
      <c r="AC212" s="742"/>
      <c r="AD212" s="740" t="str">
        <f>IF(AD$8="","",AD$8)</f>
        <v>Number of Residential Units</v>
      </c>
      <c r="AE212" s="741"/>
      <c r="AF212" s="741"/>
      <c r="AG212" s="741"/>
      <c r="AH212" s="741"/>
      <c r="AI212" s="742"/>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row>
    <row r="213" spans="2:67" ht="15" customHeight="1">
      <c r="B213" s="763" t="str">
        <f>IF(B$9="","",B$9)</f>
        <v/>
      </c>
      <c r="C213" s="764"/>
      <c r="D213" s="764"/>
      <c r="E213" s="764"/>
      <c r="F213" s="764"/>
      <c r="G213" s="764"/>
      <c r="H213" s="764"/>
      <c r="I213" s="764"/>
      <c r="J213" s="764"/>
      <c r="K213" s="764"/>
      <c r="L213" s="764"/>
      <c r="M213" s="764"/>
      <c r="N213" s="764"/>
      <c r="O213" s="764"/>
      <c r="P213" s="764"/>
      <c r="Q213" s="764"/>
      <c r="R213" s="764"/>
      <c r="S213" s="765"/>
      <c r="T213" s="743" t="str">
        <f>IF(T$9="","",T$9)</f>
        <v/>
      </c>
      <c r="U213" s="744"/>
      <c r="V213" s="744"/>
      <c r="W213" s="744"/>
      <c r="X213" s="745"/>
      <c r="Y213" s="743" t="str">
        <f>IF(Z$9="","",Z$9)</f>
        <v/>
      </c>
      <c r="Z213" s="744"/>
      <c r="AA213" s="744"/>
      <c r="AB213" s="744"/>
      <c r="AC213" s="745"/>
      <c r="AD213" s="743" t="str">
        <f>IF(AD$9="","",AD$9)</f>
        <v/>
      </c>
      <c r="AE213" s="744"/>
      <c r="AF213" s="744"/>
      <c r="AG213" s="744"/>
      <c r="AH213" s="744"/>
      <c r="AI213" s="745"/>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row>
    <row r="214" spans="2:67" ht="12.75" customHeight="1">
      <c r="B214" s="740" t="str">
        <f>IF(B$10="","",B$10)</f>
        <v>Project Site Address*</v>
      </c>
      <c r="C214" s="741"/>
      <c r="D214" s="741"/>
      <c r="E214" s="741"/>
      <c r="F214" s="741"/>
      <c r="G214" s="741"/>
      <c r="H214" s="741"/>
      <c r="I214" s="741"/>
      <c r="J214" s="741"/>
      <c r="K214" s="741"/>
      <c r="L214" s="741"/>
      <c r="M214" s="741"/>
      <c r="N214" s="741"/>
      <c r="O214" s="741"/>
      <c r="P214" s="741"/>
      <c r="Q214" s="741"/>
      <c r="R214" s="741"/>
      <c r="S214" s="742"/>
      <c r="T214" s="747" t="str">
        <f>IF(T$10="","",T$10)</f>
        <v>City*</v>
      </c>
      <c r="U214" s="746"/>
      <c r="V214" s="746"/>
      <c r="W214" s="746"/>
      <c r="X214" s="746"/>
      <c r="Y214" s="746"/>
      <c r="Z214" s="746"/>
      <c r="AA214" s="746"/>
      <c r="AB214" s="746"/>
      <c r="AC214" s="748"/>
      <c r="AD214" s="740" t="str">
        <f>IF(AD$10="","",AD$10)</f>
        <v>State*</v>
      </c>
      <c r="AE214" s="758"/>
      <c r="AF214" s="740" t="str">
        <f>IF(AF$10="","",AF$10)</f>
        <v>Zip*</v>
      </c>
      <c r="AG214" s="741"/>
      <c r="AH214" s="741"/>
      <c r="AI214" s="742"/>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row>
    <row r="215" spans="2:67" ht="15" customHeight="1">
      <c r="B215" s="743" t="str">
        <f>IF(B$11="","",B$11)</f>
        <v/>
      </c>
      <c r="C215" s="744"/>
      <c r="D215" s="744"/>
      <c r="E215" s="744"/>
      <c r="F215" s="744"/>
      <c r="G215" s="744"/>
      <c r="H215" s="744"/>
      <c r="I215" s="744"/>
      <c r="J215" s="744"/>
      <c r="K215" s="744"/>
      <c r="L215" s="744"/>
      <c r="M215" s="744"/>
      <c r="N215" s="744"/>
      <c r="O215" s="744"/>
      <c r="P215" s="744"/>
      <c r="Q215" s="744"/>
      <c r="R215" s="744"/>
      <c r="S215" s="745"/>
      <c r="T215" s="763" t="str">
        <f>IF(T$11="","",T$11)</f>
        <v/>
      </c>
      <c r="U215" s="764"/>
      <c r="V215" s="764"/>
      <c r="W215" s="764"/>
      <c r="X215" s="764"/>
      <c r="Y215" s="764"/>
      <c r="Z215" s="764"/>
      <c r="AA215" s="764"/>
      <c r="AB215" s="764"/>
      <c r="AC215" s="765"/>
      <c r="AD215" s="743" t="str">
        <f>IF(AD$11="","",AD$11)</f>
        <v/>
      </c>
      <c r="AE215" s="745"/>
      <c r="AF215" s="743" t="str">
        <f>IF(AF$11="","",AF$11)</f>
        <v/>
      </c>
      <c r="AG215" s="744"/>
      <c r="AH215" s="744"/>
      <c r="AI215" s="745"/>
      <c r="AK215" s="94"/>
      <c r="AL215" s="94"/>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row>
    <row r="216" spans="2:67" ht="12.75" customHeight="1">
      <c r="B216" s="755" t="str">
        <f>IF(B$12="","",B$12)</f>
        <v>Mailing Address (If different)</v>
      </c>
      <c r="C216" s="756"/>
      <c r="D216" s="756"/>
      <c r="E216" s="756"/>
      <c r="F216" s="756"/>
      <c r="G216" s="756"/>
      <c r="H216" s="756"/>
      <c r="I216" s="756"/>
      <c r="J216" s="756"/>
      <c r="K216" s="756"/>
      <c r="L216" s="756"/>
      <c r="M216" s="756"/>
      <c r="N216" s="756"/>
      <c r="O216" s="756"/>
      <c r="P216" s="756"/>
      <c r="Q216" s="756"/>
      <c r="R216" s="756"/>
      <c r="S216" s="757"/>
      <c r="T216" s="755" t="str">
        <f>IF(T$12="","",T$12)</f>
        <v>City</v>
      </c>
      <c r="U216" s="756"/>
      <c r="V216" s="756"/>
      <c r="W216" s="756"/>
      <c r="X216" s="756"/>
      <c r="Y216" s="756"/>
      <c r="Z216" s="756"/>
      <c r="AA216" s="756"/>
      <c r="AB216" s="756"/>
      <c r="AC216" s="757"/>
      <c r="AD216" s="755" t="str">
        <f>IF(AD$12="","",AD$12)</f>
        <v/>
      </c>
      <c r="AE216" s="762"/>
      <c r="AF216" s="740" t="str">
        <f>IF(AF$12="","",AF$12)</f>
        <v>Zip</v>
      </c>
      <c r="AG216" s="741"/>
      <c r="AH216" s="741"/>
      <c r="AI216" s="742"/>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row>
    <row r="217" spans="2:67" ht="15" customHeight="1">
      <c r="B217" s="763" t="str">
        <f>IF(B$13="","",B$13)</f>
        <v/>
      </c>
      <c r="C217" s="764"/>
      <c r="D217" s="764"/>
      <c r="E217" s="764"/>
      <c r="F217" s="764"/>
      <c r="G217" s="764"/>
      <c r="H217" s="764"/>
      <c r="I217" s="764"/>
      <c r="J217" s="764"/>
      <c r="K217" s="764"/>
      <c r="L217" s="764"/>
      <c r="M217" s="764"/>
      <c r="N217" s="764"/>
      <c r="O217" s="764"/>
      <c r="P217" s="764"/>
      <c r="Q217" s="764"/>
      <c r="R217" s="764"/>
      <c r="S217" s="765"/>
      <c r="T217" s="743" t="str">
        <f>IF(T$13="","",T$13)</f>
        <v/>
      </c>
      <c r="U217" s="744"/>
      <c r="V217" s="744"/>
      <c r="W217" s="744"/>
      <c r="X217" s="744"/>
      <c r="Y217" s="744"/>
      <c r="Z217" s="744"/>
      <c r="AA217" s="744"/>
      <c r="AB217" s="744"/>
      <c r="AC217" s="745"/>
      <c r="AD217" s="743" t="str">
        <f>IF(AD$13="","",AD$13)</f>
        <v/>
      </c>
      <c r="AE217" s="745"/>
      <c r="AF217" s="743" t="str">
        <f>IF(AF$13="","",AF$13)</f>
        <v/>
      </c>
      <c r="AG217" s="744"/>
      <c r="AH217" s="744"/>
      <c r="AI217" s="745"/>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row>
    <row r="218" spans="2:67" ht="12.75" customHeight="1">
      <c r="B218" s="755" t="str">
        <f>IF(B$14="","",B$14)</f>
        <v>Primary Contact Name*</v>
      </c>
      <c r="C218" s="756"/>
      <c r="D218" s="756"/>
      <c r="E218" s="756"/>
      <c r="F218" s="756"/>
      <c r="G218" s="756"/>
      <c r="H218" s="756"/>
      <c r="I218" s="756"/>
      <c r="J218" s="756"/>
      <c r="K218" s="756"/>
      <c r="L218" s="757"/>
      <c r="M218" s="755" t="str">
        <f>IF(M$14="","",M$14)</f>
        <v xml:space="preserve">Company </v>
      </c>
      <c r="N218" s="756"/>
      <c r="O218" s="756"/>
      <c r="P218" s="756"/>
      <c r="Q218" s="756"/>
      <c r="R218" s="756"/>
      <c r="S218" s="757"/>
      <c r="T218" s="780" t="str">
        <f>IF(T$14="","",T$14)</f>
        <v>Phone*</v>
      </c>
      <c r="U218" s="781"/>
      <c r="V218" s="781"/>
      <c r="W218" s="781"/>
      <c r="X218" s="781"/>
      <c r="Y218" s="782"/>
      <c r="Z218" s="737" t="str">
        <f>IF(Z14="","",Z14)</f>
        <v>E-mail* (required to send application notices)</v>
      </c>
      <c r="AA218" s="738"/>
      <c r="AB218" s="738"/>
      <c r="AC218" s="738"/>
      <c r="AD218" s="738"/>
      <c r="AE218" s="738"/>
      <c r="AF218" s="738"/>
      <c r="AG218" s="738"/>
      <c r="AH218" s="738"/>
      <c r="AI218" s="739"/>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row>
    <row r="219" spans="2:67" ht="15" customHeight="1">
      <c r="B219" s="770" t="str">
        <f>IF(B$15="","",B$15)</f>
        <v/>
      </c>
      <c r="C219" s="771"/>
      <c r="D219" s="771"/>
      <c r="E219" s="771"/>
      <c r="F219" s="771"/>
      <c r="G219" s="771"/>
      <c r="H219" s="771"/>
      <c r="I219" s="771"/>
      <c r="J219" s="771"/>
      <c r="K219" s="771"/>
      <c r="L219" s="772"/>
      <c r="M219" s="770" t="str">
        <f>IF(M$15="","",M$15)</f>
        <v/>
      </c>
      <c r="N219" s="771"/>
      <c r="O219" s="771"/>
      <c r="P219" s="771"/>
      <c r="Q219" s="771"/>
      <c r="R219" s="771"/>
      <c r="S219" s="772"/>
      <c r="T219" s="770" t="str">
        <f>IF(T$15="","",T$15)</f>
        <v/>
      </c>
      <c r="U219" s="771"/>
      <c r="V219" s="771"/>
      <c r="W219" s="771"/>
      <c r="X219" s="771"/>
      <c r="Y219" s="772"/>
      <c r="Z219" s="743" t="str">
        <f>IF(Z15="","",Z15)</f>
        <v/>
      </c>
      <c r="AA219" s="744"/>
      <c r="AB219" s="744"/>
      <c r="AC219" s="744"/>
      <c r="AD219" s="744"/>
      <c r="AE219" s="744"/>
      <c r="AF219" s="744"/>
      <c r="AG219" s="744"/>
      <c r="AH219" s="744"/>
      <c r="AI219" s="745"/>
      <c r="AK219" s="94"/>
      <c r="AL219" s="94"/>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row>
    <row r="220" spans="2:67" ht="12.75" customHeight="1">
      <c r="B220" s="737" t="str">
        <f>IF(B$16="","",B$16)</f>
        <v>Secondary Contact Name</v>
      </c>
      <c r="C220" s="738"/>
      <c r="D220" s="738"/>
      <c r="E220" s="738"/>
      <c r="F220" s="738"/>
      <c r="G220" s="738"/>
      <c r="H220" s="738"/>
      <c r="I220" s="738"/>
      <c r="J220" s="738"/>
      <c r="K220" s="738"/>
      <c r="L220" s="739"/>
      <c r="M220" s="737" t="str">
        <f>IF(M$16="","",M$16)</f>
        <v>Company</v>
      </c>
      <c r="N220" s="738"/>
      <c r="O220" s="738"/>
      <c r="P220" s="738"/>
      <c r="Q220" s="738"/>
      <c r="R220" s="738"/>
      <c r="S220" s="739"/>
      <c r="T220" s="737" t="str">
        <f>IF(T$16="","",T$16)</f>
        <v>Phone</v>
      </c>
      <c r="U220" s="738"/>
      <c r="V220" s="738"/>
      <c r="W220" s="738"/>
      <c r="X220" s="738"/>
      <c r="Y220" s="739"/>
      <c r="Z220" s="737" t="str">
        <f>IF(Z16="","",Z16)</f>
        <v>E-mail</v>
      </c>
      <c r="AA220" s="738"/>
      <c r="AB220" s="738"/>
      <c r="AC220" s="738"/>
      <c r="AD220" s="738"/>
      <c r="AE220" s="738"/>
      <c r="AF220" s="738"/>
      <c r="AG220" s="738"/>
      <c r="AH220" s="738"/>
      <c r="AI220" s="739"/>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row>
    <row r="221" spans="2:67" ht="15" customHeight="1">
      <c r="B221" s="770" t="str">
        <f>IF(B$17="","",B$17)</f>
        <v/>
      </c>
      <c r="C221" s="771"/>
      <c r="D221" s="771"/>
      <c r="E221" s="771"/>
      <c r="F221" s="771"/>
      <c r="G221" s="771"/>
      <c r="H221" s="771"/>
      <c r="I221" s="771"/>
      <c r="J221" s="771"/>
      <c r="K221" s="771"/>
      <c r="L221" s="772"/>
      <c r="M221" s="770" t="str">
        <f>IF(M$17="","",M$17)</f>
        <v/>
      </c>
      <c r="N221" s="771"/>
      <c r="O221" s="771"/>
      <c r="P221" s="771"/>
      <c r="Q221" s="771"/>
      <c r="R221" s="771"/>
      <c r="S221" s="772"/>
      <c r="T221" s="749" t="str">
        <f>IF(T$17="","",T$17)</f>
        <v/>
      </c>
      <c r="U221" s="750"/>
      <c r="V221" s="750"/>
      <c r="W221" s="750"/>
      <c r="X221" s="750"/>
      <c r="Y221" s="751"/>
      <c r="Z221" s="743" t="str">
        <f>IF(Z17="","",Z17)</f>
        <v/>
      </c>
      <c r="AA221" s="744"/>
      <c r="AB221" s="744"/>
      <c r="AC221" s="744"/>
      <c r="AD221" s="744"/>
      <c r="AE221" s="744"/>
      <c r="AF221" s="744"/>
      <c r="AG221" s="744"/>
      <c r="AH221" s="744"/>
      <c r="AI221" s="745"/>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row>
    <row r="222" spans="2:67" ht="12.75" customHeight="1">
      <c r="B222" s="755" t="str">
        <f>IF($B$18="","",$B$18)</f>
        <v>Project Description*</v>
      </c>
      <c r="C222" s="756"/>
      <c r="D222" s="756"/>
      <c r="E222" s="756"/>
      <c r="F222" s="756"/>
      <c r="G222" s="756"/>
      <c r="H222" s="756"/>
      <c r="I222" s="756"/>
      <c r="J222" s="756"/>
      <c r="K222" s="756"/>
      <c r="L222" s="756"/>
      <c r="M222" s="756"/>
      <c r="N222" s="756"/>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7"/>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row>
    <row r="223" spans="2:67" ht="15" customHeight="1">
      <c r="B223" s="759" t="str">
        <f>IF($B$19="","",$B$19)</f>
        <v/>
      </c>
      <c r="C223" s="760"/>
      <c r="D223" s="760"/>
      <c r="E223" s="760"/>
      <c r="F223" s="760"/>
      <c r="G223" s="760"/>
      <c r="H223" s="760"/>
      <c r="I223" s="760"/>
      <c r="J223" s="760"/>
      <c r="K223" s="760"/>
      <c r="L223" s="760"/>
      <c r="M223" s="760"/>
      <c r="N223" s="760"/>
      <c r="O223" s="760"/>
      <c r="P223" s="760"/>
      <c r="Q223" s="760"/>
      <c r="R223" s="760"/>
      <c r="S223" s="760"/>
      <c r="T223" s="760"/>
      <c r="U223" s="760"/>
      <c r="V223" s="760"/>
      <c r="W223" s="760"/>
      <c r="X223" s="760"/>
      <c r="Y223" s="760"/>
      <c r="Z223" s="760"/>
      <c r="AA223" s="760"/>
      <c r="AB223" s="760"/>
      <c r="AC223" s="760"/>
      <c r="AD223" s="760"/>
      <c r="AE223" s="760"/>
      <c r="AF223" s="760"/>
      <c r="AG223" s="760"/>
      <c r="AH223" s="760"/>
      <c r="AI223" s="761"/>
      <c r="AK223" s="94"/>
      <c r="AL223" s="94"/>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row>
    <row r="224" spans="2:67" ht="12.75" customHeight="1">
      <c r="B224" s="747" t="str">
        <f>IF($B$20="","",$B$20)</f>
        <v>Planned Start Date*</v>
      </c>
      <c r="C224" s="746"/>
      <c r="D224" s="746"/>
      <c r="E224" s="746"/>
      <c r="F224" s="746"/>
      <c r="G224" s="746"/>
      <c r="H224" s="746"/>
      <c r="I224" s="746"/>
      <c r="J224" s="746"/>
      <c r="K224" s="746"/>
      <c r="L224" s="748"/>
      <c r="M224" s="747" t="str">
        <f>IF($M$20="","",$M$20)</f>
        <v>Planned Completion Date*</v>
      </c>
      <c r="N224" s="746"/>
      <c r="O224" s="746"/>
      <c r="P224" s="746"/>
      <c r="Q224" s="746"/>
      <c r="R224" s="746"/>
      <c r="S224" s="748"/>
      <c r="T224" s="10"/>
      <c r="U224" s="10"/>
      <c r="V224" s="10"/>
      <c r="W224" s="10"/>
      <c r="X224" s="10"/>
      <c r="Y224" s="10"/>
      <c r="Z224" s="9"/>
      <c r="AA224" s="9"/>
      <c r="AB224" s="9"/>
      <c r="AC224" s="9"/>
      <c r="AD224" s="9"/>
      <c r="AE224" s="9"/>
      <c r="AF224" s="9"/>
      <c r="AG224" s="9"/>
      <c r="AH224" s="9"/>
      <c r="AI224" s="9"/>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row>
    <row r="225" spans="2:67" ht="15" customHeight="1">
      <c r="B225" s="752" t="str">
        <f>IF($B$21="","",$B$21)</f>
        <v/>
      </c>
      <c r="C225" s="753"/>
      <c r="D225" s="753"/>
      <c r="E225" s="753"/>
      <c r="F225" s="753"/>
      <c r="G225" s="753"/>
      <c r="H225" s="753"/>
      <c r="I225" s="753"/>
      <c r="J225" s="753"/>
      <c r="K225" s="753"/>
      <c r="L225" s="754"/>
      <c r="M225" s="752" t="str">
        <f>IF($M$21="","",$M$21)</f>
        <v/>
      </c>
      <c r="N225" s="753"/>
      <c r="O225" s="753"/>
      <c r="P225" s="753"/>
      <c r="Q225" s="753"/>
      <c r="R225" s="753"/>
      <c r="S225" s="754"/>
      <c r="T225" s="529"/>
      <c r="U225" s="529"/>
      <c r="V225" s="529"/>
      <c r="W225" s="529"/>
      <c r="X225" s="529"/>
      <c r="Y225" s="529"/>
      <c r="Z225" s="527"/>
      <c r="AA225" s="527"/>
      <c r="AB225" s="527"/>
      <c r="AC225" s="527"/>
      <c r="AD225" s="527"/>
      <c r="AE225" s="527"/>
      <c r="AF225" s="527"/>
      <c r="AG225" s="527"/>
      <c r="AH225" s="527"/>
      <c r="AI225" s="527"/>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row>
    <row r="226" spans="2:67" ht="13.15" customHeight="1">
      <c r="AK226" s="94"/>
      <c r="AL226" s="94"/>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row>
    <row r="227" spans="2:67" ht="13.15" customHeight="1">
      <c r="B227" s="624" t="str">
        <f t="shared" ref="B227:B233" si="0">IF($B23="","",$B23)</f>
        <v>Definitions</v>
      </c>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row>
    <row r="228" spans="2:67" ht="13.15" customHeight="1">
      <c r="B228" s="528" t="str">
        <f t="shared" si="0"/>
        <v>New Construction and Major Renovation - new buildings, expansions, additions, major renovations or change of space usage type projects.</v>
      </c>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row>
    <row r="229" spans="2:67" ht="13.15" customHeight="1">
      <c r="B229" s="528" t="str">
        <f t="shared" si="0"/>
        <v xml:space="preserve">Retrofits - retrofit project replacing existing equipment. </v>
      </c>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row>
    <row r="230" spans="2:67" ht="13.15" customHeight="1">
      <c r="B230" s="528" t="str">
        <f t="shared" si="0"/>
        <v/>
      </c>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row>
    <row r="231" spans="2:67" ht="14.25" customHeight="1">
      <c r="B231" s="528" t="str">
        <f t="shared" si="0"/>
        <v>Do you have additional multifamily building with less than 5 units?</v>
      </c>
      <c r="C231" s="9"/>
      <c r="D231" s="9"/>
      <c r="E231" s="9"/>
      <c r="H231" s="171"/>
      <c r="I231" s="171"/>
      <c r="K231" s="171"/>
      <c r="L231" s="9"/>
      <c r="M231" s="9"/>
      <c r="N231" s="9"/>
      <c r="P231" s="36"/>
      <c r="W231" s="9"/>
      <c r="X231" s="574"/>
      <c r="Y231" s="9"/>
      <c r="Z231" s="9"/>
      <c r="AA231" s="9"/>
      <c r="AC231" s="9"/>
      <c r="AD231" s="574"/>
      <c r="AE231" s="9"/>
      <c r="AF231" s="286"/>
      <c r="AG231" s="383"/>
      <c r="AH231" s="383"/>
      <c r="AI231" s="36"/>
      <c r="AJ231" s="213"/>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row>
    <row r="232" spans="2:67" ht="14.25" customHeight="1">
      <c r="B232" s="528" t="str">
        <f t="shared" si="0"/>
        <v/>
      </c>
      <c r="C232" s="9"/>
      <c r="E232" s="171"/>
      <c r="F232" s="9"/>
      <c r="H232" s="171"/>
      <c r="I232" s="171"/>
      <c r="K232" s="171"/>
      <c r="L232" s="9"/>
      <c r="M232" s="170"/>
      <c r="N232" s="331"/>
      <c r="P232" s="36"/>
      <c r="Z232" s="9"/>
      <c r="AJ232" s="213"/>
      <c r="AK232" s="94"/>
      <c r="AL232" s="94"/>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row>
    <row r="233" spans="2:67" ht="14.25" customHeight="1">
      <c r="B233" s="528" t="str">
        <f t="shared" si="0"/>
        <v>Yes</v>
      </c>
      <c r="C233" s="9"/>
      <c r="D233" s="9"/>
      <c r="E233" s="9"/>
      <c r="F233" s="9"/>
      <c r="H233" s="171"/>
      <c r="I233" s="171"/>
      <c r="J233" s="171"/>
      <c r="K233" s="171"/>
      <c r="L233" s="9"/>
      <c r="M233" s="9"/>
      <c r="N233" s="9"/>
      <c r="P233" s="36"/>
      <c r="W233" s="246"/>
      <c r="X233" s="574"/>
      <c r="Y233" s="9"/>
      <c r="AA233" s="9"/>
      <c r="AC233" s="9"/>
      <c r="AD233" s="574"/>
      <c r="AE233" s="9"/>
      <c r="AF233" s="286"/>
      <c r="AG233" s="383"/>
      <c r="AH233" s="383"/>
      <c r="AI233" s="36"/>
      <c r="AJ233" s="213"/>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row>
    <row r="234" spans="2:67" ht="14.25" customHeight="1">
      <c r="B234" s="528" t="str">
        <f>IF($B33="","",$B33)</f>
        <v/>
      </c>
      <c r="C234" s="9"/>
      <c r="D234" s="9"/>
      <c r="E234" s="246"/>
      <c r="F234" s="574"/>
      <c r="G234" s="9"/>
      <c r="H234" s="575"/>
      <c r="I234" s="9"/>
      <c r="J234" s="9"/>
      <c r="K234" s="574"/>
      <c r="L234" s="9"/>
      <c r="M234" s="9"/>
      <c r="P234" s="36"/>
      <c r="Z234" s="37"/>
      <c r="AA234" s="9"/>
      <c r="AI234" s="213"/>
      <c r="AJ234" s="213"/>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row>
    <row r="235" spans="2:67" ht="14.25" customHeight="1">
      <c r="B235" s="528" t="str">
        <f>IF($B31="","",$B31)</f>
        <v>For more information on Idaho Power's residential programs, go to:</v>
      </c>
      <c r="C235" s="9"/>
      <c r="D235" s="9"/>
      <c r="E235" s="9"/>
      <c r="F235" s="574"/>
      <c r="G235" s="9"/>
      <c r="H235" s="575"/>
      <c r="I235" s="9"/>
      <c r="J235" s="9"/>
      <c r="K235" s="574"/>
      <c r="L235" s="9"/>
      <c r="M235" s="9"/>
      <c r="N235" s="383"/>
      <c r="P235" s="36"/>
      <c r="Z235" s="9"/>
      <c r="AA235" s="9"/>
      <c r="AB235" s="6"/>
      <c r="AI235" s="213"/>
      <c r="AJ235" s="213"/>
      <c r="AK235" s="94"/>
      <c r="AL235" s="94"/>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row>
    <row r="236" spans="2:67" ht="14.25" customHeight="1">
      <c r="B236" s="528" t="str">
        <f>IF($B32="","",$B32)</f>
        <v>https://www.idahopower.com/energy-environment/ways-to-save/savings-for-your-home/</v>
      </c>
      <c r="C236" s="9"/>
      <c r="D236" s="37"/>
      <c r="E236" s="37"/>
      <c r="F236" s="37"/>
      <c r="G236" s="37"/>
      <c r="H236" s="37"/>
      <c r="I236" s="9"/>
      <c r="J236" s="9"/>
      <c r="K236" s="574"/>
      <c r="L236" s="9"/>
      <c r="M236" s="9"/>
      <c r="N236" s="383"/>
      <c r="P236" s="36"/>
      <c r="Z236" s="9"/>
      <c r="AA236" s="9"/>
      <c r="AI236" s="213"/>
      <c r="AJ236" s="213"/>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row>
    <row r="237" spans="2:67" ht="14.25" customHeight="1">
      <c r="B237" s="528" t="str">
        <f t="shared" ref="B237:B238" si="1">IF($B36="","",$B36)</f>
        <v/>
      </c>
      <c r="C237" s="9"/>
      <c r="D237" s="37"/>
      <c r="E237" s="37"/>
      <c r="F237" s="37"/>
      <c r="G237" s="37"/>
      <c r="H237" s="37"/>
      <c r="I237" s="9"/>
      <c r="J237" s="9"/>
      <c r="K237" s="9"/>
      <c r="L237" s="9"/>
      <c r="M237" s="9"/>
      <c r="N237" s="13"/>
      <c r="P237" s="13"/>
      <c r="T237" s="37"/>
      <c r="U237" s="37"/>
      <c r="V237" s="37"/>
      <c r="W237" s="6"/>
      <c r="X237" s="6"/>
      <c r="Z237" s="9"/>
      <c r="AA237" s="9"/>
      <c r="AB237" s="171"/>
      <c r="AD237" s="171"/>
      <c r="AE237" s="171"/>
      <c r="AF237" s="286"/>
      <c r="AG237" s="383"/>
      <c r="AH237" s="383"/>
      <c r="AI237" s="36"/>
      <c r="AJ237" s="213"/>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row>
    <row r="238" spans="2:67" ht="14.25" customHeight="1">
      <c r="B238" s="528" t="str">
        <f t="shared" si="1"/>
        <v/>
      </c>
      <c r="C238" s="170"/>
      <c r="D238" s="357"/>
      <c r="E238" s="9"/>
      <c r="F238" s="574"/>
      <c r="G238" s="9"/>
      <c r="H238" s="575"/>
      <c r="I238" s="37"/>
      <c r="J238" s="9"/>
      <c r="K238" s="9"/>
      <c r="L238" s="9"/>
      <c r="M238" s="9"/>
      <c r="N238" s="9"/>
      <c r="P238" s="9"/>
      <c r="Z238" s="9"/>
      <c r="AB238" s="171"/>
      <c r="AC238" s="171"/>
      <c r="AD238" s="171"/>
      <c r="AE238" s="171"/>
      <c r="AF238" s="286"/>
      <c r="AG238" s="383"/>
      <c r="AH238" s="383"/>
      <c r="AI238" s="213"/>
      <c r="AJ238" s="213"/>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row>
    <row r="239" spans="2:67" ht="14.25" customHeight="1">
      <c r="B239" s="528"/>
      <c r="C239" s="9"/>
      <c r="I239" s="37"/>
      <c r="J239" s="284"/>
      <c r="L239" s="37"/>
      <c r="M239" s="9"/>
      <c r="N239" s="9"/>
      <c r="P239" s="9"/>
      <c r="V239" s="9"/>
      <c r="W239" s="9"/>
      <c r="Z239" s="9"/>
      <c r="AI239" s="36"/>
      <c r="AJ239" s="213"/>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row>
    <row r="240" spans="2:67" ht="14.25" customHeight="1">
      <c r="B240" s="528"/>
      <c r="C240" s="9"/>
      <c r="I240" s="37"/>
      <c r="J240" s="284"/>
      <c r="L240" s="37"/>
      <c r="M240" s="9"/>
      <c r="N240" s="9"/>
      <c r="P240" s="9"/>
      <c r="V240" s="9"/>
      <c r="W240" s="9"/>
      <c r="Z240" s="9"/>
      <c r="AI240" s="36"/>
      <c r="AJ240" s="213"/>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row>
    <row r="241" spans="2:67" ht="14.25" customHeight="1">
      <c r="B241" s="528"/>
      <c r="C241" s="9"/>
      <c r="I241" s="37"/>
      <c r="J241" s="284"/>
      <c r="L241" s="37"/>
      <c r="M241" s="9"/>
      <c r="N241" s="9"/>
      <c r="P241" s="9"/>
      <c r="V241" s="9"/>
      <c r="W241" s="9"/>
      <c r="Z241" s="9"/>
      <c r="AI241" s="36"/>
      <c r="AJ241" s="213"/>
      <c r="AK241" s="94"/>
      <c r="AL241" s="94"/>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row>
    <row r="242" spans="2:67" ht="14.25" customHeight="1">
      <c r="B242" s="528"/>
      <c r="C242" s="9"/>
      <c r="I242" s="37"/>
      <c r="J242" s="284"/>
      <c r="L242" s="37"/>
      <c r="M242" s="9"/>
      <c r="N242" s="9"/>
      <c r="P242" s="9"/>
      <c r="V242" s="9"/>
      <c r="W242" s="9"/>
      <c r="Z242" s="9"/>
      <c r="AI242" s="36"/>
      <c r="AJ242" s="213"/>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row>
    <row r="243" spans="2:67" ht="14.25" customHeight="1">
      <c r="B243" s="528"/>
      <c r="C243" s="9"/>
      <c r="I243" s="37"/>
      <c r="J243" s="284"/>
      <c r="L243" s="37"/>
      <c r="M243" s="9"/>
      <c r="N243" s="9"/>
      <c r="P243" s="9"/>
      <c r="V243" s="9"/>
      <c r="W243" s="9"/>
      <c r="Z243" s="9"/>
      <c r="AI243" s="36"/>
      <c r="AJ243" s="213"/>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row>
    <row r="244" spans="2:67" ht="14.25" customHeight="1">
      <c r="B244" s="528"/>
      <c r="C244" s="9"/>
      <c r="I244" s="37"/>
      <c r="J244" s="284"/>
      <c r="L244" s="37"/>
      <c r="M244" s="9"/>
      <c r="N244" s="9"/>
      <c r="P244" s="9"/>
      <c r="V244" s="9"/>
      <c r="W244" s="9"/>
      <c r="Z244" s="9"/>
      <c r="AI244" s="36"/>
      <c r="AJ244" s="213"/>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row>
    <row r="245" spans="2:67" ht="14.25" customHeight="1">
      <c r="B245" s="528"/>
      <c r="C245" s="9"/>
      <c r="I245" s="37"/>
      <c r="J245" s="284"/>
      <c r="L245" s="37"/>
      <c r="M245" s="9"/>
      <c r="N245" s="9"/>
      <c r="P245" s="9"/>
      <c r="V245" s="9"/>
      <c r="W245" s="9"/>
      <c r="Z245" s="9"/>
      <c r="AI245" s="36"/>
      <c r="AJ245" s="213"/>
      <c r="AK245" s="94"/>
      <c r="AL245" s="94"/>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row>
    <row r="246" spans="2:67" ht="14.25" customHeight="1">
      <c r="B246" s="528"/>
      <c r="C246" s="9"/>
      <c r="I246" s="37"/>
      <c r="J246" s="284"/>
      <c r="L246" s="37"/>
      <c r="M246" s="9"/>
      <c r="N246" s="9"/>
      <c r="P246" s="9"/>
      <c r="V246" s="9"/>
      <c r="W246" s="9"/>
      <c r="Z246" s="9"/>
      <c r="AI246" s="36"/>
      <c r="AJ246" s="213"/>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row>
    <row r="247" spans="2:67" ht="14.25" customHeight="1">
      <c r="B247" s="528"/>
      <c r="C247" s="9"/>
      <c r="I247" s="37"/>
      <c r="J247" s="284"/>
      <c r="L247" s="37"/>
      <c r="M247" s="9"/>
      <c r="N247" s="9"/>
      <c r="P247" s="9"/>
      <c r="V247" s="9"/>
      <c r="W247" s="9"/>
      <c r="Z247" s="9"/>
      <c r="AI247" s="36"/>
      <c r="AJ247" s="213"/>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row>
    <row r="248" spans="2:67" ht="14.25" customHeight="1">
      <c r="B248" s="528"/>
      <c r="C248" s="9"/>
      <c r="I248" s="37"/>
      <c r="J248" s="284"/>
      <c r="L248" s="37"/>
      <c r="M248" s="9"/>
      <c r="N248" s="9"/>
      <c r="P248" s="9"/>
      <c r="V248" s="9"/>
      <c r="W248" s="9"/>
      <c r="Z248" s="9"/>
      <c r="AI248" s="36"/>
      <c r="AJ248" s="213"/>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row>
    <row r="249" spans="2:67" ht="14.25" customHeight="1">
      <c r="B249" s="528"/>
      <c r="C249" s="9"/>
      <c r="I249" s="37"/>
      <c r="J249" s="284"/>
      <c r="L249" s="37"/>
      <c r="M249" s="9"/>
      <c r="N249" s="9"/>
      <c r="P249" s="9"/>
      <c r="V249" s="9"/>
      <c r="W249" s="9"/>
      <c r="Z249" s="9"/>
      <c r="AI249" s="36"/>
      <c r="AJ249" s="213"/>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row>
    <row r="250" spans="2:67" ht="14.25" customHeight="1">
      <c r="B250" s="528"/>
      <c r="C250" s="9"/>
      <c r="I250" s="37"/>
      <c r="J250" s="284"/>
      <c r="L250" s="37"/>
      <c r="M250" s="9"/>
      <c r="N250" s="9"/>
      <c r="P250" s="9"/>
      <c r="V250" s="9"/>
      <c r="W250" s="9"/>
      <c r="Z250" s="9"/>
      <c r="AI250" s="36"/>
      <c r="AJ250" s="213"/>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row>
    <row r="251" spans="2:67" ht="14.25" customHeight="1">
      <c r="B251" s="528"/>
      <c r="C251" s="9"/>
      <c r="I251" s="37"/>
      <c r="J251" s="284"/>
      <c r="L251" s="37"/>
      <c r="M251" s="9"/>
      <c r="N251" s="9"/>
      <c r="P251" s="9"/>
      <c r="V251" s="9"/>
      <c r="W251" s="9"/>
      <c r="Z251" s="9"/>
      <c r="AI251" s="36"/>
      <c r="AJ251" s="213"/>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row>
    <row r="252" spans="2:67" ht="14.25" customHeight="1">
      <c r="B252" s="528"/>
      <c r="C252" s="9"/>
      <c r="I252" s="37"/>
      <c r="J252" s="284"/>
      <c r="L252" s="37"/>
      <c r="M252" s="9"/>
      <c r="N252" s="9"/>
      <c r="P252" s="9"/>
      <c r="V252" s="9"/>
      <c r="W252" s="9"/>
      <c r="Z252" s="9"/>
      <c r="AI252" s="36"/>
      <c r="AJ252" s="213"/>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row>
    <row r="253" spans="2:67" ht="14.25" customHeight="1">
      <c r="B253" s="528"/>
      <c r="C253" s="9"/>
      <c r="I253" s="37"/>
      <c r="J253" s="284"/>
      <c r="L253" s="37"/>
      <c r="M253" s="9"/>
      <c r="N253" s="9"/>
      <c r="P253" s="9"/>
      <c r="V253" s="9"/>
      <c r="W253" s="9"/>
      <c r="Z253" s="9"/>
      <c r="AI253" s="36"/>
      <c r="AJ253" s="213"/>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row>
    <row r="254" spans="2:67" ht="14.25" customHeight="1">
      <c r="B254" s="528"/>
      <c r="C254" s="9"/>
      <c r="I254" s="37"/>
      <c r="J254" s="284"/>
      <c r="L254" s="37"/>
      <c r="M254" s="9"/>
      <c r="N254" s="9"/>
      <c r="P254" s="9"/>
      <c r="V254" s="9"/>
      <c r="W254" s="9"/>
      <c r="Z254" s="9"/>
      <c r="AI254" s="36"/>
      <c r="AJ254" s="213"/>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row>
    <row r="255" spans="2:67" ht="14.25" customHeight="1">
      <c r="B255" s="528"/>
      <c r="C255" s="9"/>
      <c r="I255" s="37"/>
      <c r="J255" s="284"/>
      <c r="L255" s="37"/>
      <c r="M255" s="9"/>
      <c r="N255" s="9"/>
      <c r="P255" s="9"/>
      <c r="V255" s="9"/>
      <c r="W255" s="9"/>
      <c r="Z255" s="9"/>
      <c r="AI255" s="36"/>
      <c r="AJ255" s="213"/>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row>
    <row r="256" spans="2:67" ht="14.25" customHeight="1">
      <c r="B256" s="528"/>
      <c r="C256" s="9"/>
      <c r="I256" s="37"/>
      <c r="J256" s="284"/>
      <c r="L256" s="37"/>
      <c r="M256" s="9"/>
      <c r="N256" s="9"/>
      <c r="P256" s="9"/>
      <c r="V256" s="9"/>
      <c r="W256" s="9"/>
      <c r="Z256" s="9"/>
      <c r="AI256" s="36"/>
      <c r="AJ256" s="213"/>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row>
    <row r="257" spans="1:178" ht="14.25" customHeight="1">
      <c r="B257" s="528"/>
      <c r="C257" s="9"/>
      <c r="I257" s="37"/>
      <c r="J257" s="284"/>
      <c r="L257" s="37"/>
      <c r="M257" s="9"/>
      <c r="N257" s="9"/>
      <c r="P257" s="9"/>
      <c r="V257" s="9"/>
      <c r="W257" s="9"/>
      <c r="Z257" s="9"/>
      <c r="AI257" s="36"/>
      <c r="AJ257" s="213"/>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row>
    <row r="258" spans="1:178" ht="14.25" customHeight="1">
      <c r="B258" s="528"/>
      <c r="C258" s="9"/>
      <c r="I258" s="37"/>
      <c r="J258" s="284"/>
      <c r="L258" s="37"/>
      <c r="M258" s="9"/>
      <c r="N258" s="9"/>
      <c r="P258" s="9"/>
      <c r="V258" s="9"/>
      <c r="W258" s="9"/>
      <c r="Z258" s="9"/>
      <c r="AI258" s="36"/>
      <c r="AJ258" s="213"/>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row>
    <row r="259" spans="1:178" ht="14.25" customHeight="1">
      <c r="B259" s="528"/>
      <c r="C259" s="9"/>
      <c r="I259" s="37"/>
      <c r="J259" s="284"/>
      <c r="L259" s="37"/>
      <c r="M259" s="9"/>
      <c r="N259" s="9"/>
      <c r="P259" s="9"/>
      <c r="V259" s="9"/>
      <c r="W259" s="9"/>
      <c r="Z259" s="9"/>
      <c r="AI259" s="36"/>
      <c r="AJ259" s="213"/>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row>
    <row r="260" spans="1:178" ht="14.25" customHeight="1">
      <c r="B260" s="528"/>
      <c r="C260" s="9"/>
      <c r="I260" s="37"/>
      <c r="J260" s="284"/>
      <c r="L260" s="37"/>
      <c r="M260" s="9"/>
      <c r="N260" s="9"/>
      <c r="P260" s="9"/>
      <c r="V260" s="9"/>
      <c r="W260" s="9"/>
      <c r="Z260" s="9"/>
      <c r="AI260" s="36"/>
      <c r="AJ260" s="213"/>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row>
    <row r="261" spans="1:178" ht="14.25" customHeight="1">
      <c r="C261" s="37"/>
      <c r="D261" s="37"/>
      <c r="E261" s="37"/>
      <c r="F261" s="37"/>
      <c r="G261" s="37"/>
      <c r="H261" s="37"/>
      <c r="I261" s="37"/>
      <c r="J261" s="9"/>
      <c r="K261" s="9"/>
      <c r="L261" s="9"/>
      <c r="M261" s="9"/>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row>
    <row r="262" spans="1:178">
      <c r="B262" s="746"/>
      <c r="C262" s="746"/>
      <c r="D262" s="746"/>
      <c r="E262" s="746"/>
      <c r="F262" s="746"/>
      <c r="G262" s="746"/>
      <c r="H262" s="746"/>
      <c r="I262" s="746"/>
      <c r="J262" s="746"/>
      <c r="K262" s="746"/>
      <c r="L262" s="746"/>
      <c r="M262" s="746"/>
      <c r="N262" s="746"/>
      <c r="O262" s="746"/>
      <c r="P262" s="746"/>
      <c r="Q262" s="746"/>
      <c r="R262" s="746"/>
      <c r="S262" s="746"/>
      <c r="T262" s="746"/>
      <c r="U262" s="746"/>
      <c r="V262" s="746"/>
      <c r="W262" s="746"/>
      <c r="X262" s="746"/>
      <c r="Y262" s="746"/>
      <c r="Z262" s="746"/>
      <c r="AA262" s="746"/>
      <c r="AB262" s="746"/>
      <c r="AC262" s="746"/>
      <c r="AD262" s="746"/>
      <c r="AE262" s="746"/>
      <c r="AF262" s="746"/>
      <c r="AG262" s="746"/>
      <c r="AH262" s="746"/>
      <c r="AI262" s="746"/>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row>
    <row r="263" spans="1:178">
      <c r="B263" s="746"/>
      <c r="C263" s="746"/>
      <c r="D263" s="746"/>
      <c r="E263" s="746"/>
      <c r="F263" s="746"/>
      <c r="G263" s="746"/>
      <c r="H263" s="746"/>
      <c r="I263" s="746"/>
      <c r="J263" s="746"/>
      <c r="K263" s="746"/>
      <c r="L263" s="746"/>
      <c r="M263" s="746"/>
      <c r="N263" s="746"/>
      <c r="O263" s="746"/>
      <c r="P263" s="746"/>
      <c r="Q263" s="746"/>
      <c r="R263" s="746"/>
      <c r="S263" s="746"/>
      <c r="T263" s="746"/>
      <c r="U263" s="746"/>
      <c r="V263" s="746"/>
      <c r="W263" s="746"/>
      <c r="X263" s="746"/>
      <c r="Y263" s="746"/>
      <c r="Z263" s="746"/>
      <c r="AA263" s="746"/>
      <c r="AB263" s="746"/>
      <c r="AC263" s="746"/>
      <c r="AD263" s="746"/>
      <c r="AE263" s="746"/>
      <c r="AF263" s="746"/>
      <c r="AG263" s="746"/>
      <c r="AH263" s="746"/>
      <c r="AI263" s="746"/>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row>
    <row r="264" spans="1:178">
      <c r="B264" s="746"/>
      <c r="C264" s="746"/>
      <c r="D264" s="746"/>
      <c r="E264" s="746"/>
      <c r="F264" s="746"/>
      <c r="G264" s="746"/>
      <c r="H264" s="746"/>
      <c r="I264" s="746"/>
      <c r="J264" s="746"/>
      <c r="K264" s="746"/>
      <c r="L264" s="746"/>
      <c r="M264" s="746"/>
      <c r="N264" s="746"/>
      <c r="O264" s="746"/>
      <c r="P264" s="746"/>
      <c r="Q264" s="746"/>
      <c r="R264" s="746"/>
      <c r="S264" s="746"/>
      <c r="T264" s="746"/>
      <c r="U264" s="746"/>
      <c r="V264" s="746"/>
      <c r="W264" s="746"/>
      <c r="X264" s="746"/>
      <c r="Y264" s="746"/>
      <c r="Z264" s="746"/>
      <c r="AA264" s="746"/>
      <c r="AB264" s="746"/>
      <c r="AC264" s="746"/>
      <c r="AD264" s="746"/>
      <c r="AE264" s="746"/>
      <c r="AF264" s="746"/>
      <c r="AG264" s="746"/>
      <c r="AH264" s="746"/>
      <c r="AI264" s="746"/>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row>
    <row r="265" spans="1:178" s="2" customFormat="1" ht="24" customHeight="1">
      <c r="A265" s="1"/>
      <c r="B265" s="736" t="str">
        <f>B43</f>
        <v xml:space="preserve">When project is completed, e-mail your completed Final Application and required supporting documentation to multifamily@idahopower.com. </v>
      </c>
      <c r="C265" s="736"/>
      <c r="D265" s="736"/>
      <c r="E265" s="736"/>
      <c r="F265" s="736"/>
      <c r="G265" s="736"/>
      <c r="H265" s="736"/>
      <c r="I265" s="736"/>
      <c r="J265" s="736"/>
      <c r="K265" s="736"/>
      <c r="L265" s="736"/>
      <c r="M265" s="736"/>
      <c r="N265" s="736"/>
      <c r="O265" s="736"/>
      <c r="P265" s="736"/>
      <c r="Q265" s="736"/>
      <c r="R265" s="736"/>
      <c r="S265" s="736"/>
      <c r="T265" s="736"/>
      <c r="U265" s="736"/>
      <c r="V265" s="736"/>
      <c r="W265" s="736"/>
      <c r="X265" s="736"/>
      <c r="Y265" s="736"/>
      <c r="Z265" s="736"/>
      <c r="AA265" s="736"/>
      <c r="AB265" s="736"/>
      <c r="AC265" s="736"/>
      <c r="AD265" s="736"/>
      <c r="AE265" s="736"/>
      <c r="AF265" s="736"/>
      <c r="AG265" s="736"/>
      <c r="AH265" s="736"/>
      <c r="AI265" s="1"/>
      <c r="AJ265" s="1"/>
      <c r="AK265" s="94"/>
      <c r="AL265" s="94"/>
      <c r="AM265" s="94"/>
      <c r="AN265" s="94"/>
      <c r="AO265" s="94"/>
      <c r="AP265" s="94"/>
      <c r="AQ265" s="94"/>
      <c r="AR265" s="94"/>
      <c r="AS265" s="94"/>
      <c r="AT265" s="94"/>
      <c r="AU265" s="94"/>
      <c r="AV265" s="94"/>
      <c r="AW265" s="94"/>
      <c r="AX265" s="94"/>
      <c r="AY265" s="96"/>
      <c r="AZ265" s="96"/>
      <c r="BA265" s="96"/>
      <c r="BB265" s="96"/>
      <c r="BC265" s="96"/>
      <c r="BD265" s="96"/>
      <c r="BE265" s="96"/>
      <c r="BF265" s="96"/>
      <c r="BG265" s="96"/>
      <c r="BH265" s="96"/>
      <c r="BI265" s="96"/>
      <c r="BJ265" s="96"/>
      <c r="BK265" s="96"/>
      <c r="BL265" s="96"/>
      <c r="BM265" s="96"/>
      <c r="BN265" s="96"/>
      <c r="BO265" s="96"/>
    </row>
    <row r="266" spans="1:178">
      <c r="B266" s="735" t="str">
        <f>Version</f>
        <v>MF (11/23)</v>
      </c>
      <c r="C266" s="735"/>
      <c r="D266" s="735"/>
      <c r="E266" s="735"/>
      <c r="F266" s="735"/>
      <c r="G266" s="735"/>
      <c r="H266" s="735"/>
      <c r="I266" s="735"/>
      <c r="J266" s="735"/>
      <c r="K266" s="735"/>
      <c r="L266" s="735"/>
      <c r="M266" s="735"/>
      <c r="N266" s="735"/>
      <c r="O266" s="735"/>
      <c r="P266" s="735"/>
      <c r="Q266" s="735"/>
      <c r="R266" s="735"/>
      <c r="S266" s="735"/>
      <c r="T266" s="735"/>
      <c r="U266" s="735"/>
      <c r="V266" s="735"/>
      <c r="W266" s="735"/>
      <c r="X266" s="735"/>
      <c r="Y266" s="735"/>
      <c r="Z266" s="735"/>
      <c r="AA266" s="735"/>
      <c r="AB266" s="735"/>
      <c r="AC266" s="735"/>
      <c r="AD266" s="735"/>
      <c r="AE266" s="735"/>
      <c r="AF266" s="735"/>
      <c r="AG266" s="735"/>
      <c r="AH266" s="735"/>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row>
    <row r="267" spans="1:178">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row>
    <row r="268" spans="1:178">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row>
    <row r="269" spans="1:178" ht="11.1" customHeight="1"/>
    <row r="270" spans="1:178" s="8" customForma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row>
    <row r="271" spans="1:178" ht="5.25" customHeight="1"/>
    <row r="272" spans="1:178" ht="20.100000000000001" customHeight="1"/>
    <row r="273" spans="1:178" ht="15" customHeight="1"/>
    <row r="274" spans="1:178" ht="20.100000000000001" customHeight="1"/>
    <row r="275" spans="1:178" ht="15" customHeight="1"/>
    <row r="276" spans="1:178" ht="15" customHeight="1"/>
    <row r="277" spans="1:178" ht="11.1" customHeight="1"/>
    <row r="278" spans="1:178" s="8" customForma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row>
    <row r="279" spans="1:178" ht="5.25" customHeight="1"/>
    <row r="280" spans="1:178" ht="20.100000000000001" customHeight="1"/>
    <row r="281" spans="1:178" ht="15" customHeight="1"/>
    <row r="282" spans="1:178" ht="20.100000000000001" customHeight="1"/>
    <row r="283" spans="1:178" ht="15" customHeight="1"/>
    <row r="284" spans="1:178" ht="20.100000000000001" customHeight="1"/>
    <row r="285" spans="1:178" ht="15" customHeight="1"/>
    <row r="286" spans="1:178" ht="15" customHeight="1"/>
    <row r="287" spans="1:178" ht="39.75" customHeight="1"/>
    <row r="288" spans="1:178" ht="12" customHeight="1"/>
    <row r="289" ht="9.75" customHeight="1"/>
    <row r="290" ht="25.5" customHeight="1"/>
  </sheetData>
  <sheetProtection algorithmName="SHA-512" hashValue="SofWBfMtsnBB+G8tzbjbv39vmrCbyJxkrfMMIumglLJnyUgcSCcd10wTGQQcq6SlCFzabMY2WBuVgO3cooCmqA==" saltValue="cPxGPdK2zHqVOnORP9FzlA==" spinCount="100000" sheet="1" selectLockedCells="1"/>
  <mergeCells count="88">
    <mergeCell ref="B13:S13"/>
    <mergeCell ref="B221:L221"/>
    <mergeCell ref="M221:S221"/>
    <mergeCell ref="T13:AC13"/>
    <mergeCell ref="AD13:AE13"/>
    <mergeCell ref="T217:AC217"/>
    <mergeCell ref="B205:T205"/>
    <mergeCell ref="T211:AE211"/>
    <mergeCell ref="T216:AC216"/>
    <mergeCell ref="T212:X212"/>
    <mergeCell ref="T213:X213"/>
    <mergeCell ref="Y212:AC212"/>
    <mergeCell ref="Y213:AC213"/>
    <mergeCell ref="AD212:AI212"/>
    <mergeCell ref="AD213:AI213"/>
    <mergeCell ref="AF13:AI13"/>
    <mergeCell ref="B15:L15"/>
    <mergeCell ref="AF211:AI211"/>
    <mergeCell ref="B213:S213"/>
    <mergeCell ref="T214:AC214"/>
    <mergeCell ref="B214:S214"/>
    <mergeCell ref="M15:S15"/>
    <mergeCell ref="T15:Y15"/>
    <mergeCell ref="Z15:AI15"/>
    <mergeCell ref="B21:L21"/>
    <mergeCell ref="M21:S21"/>
    <mergeCell ref="M17:S17"/>
    <mergeCell ref="T17:Y17"/>
    <mergeCell ref="Z17:AI17"/>
    <mergeCell ref="B19:AI19"/>
    <mergeCell ref="B212:S212"/>
    <mergeCell ref="AF7:AI7"/>
    <mergeCell ref="B9:S9"/>
    <mergeCell ref="B11:S11"/>
    <mergeCell ref="T11:AC11"/>
    <mergeCell ref="AD11:AE11"/>
    <mergeCell ref="AF11:AI11"/>
    <mergeCell ref="T9:Y9"/>
    <mergeCell ref="AD9:AI9"/>
    <mergeCell ref="Z9:AC9"/>
    <mergeCell ref="B1:T1"/>
    <mergeCell ref="B2:S2"/>
    <mergeCell ref="B3:U3"/>
    <mergeCell ref="T219:Y219"/>
    <mergeCell ref="B219:L219"/>
    <mergeCell ref="B7:S7"/>
    <mergeCell ref="T7:AE7"/>
    <mergeCell ref="B17:L17"/>
    <mergeCell ref="B43:AI43"/>
    <mergeCell ref="M219:S219"/>
    <mergeCell ref="B210:S210"/>
    <mergeCell ref="B211:S211"/>
    <mergeCell ref="B217:S217"/>
    <mergeCell ref="T218:Y218"/>
    <mergeCell ref="M218:S218"/>
    <mergeCell ref="B218:L218"/>
    <mergeCell ref="B225:L225"/>
    <mergeCell ref="B224:L224"/>
    <mergeCell ref="T210:AE210"/>
    <mergeCell ref="B216:S216"/>
    <mergeCell ref="B215:S215"/>
    <mergeCell ref="AD214:AE214"/>
    <mergeCell ref="B222:AI222"/>
    <mergeCell ref="AD217:AE217"/>
    <mergeCell ref="M225:S225"/>
    <mergeCell ref="AF214:AI214"/>
    <mergeCell ref="B223:AI223"/>
    <mergeCell ref="AF216:AI216"/>
    <mergeCell ref="AF215:AI215"/>
    <mergeCell ref="AD216:AE216"/>
    <mergeCell ref="AD215:AE215"/>
    <mergeCell ref="T215:AC215"/>
    <mergeCell ref="B266:AH266"/>
    <mergeCell ref="B265:AH265"/>
    <mergeCell ref="T220:Y220"/>
    <mergeCell ref="M220:S220"/>
    <mergeCell ref="AF210:AI210"/>
    <mergeCell ref="AF217:AI217"/>
    <mergeCell ref="B220:L220"/>
    <mergeCell ref="B263:AI263"/>
    <mergeCell ref="M224:S224"/>
    <mergeCell ref="Z221:AI221"/>
    <mergeCell ref="T221:Y221"/>
    <mergeCell ref="Z218:AI218"/>
    <mergeCell ref="Z220:AI220"/>
    <mergeCell ref="Z219:AI219"/>
    <mergeCell ref="B262:AI262"/>
    <mergeCell ref="B264:AI264"/>
  </mergeCells>
  <phoneticPr fontId="6" type="noConversion"/>
  <dataValidations count="10">
    <dataValidation type="whole" allowBlank="1" showInputMessage="1" showErrorMessage="1" errorTitle="Error" error="Enter a valid 5-digit zip code." sqref="AF13 AF11:AI11" xr:uid="{00000000-0002-0000-0500-000000000000}">
      <formula1>1000</formula1>
      <formula2>99999</formula2>
    </dataValidation>
    <dataValidation type="textLength" allowBlank="1" showInputMessage="1" showErrorMessage="1" errorTitle="Error" error="Enter a valid 7 or 10 digit phone number." sqref="T17 T34 T29:T32 T23 T36 T15" xr:uid="{00000000-0002-0000-0500-000002000000}">
      <formula1>7</formula1>
      <formula2>19</formula2>
    </dataValidation>
    <dataValidation type="whole" allowBlank="1" showErrorMessage="1" errorTitle="Error" error="The Idaho Power account number should be between 9 and 10 digits." sqref="T7" xr:uid="{00000000-0002-0000-0500-000004000000}">
      <formula1>10000000</formula1>
      <formula2>9999999999</formula2>
    </dataValidation>
    <dataValidation type="list" allowBlank="1" showInputMessage="1" showErrorMessage="1" errorTitle="Error" error="Enter a valid 2-digit abbreviation for the state." sqref="AD13" xr:uid="{00000000-0002-0000-0500-000005000000}">
      <formula1>AllStatesInitials</formula1>
    </dataValidation>
    <dataValidation type="list" allowBlank="1" showInputMessage="1" showErrorMessage="1" errorTitle="Error" error="This facility must be located in Idaho Power territory.  Enter ID or OR." sqref="AD11" xr:uid="{00000000-0002-0000-0500-000006000000}">
      <formula1>FacilityState</formula1>
    </dataValidation>
    <dataValidation type="decimal" allowBlank="1" showInputMessage="1" showErrorMessage="1" errorTitle="Error" error="Enter the area of the building as a number." sqref="T9" xr:uid="{00000000-0002-0000-0500-000007000000}">
      <formula1>50</formula1>
      <formula2>9000000</formula2>
    </dataValidation>
    <dataValidation type="date" allowBlank="1" showInputMessage="1" showErrorMessage="1" errorTitle="Error" error="Enter a valid date for Preliminary Application Submittal.  This should be the date you are going to submit the application." sqref="AF7:AI7" xr:uid="{6A936A69-29BC-4751-B8E4-290DF1C1EC94}">
      <formula1>TODAY()</formula1>
      <formula2>47848</formula2>
    </dataValidation>
    <dataValidation type="date" allowBlank="1" showInputMessage="1" showErrorMessage="1" errorTitle="Error" error="Enter a valid date." sqref="B21:S21" xr:uid="{8EAD8A3D-CEC7-4031-9542-76CBBA0E21BD}">
      <formula1>38353</formula1>
      <formula2>51501</formula2>
    </dataValidation>
    <dataValidation type="whole" allowBlank="1" showInputMessage="1" showErrorMessage="1" error="Enter the number of residential units as a number. Must be 5 units or more per building." sqref="AD9" xr:uid="{01E82662-0C1B-4FED-9B13-FEDA5F6039F1}">
      <formula1>5</formula1>
      <formula2>10000</formula2>
    </dataValidation>
    <dataValidation type="whole" allowBlank="1" showInputMessage="1" showErrorMessage="1" error="Enter the number of floors/stories." sqref="Z9:AC9" xr:uid="{BD918C86-398A-4A6C-B649-55AE9ECA9885}">
      <formula1>1</formula1>
      <formula2>100</formula2>
    </dataValidation>
  </dataValidations>
  <hyperlinks>
    <hyperlink ref="B32" r:id="rId1" xr:uid="{FE1352DD-5F30-4C58-BA37-B21A31DB7ECD}"/>
  </hyperlinks>
  <printOptions horizontalCentered="1"/>
  <pageMargins left="0.25" right="0.25" top="0.35" bottom="0.25" header="0.1" footer="0.1"/>
  <pageSetup scale="87" orientation="portrait" r:id="rId2"/>
  <headerFooter alignWithMargins="0"/>
  <colBreaks count="1" manualBreakCount="1">
    <brk id="93" min="179" max="297" man="1"/>
  </colBreaks>
  <drawing r:id="rId3"/>
  <legacyDrawing r:id="rId4"/>
  <mc:AlternateContent xmlns:mc="http://schemas.openxmlformats.org/markup-compatibility/2006">
    <mc:Choice Requires="x14">
      <controls>
        <mc:AlternateContent xmlns:mc="http://schemas.openxmlformats.org/markup-compatibility/2006">
          <mc:Choice Requires="x14">
            <control shapeId="43868" r:id="rId5" name="Check Box 1884">
              <controlPr locked="0" defaultSize="0" autoFill="0" autoLine="0" autoPict="0">
                <anchor moveWithCells="1">
                  <from>
                    <xdr:col>2</xdr:col>
                    <xdr:colOff>104775</xdr:colOff>
                    <xdr:row>26</xdr:row>
                    <xdr:rowOff>133350</xdr:rowOff>
                  </from>
                  <to>
                    <xdr:col>4</xdr:col>
                    <xdr:colOff>19050</xdr:colOff>
                    <xdr:row>29</xdr:row>
                    <xdr:rowOff>95250</xdr:rowOff>
                  </to>
                </anchor>
              </controlPr>
            </control>
          </mc:Choice>
        </mc:AlternateContent>
        <mc:AlternateContent xmlns:mc="http://schemas.openxmlformats.org/markup-compatibility/2006">
          <mc:Choice Requires="x14">
            <control shapeId="43871" r:id="rId6" name="Check Box 1887">
              <controlPr locked="0" defaultSize="0" autoFill="0" autoLine="0" autoPict="0">
                <anchor moveWithCells="1">
                  <from>
                    <xdr:col>3</xdr:col>
                    <xdr:colOff>28575</xdr:colOff>
                    <xdr:row>231</xdr:row>
                    <xdr:rowOff>104775</xdr:rowOff>
                  </from>
                  <to>
                    <xdr:col>4</xdr:col>
                    <xdr:colOff>171450</xdr:colOff>
                    <xdr:row>233</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5" tint="0.39997558519241921"/>
    <pageSetUpPr fitToPage="1"/>
  </sheetPr>
  <dimension ref="A1:JF318"/>
  <sheetViews>
    <sheetView showGridLines="0" showRowColHeaders="0" workbookViewId="0">
      <selection activeCell="L62" sqref="L62:P62"/>
    </sheetView>
  </sheetViews>
  <sheetFormatPr defaultColWidth="8.85546875" defaultRowHeight="12.75"/>
  <cols>
    <col min="1" max="1" width="1.140625" style="1" customWidth="1"/>
    <col min="2" max="10" width="3.42578125" style="1" customWidth="1"/>
    <col min="11" max="11" width="4.42578125" style="1" customWidth="1"/>
    <col min="12" max="13" width="3.42578125" style="1" customWidth="1"/>
    <col min="14" max="14" width="4" style="1" customWidth="1"/>
    <col min="15" max="24" width="3.42578125" style="1" customWidth="1"/>
    <col min="25" max="25" width="3.5703125" style="1" customWidth="1"/>
    <col min="26" max="26" width="4.42578125" style="1" customWidth="1"/>
    <col min="27" max="31" width="3.42578125" style="1" customWidth="1"/>
    <col min="32" max="33" width="3.5703125" style="1" customWidth="1"/>
    <col min="34" max="34" width="4.140625" style="1" customWidth="1"/>
    <col min="35" max="35" width="4.28515625" style="1" customWidth="1"/>
    <col min="36" max="36" width="3.140625" style="1" customWidth="1"/>
    <col min="37" max="37" width="8.85546875" style="1" hidden="1" customWidth="1"/>
    <col min="38" max="38" width="8.42578125" style="1" hidden="1" customWidth="1"/>
    <col min="39" max="39" width="0.140625" style="1" hidden="1" customWidth="1"/>
    <col min="40" max="40" width="10.42578125" style="1" customWidth="1"/>
    <col min="41" max="41" width="11" style="9" customWidth="1"/>
    <col min="42" max="42" width="10.42578125" style="9" customWidth="1"/>
    <col min="43" max="44" width="12.140625" style="1" customWidth="1"/>
    <col min="45" max="45" width="10.42578125" style="1" customWidth="1"/>
    <col min="46" max="46" width="12.42578125" style="1" customWidth="1"/>
    <col min="47" max="47" width="10.42578125" style="1" customWidth="1"/>
    <col min="48" max="48" width="2" style="1" customWidth="1"/>
    <col min="49" max="49" width="3.42578125" style="1" customWidth="1"/>
    <col min="50" max="50" width="10.42578125" style="1" bestFit="1" customWidth="1"/>
    <col min="51" max="51" width="10" style="1" bestFit="1" customWidth="1"/>
    <col min="52" max="266" width="3.42578125" style="1" customWidth="1"/>
    <col min="267" max="16384" width="8.85546875" style="1"/>
  </cols>
  <sheetData>
    <row r="1" spans="1:107" ht="20.25">
      <c r="B1" s="766" t="s">
        <v>103</v>
      </c>
      <c r="C1" s="766"/>
      <c r="D1" s="766"/>
      <c r="E1" s="766"/>
      <c r="F1" s="766"/>
      <c r="G1" s="766"/>
      <c r="H1" s="766"/>
      <c r="I1" s="767"/>
      <c r="J1" s="767"/>
      <c r="K1" s="767"/>
      <c r="L1" s="767"/>
      <c r="M1" s="767"/>
      <c r="N1" s="767"/>
      <c r="O1" s="767"/>
      <c r="P1" s="767"/>
      <c r="Q1" s="767"/>
      <c r="R1" s="767"/>
      <c r="S1" s="767"/>
      <c r="T1" s="767"/>
      <c r="AA1" s="143"/>
      <c r="AI1" s="143" t="str">
        <f>'Preliminary Application'!AJ1</f>
        <v>Effective November 1, 2023</v>
      </c>
      <c r="AN1" s="94"/>
      <c r="AO1" s="399"/>
      <c r="AP1" s="399"/>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row>
    <row r="2" spans="1:107" ht="18">
      <c r="B2" s="18" t="s">
        <v>68</v>
      </c>
      <c r="C2" s="18"/>
      <c r="D2" s="18"/>
      <c r="E2" s="18"/>
      <c r="F2" s="18"/>
      <c r="G2" s="18"/>
      <c r="H2" s="18"/>
      <c r="I2" s="18"/>
      <c r="J2" s="3"/>
      <c r="K2"/>
      <c r="L2"/>
      <c r="M2"/>
      <c r="N2"/>
      <c r="O2"/>
      <c r="P2"/>
      <c r="Q2"/>
      <c r="R2"/>
      <c r="S2"/>
      <c r="T2" s="3"/>
      <c r="U2" s="3"/>
      <c r="V2" s="3"/>
      <c r="W2" s="3"/>
      <c r="X2" s="3"/>
      <c r="Y2" s="3"/>
      <c r="Z2" s="3"/>
      <c r="AN2" s="94"/>
      <c r="AO2" s="399"/>
      <c r="AP2" s="399"/>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row>
    <row r="3" spans="1:107" s="45" customFormat="1" ht="29.25" customHeight="1">
      <c r="A3" s="1"/>
      <c r="B3" s="198" t="s">
        <v>104</v>
      </c>
      <c r="C3" s="198"/>
      <c r="D3" s="198"/>
      <c r="E3" s="198"/>
      <c r="F3" s="198"/>
      <c r="G3" s="198"/>
      <c r="H3" s="198"/>
      <c r="I3" s="198"/>
      <c r="J3" s="198"/>
      <c r="K3" s="198"/>
      <c r="L3" s="198"/>
      <c r="M3" s="198"/>
      <c r="N3" s="198"/>
      <c r="O3"/>
      <c r="P3"/>
      <c r="Q3"/>
      <c r="R3"/>
      <c r="S3"/>
      <c r="T3"/>
      <c r="U3"/>
      <c r="V3" s="3"/>
      <c r="W3" s="3"/>
      <c r="X3" s="3"/>
      <c r="Y3" s="3"/>
      <c r="Z3" s="3"/>
      <c r="AA3" s="3"/>
      <c r="AB3" s="1"/>
      <c r="AC3" s="1"/>
      <c r="AD3" s="1"/>
      <c r="AE3" s="1"/>
      <c r="AF3" s="1"/>
      <c r="AG3" s="1"/>
      <c r="AH3" s="1"/>
      <c r="AI3" s="1"/>
      <c r="AJ3" s="3"/>
      <c r="AN3" s="97"/>
      <c r="AO3" s="721"/>
      <c r="AP3" s="721"/>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row>
    <row r="4" spans="1:107" ht="7.5" customHeight="1">
      <c r="A4" s="35"/>
      <c r="B4" s="199"/>
      <c r="C4" s="199"/>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N4" s="94"/>
      <c r="AO4" s="399"/>
      <c r="AP4" s="399"/>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row>
    <row r="5" spans="1:107" ht="15" customHeight="1">
      <c r="A5" s="25"/>
      <c r="B5" s="163" t="s">
        <v>70</v>
      </c>
      <c r="C5" s="25"/>
      <c r="D5" s="25"/>
      <c r="E5" s="25"/>
      <c r="F5" s="25"/>
      <c r="G5" s="25"/>
      <c r="H5" s="25"/>
      <c r="I5" s="25"/>
      <c r="J5" s="25"/>
      <c r="K5" s="25"/>
      <c r="L5" s="25"/>
      <c r="M5" s="163"/>
      <c r="N5" s="163"/>
      <c r="O5" s="163"/>
      <c r="P5" s="163"/>
      <c r="Q5" s="163"/>
      <c r="R5" s="163"/>
      <c r="S5" s="163"/>
      <c r="T5" s="163"/>
      <c r="U5" s="163"/>
      <c r="V5" s="163"/>
      <c r="W5" s="163"/>
      <c r="X5" s="163"/>
      <c r="Y5" s="163"/>
      <c r="Z5" s="25"/>
      <c r="AA5" s="25"/>
      <c r="AB5" s="25"/>
      <c r="AC5" s="25"/>
      <c r="AD5" s="25"/>
      <c r="AE5" s="25"/>
      <c r="AF5" s="25"/>
      <c r="AG5" s="25"/>
      <c r="AH5" s="25"/>
      <c r="AI5" s="38" t="s">
        <v>71</v>
      </c>
      <c r="AJ5" s="25"/>
      <c r="AN5" s="94"/>
      <c r="AO5" s="399"/>
      <c r="AP5" s="399"/>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row>
    <row r="6" spans="1:107" ht="19.5" customHeight="1">
      <c r="A6" s="25"/>
      <c r="B6" s="164" t="s">
        <v>72</v>
      </c>
      <c r="C6" s="172"/>
      <c r="D6" s="172"/>
      <c r="E6" s="164"/>
      <c r="F6" s="164"/>
      <c r="G6" s="164"/>
      <c r="H6" s="164"/>
      <c r="I6" s="164"/>
      <c r="J6" s="164"/>
      <c r="K6" s="164"/>
      <c r="L6" s="164"/>
      <c r="M6" s="25"/>
      <c r="N6" s="25"/>
      <c r="O6" s="25"/>
      <c r="P6" s="25"/>
      <c r="Q6" s="25"/>
      <c r="R6" s="157"/>
      <c r="S6" s="157"/>
      <c r="T6" s="164" t="s">
        <v>105</v>
      </c>
      <c r="U6" s="172"/>
      <c r="V6" s="172"/>
      <c r="W6" s="172"/>
      <c r="X6" s="172"/>
      <c r="Y6" s="172"/>
      <c r="Z6" s="172"/>
      <c r="AA6" s="164"/>
      <c r="AB6" s="25"/>
      <c r="AC6" s="25"/>
      <c r="AD6" s="25"/>
      <c r="AE6" s="157"/>
      <c r="AF6" s="154" t="s">
        <v>106</v>
      </c>
      <c r="AG6" s="157"/>
      <c r="AH6" s="157"/>
      <c r="AI6" s="157"/>
      <c r="AJ6" s="25"/>
      <c r="AN6" s="94"/>
      <c r="AO6" s="399"/>
      <c r="AP6" s="399"/>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row>
    <row r="7" spans="1:107" s="5" customFormat="1" ht="15" customHeight="1">
      <c r="A7" s="25"/>
      <c r="B7" s="773" t="str">
        <f>IF('Preliminary Application'!B7="","",'Preliminary Application'!B7)</f>
        <v/>
      </c>
      <c r="C7" s="786"/>
      <c r="D7" s="786"/>
      <c r="E7" s="786"/>
      <c r="F7" s="786"/>
      <c r="G7" s="786"/>
      <c r="H7" s="786"/>
      <c r="I7" s="786"/>
      <c r="J7" s="786"/>
      <c r="K7" s="786"/>
      <c r="L7" s="786"/>
      <c r="M7" s="786"/>
      <c r="N7" s="786"/>
      <c r="O7" s="786"/>
      <c r="P7" s="786"/>
      <c r="Q7" s="786"/>
      <c r="R7" s="786"/>
      <c r="S7" s="787"/>
      <c r="T7" s="773" t="str">
        <f>IF('Preliminary Application'!T7="","",'Preliminary Application'!T7)</f>
        <v/>
      </c>
      <c r="U7" s="786"/>
      <c r="V7" s="786"/>
      <c r="W7" s="786"/>
      <c r="X7" s="786"/>
      <c r="Y7" s="786"/>
      <c r="Z7" s="786"/>
      <c r="AA7" s="786"/>
      <c r="AB7" s="786"/>
      <c r="AC7" s="786"/>
      <c r="AD7" s="786"/>
      <c r="AE7" s="787"/>
      <c r="AF7" s="783"/>
      <c r="AG7" s="784"/>
      <c r="AH7" s="784"/>
      <c r="AI7" s="785"/>
      <c r="AJ7" s="25"/>
      <c r="AN7" s="98"/>
      <c r="AO7" s="722"/>
      <c r="AP7" s="722"/>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98"/>
      <c r="DA7" s="98"/>
      <c r="DB7" s="98"/>
      <c r="DC7" s="98"/>
    </row>
    <row r="8" spans="1:107" ht="12.75" customHeight="1">
      <c r="A8" s="25"/>
      <c r="B8" s="165" t="s">
        <v>75</v>
      </c>
      <c r="C8" s="160"/>
      <c r="D8" s="160"/>
      <c r="E8" s="160"/>
      <c r="F8" s="160"/>
      <c r="G8" s="160"/>
      <c r="H8" s="160"/>
      <c r="I8" s="160"/>
      <c r="J8" s="160"/>
      <c r="K8" s="160"/>
      <c r="L8" s="160"/>
      <c r="M8" s="25"/>
      <c r="N8" s="25"/>
      <c r="O8" s="25"/>
      <c r="P8" s="25"/>
      <c r="Q8" s="25"/>
      <c r="R8" s="25"/>
      <c r="S8" s="25"/>
      <c r="T8" s="523" t="s">
        <v>76</v>
      </c>
      <c r="U8" s="175"/>
      <c r="V8" s="175"/>
      <c r="W8" s="175"/>
      <c r="X8" s="175"/>
      <c r="Y8" s="175"/>
      <c r="Z8" s="523" t="s">
        <v>3324</v>
      </c>
      <c r="AA8" s="25"/>
      <c r="AB8" s="523"/>
      <c r="AC8" s="25"/>
      <c r="AD8" s="523" t="s">
        <v>3327</v>
      </c>
      <c r="AE8" s="25"/>
      <c r="AF8" s="25"/>
      <c r="AG8" s="25"/>
      <c r="AH8" s="25"/>
      <c r="AI8" s="25"/>
      <c r="AJ8" s="25"/>
      <c r="AN8" s="94"/>
      <c r="AO8" s="399"/>
      <c r="AP8" s="399"/>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row>
    <row r="9" spans="1:107" s="5" customFormat="1" ht="15" customHeight="1">
      <c r="A9" s="25"/>
      <c r="B9" s="773" t="str">
        <f>IF('Preliminary Application'!B9="","",'Preliminary Application'!B9)</f>
        <v/>
      </c>
      <c r="C9" s="786"/>
      <c r="D9" s="786"/>
      <c r="E9" s="786"/>
      <c r="F9" s="786"/>
      <c r="G9" s="786"/>
      <c r="H9" s="786"/>
      <c r="I9" s="786"/>
      <c r="J9" s="786"/>
      <c r="K9" s="786"/>
      <c r="L9" s="786"/>
      <c r="M9" s="786"/>
      <c r="N9" s="786"/>
      <c r="O9" s="786"/>
      <c r="P9" s="786"/>
      <c r="Q9" s="786"/>
      <c r="R9" s="786"/>
      <c r="S9" s="787"/>
      <c r="T9" s="843" t="str">
        <f>IF('Preliminary Application'!T9="","",'Preliminary Application'!T9)</f>
        <v/>
      </c>
      <c r="U9" s="843"/>
      <c r="V9" s="843"/>
      <c r="W9" s="843"/>
      <c r="X9" s="843"/>
      <c r="Y9" s="843"/>
      <c r="Z9" s="843" t="str">
        <f>IF('Preliminary Application'!Z9="","",'Preliminary Application'!Z9)</f>
        <v/>
      </c>
      <c r="AA9" s="843"/>
      <c r="AB9" s="843"/>
      <c r="AC9" s="843"/>
      <c r="AD9" s="843" t="str">
        <f>IF('Preliminary Application'!AD9="","",'Preliminary Application'!AD9)</f>
        <v/>
      </c>
      <c r="AE9" s="843"/>
      <c r="AF9" s="843"/>
      <c r="AG9" s="843"/>
      <c r="AH9" s="843"/>
      <c r="AI9" s="843"/>
      <c r="AJ9" s="25"/>
      <c r="AN9" s="98"/>
      <c r="AO9" s="722"/>
      <c r="AP9" s="722"/>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98"/>
      <c r="DA9" s="98"/>
      <c r="DB9" s="98"/>
      <c r="DC9" s="98"/>
    </row>
    <row r="10" spans="1:107" ht="12.75" customHeight="1">
      <c r="A10" s="25"/>
      <c r="B10" s="162" t="s">
        <v>77</v>
      </c>
      <c r="C10" s="161"/>
      <c r="D10" s="161"/>
      <c r="E10" s="161"/>
      <c r="F10" s="161"/>
      <c r="G10" s="161"/>
      <c r="H10" s="161"/>
      <c r="I10" s="161"/>
      <c r="J10" s="161"/>
      <c r="K10" s="161"/>
      <c r="L10" s="161"/>
      <c r="M10" s="25"/>
      <c r="N10" s="25"/>
      <c r="O10" s="25"/>
      <c r="P10" s="25"/>
      <c r="Q10" s="25"/>
      <c r="R10" s="157"/>
      <c r="S10" s="157"/>
      <c r="T10" s="162" t="s">
        <v>78</v>
      </c>
      <c r="U10" s="161"/>
      <c r="V10" s="161"/>
      <c r="W10" s="161"/>
      <c r="X10" s="161"/>
      <c r="Y10" s="161"/>
      <c r="Z10" s="161"/>
      <c r="AA10" s="25"/>
      <c r="AB10" s="25"/>
      <c r="AC10" s="25"/>
      <c r="AD10" s="154" t="s">
        <v>79</v>
      </c>
      <c r="AE10" s="161"/>
      <c r="AF10" s="154" t="s">
        <v>80</v>
      </c>
      <c r="AG10" s="154"/>
      <c r="AH10" s="154"/>
      <c r="AI10" s="157"/>
      <c r="AJ10" s="25"/>
      <c r="AN10" s="94"/>
      <c r="AO10" s="399"/>
      <c r="AP10" s="399"/>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row>
    <row r="11" spans="1:107" s="5" customFormat="1" ht="15" customHeight="1">
      <c r="A11" s="25"/>
      <c r="B11" s="773" t="str">
        <f>IF('Preliminary Application'!B11="","",'Preliminary Application'!B11)</f>
        <v/>
      </c>
      <c r="C11" s="786"/>
      <c r="D11" s="786"/>
      <c r="E11" s="786"/>
      <c r="F11" s="786"/>
      <c r="G11" s="786"/>
      <c r="H11" s="786"/>
      <c r="I11" s="786"/>
      <c r="J11" s="786"/>
      <c r="K11" s="786"/>
      <c r="L11" s="786"/>
      <c r="M11" s="786"/>
      <c r="N11" s="786"/>
      <c r="O11" s="786"/>
      <c r="P11" s="786"/>
      <c r="Q11" s="786"/>
      <c r="R11" s="786"/>
      <c r="S11" s="787"/>
      <c r="T11" s="773" t="str">
        <f>IF('Preliminary Application'!T11="","",'Preliminary Application'!T11)</f>
        <v/>
      </c>
      <c r="U11" s="786"/>
      <c r="V11" s="786"/>
      <c r="W11" s="786"/>
      <c r="X11" s="786"/>
      <c r="Y11" s="786"/>
      <c r="Z11" s="786"/>
      <c r="AA11" s="786"/>
      <c r="AB11" s="786"/>
      <c r="AC11" s="787"/>
      <c r="AD11" s="773" t="str">
        <f>IF('Preliminary Application'!AD11="","",'Preliminary Application'!AD11)</f>
        <v/>
      </c>
      <c r="AE11" s="787"/>
      <c r="AF11" s="788" t="str">
        <f>IF('Preliminary Application'!AF11="","",'Preliminary Application'!AF11)</f>
        <v/>
      </c>
      <c r="AG11" s="789"/>
      <c r="AH11" s="789"/>
      <c r="AI11" s="790"/>
      <c r="AJ11" s="25"/>
      <c r="AN11" s="98"/>
      <c r="AO11" s="722"/>
      <c r="AP11" s="722"/>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row>
    <row r="12" spans="1:107" ht="12.75" customHeight="1">
      <c r="A12" s="25"/>
      <c r="B12" s="165" t="s">
        <v>81</v>
      </c>
      <c r="C12" s="160"/>
      <c r="D12" s="160"/>
      <c r="E12" s="160"/>
      <c r="F12" s="160"/>
      <c r="G12" s="160"/>
      <c r="H12" s="160"/>
      <c r="I12" s="160"/>
      <c r="J12" s="160"/>
      <c r="K12" s="160"/>
      <c r="L12" s="160"/>
      <c r="M12" s="155"/>
      <c r="N12" s="155"/>
      <c r="O12" s="155"/>
      <c r="P12" s="155"/>
      <c r="Q12" s="155"/>
      <c r="R12" s="159"/>
      <c r="S12" s="159"/>
      <c r="T12" s="165" t="s">
        <v>82</v>
      </c>
      <c r="U12" s="160"/>
      <c r="V12" s="160"/>
      <c r="W12" s="160"/>
      <c r="X12" s="160"/>
      <c r="Y12" s="160"/>
      <c r="Z12" s="160"/>
      <c r="AA12" s="155"/>
      <c r="AB12" s="155"/>
      <c r="AC12" s="155"/>
      <c r="AD12" s="157" t="s">
        <v>107</v>
      </c>
      <c r="AE12" s="539"/>
      <c r="AF12" s="157" t="s">
        <v>83</v>
      </c>
      <c r="AG12" s="159"/>
      <c r="AH12" s="159"/>
      <c r="AI12" s="159"/>
      <c r="AJ12" s="25"/>
      <c r="AN12" s="94"/>
      <c r="AO12" s="399"/>
      <c r="AP12" s="399"/>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row>
    <row r="13" spans="1:107" s="5" customFormat="1" ht="15" customHeight="1">
      <c r="A13" s="25"/>
      <c r="B13" s="773" t="str">
        <f>IF('Preliminary Application'!B13="","",'Preliminary Application'!B13)</f>
        <v/>
      </c>
      <c r="C13" s="786"/>
      <c r="D13" s="786"/>
      <c r="E13" s="786"/>
      <c r="F13" s="786"/>
      <c r="G13" s="786"/>
      <c r="H13" s="786"/>
      <c r="I13" s="786"/>
      <c r="J13" s="786"/>
      <c r="K13" s="786"/>
      <c r="L13" s="786"/>
      <c r="M13" s="786"/>
      <c r="N13" s="786"/>
      <c r="O13" s="786"/>
      <c r="P13" s="786"/>
      <c r="Q13" s="786"/>
      <c r="R13" s="786"/>
      <c r="S13" s="787"/>
      <c r="T13" s="773" t="str">
        <f>IF('Preliminary Application'!T13="","",'Preliminary Application'!T13)</f>
        <v/>
      </c>
      <c r="U13" s="786"/>
      <c r="V13" s="786"/>
      <c r="W13" s="786"/>
      <c r="X13" s="786"/>
      <c r="Y13" s="786"/>
      <c r="Z13" s="786"/>
      <c r="AA13" s="786"/>
      <c r="AB13" s="786"/>
      <c r="AC13" s="787"/>
      <c r="AD13" s="773" t="str">
        <f>IF('Preliminary Application'!AD13="","",'Preliminary Application'!AD13)</f>
        <v/>
      </c>
      <c r="AE13" s="787"/>
      <c r="AF13" s="788" t="str">
        <f>IF('Preliminary Application'!AF13="","",'Preliminary Application'!AF13)</f>
        <v/>
      </c>
      <c r="AG13" s="789"/>
      <c r="AH13" s="789"/>
      <c r="AI13" s="790"/>
      <c r="AJ13" s="25"/>
      <c r="AN13" s="98"/>
      <c r="AO13" s="722"/>
      <c r="AP13" s="722"/>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row>
    <row r="14" spans="1:107" ht="12.75" customHeight="1">
      <c r="A14" s="25"/>
      <c r="B14" s="162" t="s">
        <v>84</v>
      </c>
      <c r="C14" s="161"/>
      <c r="D14" s="161"/>
      <c r="E14" s="161"/>
      <c r="F14" s="161"/>
      <c r="G14" s="161"/>
      <c r="H14" s="161"/>
      <c r="I14" s="161"/>
      <c r="J14" s="161"/>
      <c r="K14" s="161"/>
      <c r="L14" s="161"/>
      <c r="M14" s="165" t="s">
        <v>108</v>
      </c>
      <c r="N14" s="165"/>
      <c r="O14" s="165"/>
      <c r="P14" s="165"/>
      <c r="Q14" s="165"/>
      <c r="R14" s="155"/>
      <c r="S14" s="155"/>
      <c r="T14" s="162" t="s">
        <v>86</v>
      </c>
      <c r="U14" s="162"/>
      <c r="V14" s="162"/>
      <c r="W14" s="154"/>
      <c r="X14" s="155"/>
      <c r="Y14" s="155"/>
      <c r="Z14" s="162" t="s">
        <v>109</v>
      </c>
      <c r="AA14" s="162"/>
      <c r="AB14" s="162"/>
      <c r="AC14" s="162"/>
      <c r="AD14" s="162"/>
      <c r="AE14" s="162"/>
      <c r="AF14" s="162"/>
      <c r="AG14" s="162"/>
      <c r="AH14" s="162"/>
      <c r="AI14" s="162"/>
      <c r="AJ14" s="25"/>
      <c r="AN14" s="94"/>
      <c r="AO14" s="399"/>
      <c r="AP14" s="399"/>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row>
    <row r="15" spans="1:107" s="5" customFormat="1" ht="15" customHeight="1">
      <c r="A15" s="25"/>
      <c r="B15" s="776" t="str">
        <f>IF('Preliminary Application'!B15="","",'Preliminary Application'!B15)</f>
        <v/>
      </c>
      <c r="C15" s="777"/>
      <c r="D15" s="777"/>
      <c r="E15" s="777"/>
      <c r="F15" s="777"/>
      <c r="G15" s="777"/>
      <c r="H15" s="777"/>
      <c r="I15" s="777"/>
      <c r="J15" s="777"/>
      <c r="K15" s="777"/>
      <c r="L15" s="778"/>
      <c r="M15" s="776" t="str">
        <f>IF('Preliminary Application'!M15="","",'Preliminary Application'!M15)</f>
        <v/>
      </c>
      <c r="N15" s="777"/>
      <c r="O15" s="777"/>
      <c r="P15" s="777"/>
      <c r="Q15" s="777"/>
      <c r="R15" s="777"/>
      <c r="S15" s="778"/>
      <c r="T15" s="776" t="str">
        <f>IF('Preliminary Application'!T15="","",'Preliminary Application'!T15)</f>
        <v/>
      </c>
      <c r="U15" s="777"/>
      <c r="V15" s="777"/>
      <c r="W15" s="777"/>
      <c r="X15" s="777"/>
      <c r="Y15" s="778"/>
      <c r="Z15" s="773" t="str">
        <f>IF('Preliminary Application'!Z15="","",'Preliminary Application'!Z15)</f>
        <v/>
      </c>
      <c r="AA15" s="786"/>
      <c r="AB15" s="786"/>
      <c r="AC15" s="786"/>
      <c r="AD15" s="786"/>
      <c r="AE15" s="786"/>
      <c r="AF15" s="786"/>
      <c r="AG15" s="786"/>
      <c r="AH15" s="786"/>
      <c r="AI15" s="787"/>
      <c r="AJ15" s="25"/>
      <c r="AN15" s="98"/>
      <c r="AO15" s="722"/>
      <c r="AP15" s="722"/>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c r="BY15" s="98"/>
      <c r="BZ15" s="98"/>
      <c r="CA15" s="98"/>
      <c r="CB15" s="98"/>
      <c r="CC15" s="98"/>
      <c r="CD15" s="98"/>
      <c r="CE15" s="98"/>
      <c r="CF15" s="98"/>
      <c r="CG15" s="98"/>
      <c r="CH15" s="98"/>
      <c r="CI15" s="98"/>
      <c r="CJ15" s="98"/>
      <c r="CK15" s="98"/>
      <c r="CL15" s="98"/>
      <c r="CM15" s="98"/>
      <c r="CN15" s="98"/>
      <c r="CO15" s="98"/>
      <c r="CP15" s="98"/>
      <c r="CQ15" s="98"/>
      <c r="CR15" s="98"/>
      <c r="CS15" s="98"/>
      <c r="CT15" s="98"/>
      <c r="CU15" s="98"/>
      <c r="CV15" s="98"/>
      <c r="CW15" s="98"/>
      <c r="CX15" s="98"/>
      <c r="CY15" s="98"/>
      <c r="CZ15" s="98"/>
      <c r="DA15" s="98"/>
      <c r="DB15" s="98"/>
      <c r="DC15" s="98"/>
    </row>
    <row r="16" spans="1:107" ht="12.75" customHeight="1">
      <c r="A16" s="25"/>
      <c r="B16" s="165" t="s">
        <v>88</v>
      </c>
      <c r="C16" s="160"/>
      <c r="D16" s="160"/>
      <c r="E16" s="160"/>
      <c r="F16" s="160"/>
      <c r="G16" s="160"/>
      <c r="H16" s="160"/>
      <c r="I16" s="160"/>
      <c r="J16" s="160"/>
      <c r="K16" s="160"/>
      <c r="L16" s="160"/>
      <c r="M16" s="165" t="s">
        <v>108</v>
      </c>
      <c r="N16" s="165"/>
      <c r="O16" s="165"/>
      <c r="P16" s="165"/>
      <c r="Q16" s="165"/>
      <c r="R16" s="155"/>
      <c r="S16" s="155"/>
      <c r="T16" s="165" t="s">
        <v>90</v>
      </c>
      <c r="U16" s="165"/>
      <c r="V16" s="165"/>
      <c r="W16" s="157"/>
      <c r="X16" s="155"/>
      <c r="Y16" s="155"/>
      <c r="Z16" s="165" t="s">
        <v>91</v>
      </c>
      <c r="AA16" s="165"/>
      <c r="AB16" s="165"/>
      <c r="AC16" s="165"/>
      <c r="AD16" s="165"/>
      <c r="AE16" s="165"/>
      <c r="AF16" s="165"/>
      <c r="AG16" s="165"/>
      <c r="AH16" s="165"/>
      <c r="AI16" s="165"/>
      <c r="AJ16" s="25"/>
      <c r="AN16" s="94"/>
      <c r="AO16" s="399"/>
      <c r="AP16" s="399"/>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row>
    <row r="17" spans="1:107" s="5" customFormat="1" ht="15" customHeight="1">
      <c r="A17" s="25"/>
      <c r="B17" s="776" t="str">
        <f>IF('Preliminary Application'!B17="","",'Preliminary Application'!B17)</f>
        <v/>
      </c>
      <c r="C17" s="777"/>
      <c r="D17" s="777"/>
      <c r="E17" s="777"/>
      <c r="F17" s="777"/>
      <c r="G17" s="777"/>
      <c r="H17" s="777"/>
      <c r="I17" s="777"/>
      <c r="J17" s="777"/>
      <c r="K17" s="777"/>
      <c r="L17" s="778"/>
      <c r="M17" s="776" t="str">
        <f>IF('Preliminary Application'!M17="","",'Preliminary Application'!M17)</f>
        <v/>
      </c>
      <c r="N17" s="777"/>
      <c r="O17" s="777"/>
      <c r="P17" s="777"/>
      <c r="Q17" s="777"/>
      <c r="R17" s="777"/>
      <c r="S17" s="778"/>
      <c r="T17" s="776" t="str">
        <f>IF('Preliminary Application'!T17="","",'Preliminary Application'!T17)</f>
        <v/>
      </c>
      <c r="U17" s="777"/>
      <c r="V17" s="777"/>
      <c r="W17" s="777"/>
      <c r="X17" s="777"/>
      <c r="Y17" s="778"/>
      <c r="Z17" s="773" t="str">
        <f>IF('Preliminary Application'!Z17="","",'Preliminary Application'!Z17)</f>
        <v/>
      </c>
      <c r="AA17" s="786"/>
      <c r="AB17" s="786"/>
      <c r="AC17" s="786"/>
      <c r="AD17" s="786"/>
      <c r="AE17" s="786"/>
      <c r="AF17" s="786"/>
      <c r="AG17" s="786"/>
      <c r="AH17" s="786"/>
      <c r="AI17" s="787"/>
      <c r="AJ17" s="25"/>
      <c r="AN17" s="98"/>
      <c r="AO17" s="722"/>
      <c r="AP17" s="722"/>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4"/>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c r="CZ17" s="98"/>
      <c r="DA17" s="98"/>
      <c r="DB17" s="98"/>
      <c r="DC17" s="98"/>
    </row>
    <row r="18" spans="1:107" ht="12.75" customHeight="1">
      <c r="A18" s="25"/>
      <c r="B18" s="162" t="s">
        <v>92</v>
      </c>
      <c r="C18" s="162"/>
      <c r="D18" s="162"/>
      <c r="E18" s="162"/>
      <c r="F18" s="162"/>
      <c r="G18" s="162"/>
      <c r="H18" s="162"/>
      <c r="I18" s="162"/>
      <c r="J18" s="162"/>
      <c r="K18" s="162"/>
      <c r="L18" s="162"/>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25"/>
      <c r="AN18" s="94"/>
      <c r="AO18" s="399"/>
      <c r="AP18" s="399"/>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row>
    <row r="19" spans="1:107" s="5" customFormat="1" ht="15" customHeight="1">
      <c r="A19" s="25"/>
      <c r="B19" s="773" t="str">
        <f>IF('Preliminary Application'!B19="","",'Preliminary Application'!B19)</f>
        <v/>
      </c>
      <c r="C19" s="786"/>
      <c r="D19" s="786"/>
      <c r="E19" s="786"/>
      <c r="F19" s="786"/>
      <c r="G19" s="786"/>
      <c r="H19" s="786"/>
      <c r="I19" s="786"/>
      <c r="J19" s="786"/>
      <c r="K19" s="786"/>
      <c r="L19" s="786"/>
      <c r="M19" s="786"/>
      <c r="N19" s="786"/>
      <c r="O19" s="786"/>
      <c r="P19" s="786"/>
      <c r="Q19" s="786"/>
      <c r="R19" s="786"/>
      <c r="S19" s="786"/>
      <c r="T19" s="786"/>
      <c r="U19" s="786"/>
      <c r="V19" s="786"/>
      <c r="W19" s="786"/>
      <c r="X19" s="786"/>
      <c r="Y19" s="786"/>
      <c r="Z19" s="786"/>
      <c r="AA19" s="786"/>
      <c r="AB19" s="786"/>
      <c r="AC19" s="786"/>
      <c r="AD19" s="786"/>
      <c r="AE19" s="786"/>
      <c r="AF19" s="786"/>
      <c r="AG19" s="786"/>
      <c r="AH19" s="786"/>
      <c r="AI19" s="787"/>
      <c r="AJ19" s="25"/>
      <c r="AN19" s="98"/>
      <c r="AO19" s="722"/>
      <c r="AP19" s="722"/>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c r="BY19" s="98"/>
      <c r="BZ19" s="98"/>
      <c r="CA19" s="98"/>
      <c r="CB19" s="98"/>
      <c r="CC19" s="98"/>
      <c r="CD19" s="98"/>
      <c r="CE19" s="98"/>
      <c r="CF19" s="98"/>
      <c r="CG19" s="98"/>
      <c r="CH19" s="98"/>
      <c r="CI19" s="98"/>
      <c r="CJ19" s="98"/>
      <c r="CK19" s="98"/>
      <c r="CL19" s="98"/>
      <c r="CM19" s="98"/>
      <c r="CN19" s="98"/>
      <c r="CO19" s="98"/>
      <c r="CP19" s="98"/>
      <c r="CQ19" s="98"/>
      <c r="CR19" s="98"/>
      <c r="CS19" s="98"/>
      <c r="CT19" s="98"/>
      <c r="CU19" s="98"/>
      <c r="CV19" s="98"/>
      <c r="CW19" s="98"/>
      <c r="CX19" s="98"/>
      <c r="CY19" s="98"/>
      <c r="CZ19" s="98"/>
      <c r="DA19" s="98"/>
      <c r="DB19" s="98"/>
      <c r="DC19" s="98"/>
    </row>
    <row r="20" spans="1:107" ht="12.75" customHeight="1">
      <c r="A20" s="25"/>
      <c r="B20" s="162" t="s">
        <v>110</v>
      </c>
      <c r="C20" s="162"/>
      <c r="D20" s="162"/>
      <c r="E20" s="162"/>
      <c r="F20" s="162"/>
      <c r="G20" s="162"/>
      <c r="H20" s="162"/>
      <c r="I20" s="162"/>
      <c r="J20" s="162"/>
      <c r="K20" s="162"/>
      <c r="L20" s="162"/>
      <c r="M20" s="162" t="s">
        <v>111</v>
      </c>
      <c r="N20" s="162"/>
      <c r="O20" s="162"/>
      <c r="P20" s="162"/>
      <c r="Q20" s="162"/>
      <c r="R20" s="162"/>
      <c r="S20" s="162"/>
      <c r="T20" s="175"/>
      <c r="U20" s="175"/>
      <c r="V20" s="175"/>
      <c r="W20" s="175"/>
      <c r="X20" s="175"/>
      <c r="Y20" s="175"/>
      <c r="Z20" s="175"/>
      <c r="AA20" s="175"/>
      <c r="AB20" s="175"/>
      <c r="AC20" s="175"/>
      <c r="AD20" s="175"/>
      <c r="AE20" s="175"/>
      <c r="AF20" s="175"/>
      <c r="AG20" s="175"/>
      <c r="AH20" s="175"/>
      <c r="AI20" s="175"/>
      <c r="AJ20" s="25"/>
      <c r="AN20" s="94"/>
      <c r="AO20" s="399"/>
      <c r="AP20" s="399"/>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8"/>
      <c r="CZ20" s="98"/>
      <c r="DA20" s="98"/>
      <c r="DB20" s="98"/>
      <c r="DC20" s="98"/>
    </row>
    <row r="21" spans="1:107" s="5" customFormat="1" ht="15" customHeight="1">
      <c r="A21" s="25"/>
      <c r="B21" s="783" t="str">
        <f>IF('Preliminary Application'!B21="","",'Preliminary Application'!B21)</f>
        <v/>
      </c>
      <c r="C21" s="784"/>
      <c r="D21" s="784"/>
      <c r="E21" s="784"/>
      <c r="F21" s="784"/>
      <c r="G21" s="784"/>
      <c r="H21" s="784"/>
      <c r="I21" s="784"/>
      <c r="J21" s="784"/>
      <c r="K21" s="784"/>
      <c r="L21" s="785"/>
      <c r="M21" s="783" t="str">
        <f>IF('Preliminary Application'!M21="","",'Preliminary Application'!M21)</f>
        <v/>
      </c>
      <c r="N21" s="784"/>
      <c r="O21" s="784"/>
      <c r="P21" s="784"/>
      <c r="Q21" s="784"/>
      <c r="R21" s="784"/>
      <c r="S21" s="785"/>
      <c r="T21" s="25"/>
      <c r="U21" s="25"/>
      <c r="V21" s="25"/>
      <c r="W21" s="25"/>
      <c r="X21" s="25"/>
      <c r="Y21" s="25"/>
      <c r="Z21" s="25"/>
      <c r="AA21" s="25"/>
      <c r="AB21" s="25"/>
      <c r="AC21" s="25"/>
      <c r="AD21" s="25"/>
      <c r="AE21" s="25"/>
      <c r="AF21" s="25"/>
      <c r="AG21" s="25"/>
      <c r="AH21" s="25"/>
      <c r="AI21" s="25"/>
      <c r="AJ21" s="25"/>
      <c r="AN21" s="98"/>
      <c r="AO21" s="722"/>
      <c r="AP21" s="722"/>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row>
    <row r="22" spans="1:107" s="5" customFormat="1">
      <c r="A22" s="25"/>
      <c r="B22" s="540"/>
      <c r="C22" s="166"/>
      <c r="D22" s="166"/>
      <c r="E22" s="166"/>
      <c r="F22" s="166"/>
      <c r="G22" s="166"/>
      <c r="H22" s="166"/>
      <c r="I22" s="166"/>
      <c r="J22" s="166"/>
      <c r="K22" s="166"/>
      <c r="L22" s="152"/>
      <c r="M22" s="540"/>
      <c r="N22" s="166"/>
      <c r="O22" s="166"/>
      <c r="P22" s="152"/>
      <c r="Q22" s="166"/>
      <c r="R22" s="166"/>
      <c r="S22" s="166"/>
      <c r="T22" s="151"/>
      <c r="U22" s="151"/>
      <c r="V22" s="151"/>
      <c r="W22" s="151"/>
      <c r="X22" s="151"/>
      <c r="Y22" s="151"/>
      <c r="Z22" s="166"/>
      <c r="AA22" s="166"/>
      <c r="AB22" s="166"/>
      <c r="AC22" s="166"/>
      <c r="AD22" s="166"/>
      <c r="AE22" s="166"/>
      <c r="AF22" s="166"/>
      <c r="AG22" s="166"/>
      <c r="AH22" s="166"/>
      <c r="AI22" s="166"/>
      <c r="AJ22" s="25"/>
      <c r="AK22" s="1"/>
      <c r="AL22" s="1"/>
      <c r="AM22" s="1"/>
      <c r="AN22" s="94"/>
      <c r="AO22" s="399"/>
      <c r="AP22" s="399"/>
      <c r="AQ22" s="94"/>
      <c r="AR22" s="94"/>
      <c r="AS22" s="94"/>
      <c r="AT22" s="94"/>
      <c r="AU22" s="94"/>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c r="CT22" s="98"/>
      <c r="CU22" s="98"/>
      <c r="CV22" s="98"/>
      <c r="CW22" s="98"/>
      <c r="CX22" s="98"/>
      <c r="CY22" s="98"/>
      <c r="CZ22" s="98"/>
      <c r="DA22" s="98"/>
      <c r="DB22" s="98"/>
      <c r="DC22" s="98"/>
    </row>
    <row r="23" spans="1:107" ht="15">
      <c r="A23" s="25"/>
      <c r="B23" s="196" t="s">
        <v>112</v>
      </c>
      <c r="C23" s="25"/>
      <c r="D23" s="25"/>
      <c r="E23" s="25"/>
      <c r="F23" s="25"/>
      <c r="G23" s="25"/>
      <c r="H23" s="25"/>
      <c r="I23" s="25"/>
      <c r="J23" s="25"/>
      <c r="K23" s="25"/>
      <c r="L23" s="25"/>
      <c r="M23" s="196"/>
      <c r="N23" s="196"/>
      <c r="O23" s="196"/>
      <c r="P23" s="196"/>
      <c r="Q23" s="196"/>
      <c r="R23" s="25"/>
      <c r="S23" s="25"/>
      <c r="T23" s="25"/>
      <c r="U23" s="25"/>
      <c r="V23" s="25"/>
      <c r="W23" s="25"/>
      <c r="X23" s="25"/>
      <c r="Y23" s="25"/>
      <c r="Z23" s="25"/>
      <c r="AA23" s="25"/>
      <c r="AB23" s="25"/>
      <c r="AC23" s="25"/>
      <c r="AD23" s="25"/>
      <c r="AE23" s="25"/>
      <c r="AF23" s="25"/>
      <c r="AG23" s="25"/>
      <c r="AH23" s="25"/>
      <c r="AI23" s="25"/>
      <c r="AJ23" s="25"/>
      <c r="AN23" s="94"/>
      <c r="AO23" s="399"/>
      <c r="AP23" s="399"/>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8"/>
      <c r="CZ23" s="98"/>
      <c r="DA23" s="98"/>
      <c r="DB23" s="98"/>
      <c r="DC23" s="98"/>
    </row>
    <row r="24" spans="1:107" ht="12.75" customHeight="1">
      <c r="A24" s="25"/>
      <c r="B24" s="167" t="s">
        <v>113</v>
      </c>
      <c r="C24" s="95"/>
      <c r="D24" s="95"/>
      <c r="E24" s="95"/>
      <c r="F24" s="95"/>
      <c r="G24" s="95"/>
      <c r="H24" s="95"/>
      <c r="I24" s="95"/>
      <c r="J24" s="95"/>
      <c r="K24" s="95"/>
      <c r="L24" s="95"/>
      <c r="M24" s="167" t="s">
        <v>114</v>
      </c>
      <c r="N24" s="167"/>
      <c r="O24" s="167"/>
      <c r="P24" s="167"/>
      <c r="Q24" s="167"/>
      <c r="R24" s="25"/>
      <c r="S24" s="25"/>
      <c r="T24" s="167" t="s">
        <v>90</v>
      </c>
      <c r="U24" s="167"/>
      <c r="V24" s="167"/>
      <c r="W24" s="157"/>
      <c r="X24" s="25"/>
      <c r="Y24" s="25"/>
      <c r="Z24" s="167" t="s">
        <v>91</v>
      </c>
      <c r="AA24" s="167"/>
      <c r="AB24" s="167"/>
      <c r="AC24" s="167"/>
      <c r="AD24" s="167"/>
      <c r="AE24" s="167"/>
      <c r="AF24" s="167"/>
      <c r="AG24" s="167"/>
      <c r="AH24" s="167"/>
      <c r="AI24" s="167"/>
      <c r="AJ24" s="25"/>
      <c r="AN24" s="94"/>
      <c r="AO24" s="399"/>
      <c r="AP24" s="399"/>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8"/>
      <c r="CZ24" s="98"/>
      <c r="DA24" s="98"/>
      <c r="DB24" s="98"/>
      <c r="DC24" s="98"/>
    </row>
    <row r="25" spans="1:107" s="5" customFormat="1" ht="15" customHeight="1">
      <c r="A25" s="25"/>
      <c r="B25" s="776"/>
      <c r="C25" s="777"/>
      <c r="D25" s="777"/>
      <c r="E25" s="777"/>
      <c r="F25" s="777"/>
      <c r="G25" s="777"/>
      <c r="H25" s="777"/>
      <c r="I25" s="777"/>
      <c r="J25" s="777"/>
      <c r="K25" s="777"/>
      <c r="L25" s="778"/>
      <c r="M25" s="802"/>
      <c r="N25" s="803"/>
      <c r="O25" s="803"/>
      <c r="P25" s="803"/>
      <c r="Q25" s="803"/>
      <c r="R25" s="803"/>
      <c r="S25" s="804"/>
      <c r="T25" s="776"/>
      <c r="U25" s="777"/>
      <c r="V25" s="777"/>
      <c r="W25" s="777"/>
      <c r="X25" s="777"/>
      <c r="Y25" s="778"/>
      <c r="Z25" s="773"/>
      <c r="AA25" s="786"/>
      <c r="AB25" s="786"/>
      <c r="AC25" s="786"/>
      <c r="AD25" s="786"/>
      <c r="AE25" s="786"/>
      <c r="AF25" s="786"/>
      <c r="AG25" s="786"/>
      <c r="AH25" s="786"/>
      <c r="AI25" s="787"/>
      <c r="AJ25" s="25"/>
      <c r="AN25" s="98"/>
      <c r="AO25" s="722"/>
      <c r="AP25" s="722"/>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98"/>
      <c r="CT25" s="98"/>
      <c r="CU25" s="98"/>
      <c r="CV25" s="98"/>
      <c r="CW25" s="98"/>
      <c r="CX25" s="98"/>
      <c r="CY25" s="98"/>
      <c r="CZ25" s="98"/>
      <c r="DA25" s="98"/>
      <c r="DB25" s="98"/>
      <c r="DC25" s="98"/>
    </row>
    <row r="26" spans="1:107" ht="12.75" customHeight="1">
      <c r="A26" s="25"/>
      <c r="B26" s="165" t="s">
        <v>115</v>
      </c>
      <c r="C26" s="160"/>
      <c r="D26" s="160"/>
      <c r="E26" s="160"/>
      <c r="F26" s="160"/>
      <c r="G26" s="160"/>
      <c r="H26" s="160"/>
      <c r="I26" s="160"/>
      <c r="J26" s="160"/>
      <c r="K26" s="160"/>
      <c r="L26" s="160"/>
      <c r="M26" s="167" t="s">
        <v>114</v>
      </c>
      <c r="N26" s="165"/>
      <c r="O26" s="165"/>
      <c r="P26" s="165"/>
      <c r="Q26" s="165"/>
      <c r="R26" s="25"/>
      <c r="S26" s="25"/>
      <c r="T26" s="167" t="s">
        <v>90</v>
      </c>
      <c r="U26" s="165"/>
      <c r="V26" s="165"/>
      <c r="W26" s="157"/>
      <c r="X26" s="25"/>
      <c r="Y26" s="25"/>
      <c r="Z26" s="167" t="s">
        <v>91</v>
      </c>
      <c r="AA26" s="165"/>
      <c r="AB26" s="165"/>
      <c r="AC26" s="165"/>
      <c r="AD26" s="165"/>
      <c r="AE26" s="165"/>
      <c r="AF26" s="165"/>
      <c r="AG26" s="165"/>
      <c r="AH26" s="165"/>
      <c r="AI26" s="165"/>
      <c r="AJ26" s="25"/>
      <c r="AN26" s="94"/>
      <c r="AO26" s="399"/>
      <c r="AP26" s="399"/>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row>
    <row r="27" spans="1:107" s="5" customFormat="1" ht="15" customHeight="1">
      <c r="A27" s="25"/>
      <c r="B27" s="776"/>
      <c r="C27" s="777"/>
      <c r="D27" s="777"/>
      <c r="E27" s="777"/>
      <c r="F27" s="777"/>
      <c r="G27" s="777"/>
      <c r="H27" s="777"/>
      <c r="I27" s="777"/>
      <c r="J27" s="777"/>
      <c r="K27" s="777"/>
      <c r="L27" s="778"/>
      <c r="M27" s="802"/>
      <c r="N27" s="803"/>
      <c r="O27" s="803"/>
      <c r="P27" s="803"/>
      <c r="Q27" s="803"/>
      <c r="R27" s="803"/>
      <c r="S27" s="804"/>
      <c r="T27" s="776"/>
      <c r="U27" s="777"/>
      <c r="V27" s="777"/>
      <c r="W27" s="777"/>
      <c r="X27" s="777"/>
      <c r="Y27" s="778"/>
      <c r="Z27" s="773"/>
      <c r="AA27" s="786"/>
      <c r="AB27" s="786"/>
      <c r="AC27" s="786"/>
      <c r="AD27" s="786"/>
      <c r="AE27" s="786"/>
      <c r="AF27" s="786"/>
      <c r="AG27" s="786"/>
      <c r="AH27" s="786"/>
      <c r="AI27" s="787"/>
      <c r="AJ27" s="25"/>
      <c r="AN27" s="98"/>
      <c r="AO27" s="722"/>
      <c r="AP27" s="722"/>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c r="BZ27" s="98"/>
      <c r="CA27" s="98"/>
      <c r="CB27" s="98"/>
      <c r="CC27" s="98"/>
      <c r="CD27" s="98"/>
      <c r="CE27" s="98"/>
      <c r="CF27" s="98"/>
      <c r="CG27" s="98"/>
      <c r="CH27" s="98"/>
      <c r="CI27" s="98"/>
      <c r="CJ27" s="98"/>
      <c r="CK27" s="98"/>
      <c r="CL27" s="98"/>
      <c r="CM27" s="98"/>
      <c r="CN27" s="98"/>
      <c r="CO27" s="98"/>
      <c r="CP27" s="98"/>
      <c r="CQ27" s="98"/>
      <c r="CR27" s="98"/>
      <c r="CS27" s="98"/>
      <c r="CT27" s="98"/>
      <c r="CU27" s="98"/>
      <c r="CV27" s="98"/>
      <c r="CW27" s="98"/>
      <c r="CX27" s="98"/>
      <c r="CY27" s="98"/>
      <c r="CZ27" s="98"/>
      <c r="DA27" s="98"/>
      <c r="DB27" s="98"/>
      <c r="DC27" s="98"/>
    </row>
    <row r="28" spans="1:107" ht="12.75" customHeight="1">
      <c r="A28" s="25"/>
      <c r="B28" s="165" t="s">
        <v>116</v>
      </c>
      <c r="C28" s="160"/>
      <c r="D28" s="160"/>
      <c r="E28" s="160"/>
      <c r="F28" s="160"/>
      <c r="G28" s="160"/>
      <c r="H28" s="160"/>
      <c r="I28" s="160"/>
      <c r="J28" s="160"/>
      <c r="K28" s="160"/>
      <c r="L28" s="160"/>
      <c r="M28" s="167" t="s">
        <v>114</v>
      </c>
      <c r="N28" s="165"/>
      <c r="O28" s="165"/>
      <c r="P28" s="165"/>
      <c r="Q28" s="165"/>
      <c r="R28" s="25"/>
      <c r="S28" s="25"/>
      <c r="T28" s="167" t="s">
        <v>90</v>
      </c>
      <c r="U28" s="165"/>
      <c r="V28" s="165"/>
      <c r="W28" s="157"/>
      <c r="X28" s="25"/>
      <c r="Y28" s="25"/>
      <c r="Z28" s="167" t="s">
        <v>91</v>
      </c>
      <c r="AA28" s="165"/>
      <c r="AB28" s="165"/>
      <c r="AC28" s="165"/>
      <c r="AD28" s="165"/>
      <c r="AE28" s="165"/>
      <c r="AF28" s="165"/>
      <c r="AG28" s="165"/>
      <c r="AH28" s="165"/>
      <c r="AI28" s="165"/>
      <c r="AJ28" s="25"/>
      <c r="AN28" s="94"/>
      <c r="AO28" s="399"/>
      <c r="AP28" s="399"/>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c r="DA28" s="94"/>
      <c r="DB28" s="94"/>
      <c r="DC28" s="94"/>
    </row>
    <row r="29" spans="1:107" s="5" customFormat="1" ht="15" customHeight="1">
      <c r="A29" s="25"/>
      <c r="B29" s="776"/>
      <c r="C29" s="777"/>
      <c r="D29" s="777"/>
      <c r="E29" s="777"/>
      <c r="F29" s="777"/>
      <c r="G29" s="777"/>
      <c r="H29" s="777"/>
      <c r="I29" s="777"/>
      <c r="J29" s="777"/>
      <c r="K29" s="777"/>
      <c r="L29" s="778"/>
      <c r="M29" s="802"/>
      <c r="N29" s="803"/>
      <c r="O29" s="803"/>
      <c r="P29" s="803"/>
      <c r="Q29" s="803"/>
      <c r="R29" s="803"/>
      <c r="S29" s="804"/>
      <c r="T29" s="776"/>
      <c r="U29" s="777"/>
      <c r="V29" s="777"/>
      <c r="W29" s="777"/>
      <c r="X29" s="777"/>
      <c r="Y29" s="778"/>
      <c r="Z29" s="773"/>
      <c r="AA29" s="786"/>
      <c r="AB29" s="786"/>
      <c r="AC29" s="786"/>
      <c r="AD29" s="786"/>
      <c r="AE29" s="786"/>
      <c r="AF29" s="786"/>
      <c r="AG29" s="786"/>
      <c r="AH29" s="786"/>
      <c r="AI29" s="787"/>
      <c r="AJ29" s="25"/>
      <c r="AN29" s="98"/>
      <c r="AO29" s="722"/>
      <c r="AP29" s="722"/>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8"/>
      <c r="CU29" s="98"/>
      <c r="CV29" s="98"/>
      <c r="CW29" s="98"/>
      <c r="CX29" s="98"/>
      <c r="CY29" s="98"/>
      <c r="CZ29" s="98"/>
      <c r="DA29" s="98"/>
      <c r="DB29" s="98"/>
      <c r="DC29" s="98"/>
    </row>
    <row r="30" spans="1:107" ht="12.75" customHeight="1">
      <c r="A30" s="25"/>
      <c r="B30" s="165" t="s">
        <v>117</v>
      </c>
      <c r="C30" s="160"/>
      <c r="D30" s="160"/>
      <c r="E30" s="160"/>
      <c r="F30" s="160"/>
      <c r="G30" s="160"/>
      <c r="H30" s="160"/>
      <c r="I30" s="160"/>
      <c r="J30" s="160"/>
      <c r="K30" s="160"/>
      <c r="L30" s="160"/>
      <c r="M30" s="167" t="s">
        <v>114</v>
      </c>
      <c r="N30" s="165"/>
      <c r="O30" s="165"/>
      <c r="P30" s="165"/>
      <c r="Q30" s="165"/>
      <c r="R30" s="25"/>
      <c r="S30" s="25"/>
      <c r="T30" s="167" t="s">
        <v>90</v>
      </c>
      <c r="U30" s="165"/>
      <c r="V30" s="165"/>
      <c r="W30" s="157"/>
      <c r="X30" s="25"/>
      <c r="Y30" s="25"/>
      <c r="Z30" s="167" t="s">
        <v>91</v>
      </c>
      <c r="AA30" s="165"/>
      <c r="AB30" s="165"/>
      <c r="AC30" s="165"/>
      <c r="AD30" s="165"/>
      <c r="AE30" s="165"/>
      <c r="AF30" s="165"/>
      <c r="AG30" s="165"/>
      <c r="AH30" s="165"/>
      <c r="AI30" s="165"/>
      <c r="AJ30" s="25"/>
      <c r="AN30" s="94"/>
      <c r="AO30" s="399"/>
      <c r="AP30" s="399"/>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row>
    <row r="31" spans="1:107" s="5" customFormat="1" ht="15" customHeight="1">
      <c r="A31" s="25"/>
      <c r="B31" s="776"/>
      <c r="C31" s="777"/>
      <c r="D31" s="777"/>
      <c r="E31" s="777"/>
      <c r="F31" s="777"/>
      <c r="G31" s="777"/>
      <c r="H31" s="777"/>
      <c r="I31" s="777"/>
      <c r="J31" s="777"/>
      <c r="K31" s="777"/>
      <c r="L31" s="778"/>
      <c r="M31" s="802"/>
      <c r="N31" s="803"/>
      <c r="O31" s="803"/>
      <c r="P31" s="803"/>
      <c r="Q31" s="803"/>
      <c r="R31" s="803"/>
      <c r="S31" s="804"/>
      <c r="T31" s="776"/>
      <c r="U31" s="777"/>
      <c r="V31" s="777"/>
      <c r="W31" s="777"/>
      <c r="X31" s="777"/>
      <c r="Y31" s="778"/>
      <c r="Z31" s="773"/>
      <c r="AA31" s="786"/>
      <c r="AB31" s="786"/>
      <c r="AC31" s="786"/>
      <c r="AD31" s="786"/>
      <c r="AE31" s="786"/>
      <c r="AF31" s="786"/>
      <c r="AG31" s="786"/>
      <c r="AH31" s="786"/>
      <c r="AI31" s="787"/>
      <c r="AJ31" s="25"/>
      <c r="AN31" s="98"/>
      <c r="AO31" s="722"/>
      <c r="AP31" s="722"/>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c r="CT31" s="98"/>
      <c r="CU31" s="98"/>
      <c r="CV31" s="98"/>
      <c r="CW31" s="98"/>
      <c r="CX31" s="98"/>
      <c r="CY31" s="98"/>
      <c r="CZ31" s="98"/>
      <c r="DA31" s="98"/>
      <c r="DB31" s="98"/>
      <c r="DC31" s="98"/>
    </row>
    <row r="32" spans="1:107" ht="12.75" customHeight="1">
      <c r="A32" s="25"/>
      <c r="B32" s="541"/>
      <c r="C32" s="26"/>
      <c r="D32" s="26"/>
      <c r="E32" s="196"/>
      <c r="F32" s="25"/>
      <c r="G32" s="196"/>
      <c r="H32" s="196"/>
      <c r="I32" s="25"/>
      <c r="J32" s="25"/>
      <c r="K32" s="25"/>
      <c r="L32" s="25"/>
      <c r="M32" s="25"/>
      <c r="N32" s="25"/>
      <c r="O32" s="25"/>
      <c r="P32" s="25"/>
      <c r="Q32" s="25"/>
      <c r="R32" s="25"/>
      <c r="S32" s="800"/>
      <c r="T32" s="801"/>
      <c r="U32" s="801"/>
      <c r="V32" s="196"/>
      <c r="W32" s="25"/>
      <c r="X32" s="196"/>
      <c r="Y32" s="196"/>
      <c r="Z32" s="196"/>
      <c r="AA32" s="196"/>
      <c r="AB32" s="196"/>
      <c r="AC32" s="196"/>
      <c r="AD32" s="196"/>
      <c r="AE32" s="196"/>
      <c r="AF32" s="196"/>
      <c r="AG32" s="196"/>
      <c r="AH32" s="196"/>
      <c r="AI32" s="196"/>
      <c r="AJ32" s="196"/>
      <c r="AN32" s="94"/>
      <c r="AO32" s="399"/>
      <c r="AP32" s="399"/>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94"/>
      <c r="CD32" s="94"/>
      <c r="CE32" s="94"/>
      <c r="CF32" s="94"/>
      <c r="CG32" s="94"/>
      <c r="CH32" s="94"/>
      <c r="CI32" s="94"/>
      <c r="CJ32" s="94"/>
      <c r="CK32" s="94"/>
      <c r="CL32" s="94"/>
      <c r="CM32" s="94"/>
      <c r="CN32" s="94"/>
      <c r="CO32" s="94"/>
      <c r="CP32" s="94"/>
      <c r="CQ32" s="94"/>
      <c r="CR32" s="94"/>
      <c r="CS32" s="94"/>
      <c r="CT32" s="94"/>
      <c r="CU32" s="94"/>
      <c r="CV32" s="94"/>
      <c r="CW32" s="94"/>
      <c r="CX32" s="94"/>
      <c r="CY32" s="94"/>
      <c r="CZ32" s="94"/>
      <c r="DA32" s="94"/>
      <c r="DB32" s="94"/>
      <c r="DC32" s="94"/>
    </row>
    <row r="33" spans="1:107" ht="15" customHeight="1">
      <c r="A33" s="25"/>
      <c r="B33" s="196" t="s">
        <v>118</v>
      </c>
      <c r="C33" s="25"/>
      <c r="D33" s="25"/>
      <c r="E33" s="173"/>
      <c r="F33" s="173"/>
      <c r="G33" s="173"/>
      <c r="H33" s="173"/>
      <c r="I33" s="173"/>
      <c r="J33" s="25"/>
      <c r="K33" s="25"/>
      <c r="L33" s="25"/>
      <c r="M33" s="370"/>
      <c r="N33" s="40"/>
      <c r="O33" s="40"/>
      <c r="P33" s="40"/>
      <c r="Q33" s="40"/>
      <c r="R33" s="40"/>
      <c r="S33" s="25"/>
      <c r="T33" s="173"/>
      <c r="U33" s="173"/>
      <c r="V33" s="173"/>
      <c r="W33" s="173"/>
      <c r="X33" s="173"/>
      <c r="Y33" s="153"/>
      <c r="Z33" s="153"/>
      <c r="AA33" s="25"/>
      <c r="AB33" s="39" t="s">
        <v>119</v>
      </c>
      <c r="AC33" s="196"/>
      <c r="AD33" s="835" t="s">
        <v>120</v>
      </c>
      <c r="AE33" s="836"/>
      <c r="AF33" s="836"/>
      <c r="AG33" s="837"/>
      <c r="AH33" s="196"/>
      <c r="AI33" s="196"/>
      <c r="AJ33" s="25"/>
      <c r="AK33" s="329" t="b">
        <f>IF($AD33="Customer",TRUE,FALSE)</f>
        <v>0</v>
      </c>
      <c r="AL33" s="329" t="b">
        <f>IF($AD33="Third Party",TRUE,FALSE)</f>
        <v>0</v>
      </c>
      <c r="AN33" s="94"/>
      <c r="AO33" s="399"/>
      <c r="AP33" s="399"/>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94"/>
      <c r="CD33" s="94"/>
      <c r="CE33" s="94"/>
      <c r="CF33" s="94"/>
      <c r="CG33" s="94"/>
      <c r="CH33" s="94"/>
      <c r="CI33" s="94"/>
      <c r="CJ33" s="94"/>
      <c r="CK33" s="94"/>
      <c r="CL33" s="94"/>
      <c r="CM33" s="94"/>
      <c r="CN33" s="94"/>
      <c r="CO33" s="94"/>
      <c r="CP33" s="94"/>
      <c r="CQ33" s="94"/>
      <c r="CR33" s="94"/>
      <c r="CS33" s="94"/>
      <c r="CT33" s="94"/>
      <c r="CU33" s="94"/>
      <c r="CV33" s="94"/>
      <c r="CW33" s="94"/>
      <c r="CX33" s="94"/>
      <c r="CY33" s="94"/>
      <c r="CZ33" s="94"/>
      <c r="DA33" s="94"/>
      <c r="DB33" s="94"/>
      <c r="DC33" s="94"/>
    </row>
    <row r="34" spans="1:107" ht="15" customHeight="1">
      <c r="A34" s="25"/>
      <c r="B34" s="196"/>
      <c r="C34" s="25"/>
      <c r="D34" s="25"/>
      <c r="E34" s="173"/>
      <c r="F34" s="173"/>
      <c r="G34" s="173"/>
      <c r="H34" s="173"/>
      <c r="I34" s="173"/>
      <c r="J34" s="25"/>
      <c r="K34" s="25"/>
      <c r="L34" s="25"/>
      <c r="M34" s="370"/>
      <c r="N34" s="40"/>
      <c r="O34" s="40"/>
      <c r="P34" s="40"/>
      <c r="Q34" s="40"/>
      <c r="R34" s="40"/>
      <c r="S34" s="25"/>
      <c r="T34" s="173"/>
      <c r="U34" s="173"/>
      <c r="V34" s="173"/>
      <c r="W34" s="173"/>
      <c r="X34" s="173"/>
      <c r="Y34" s="153"/>
      <c r="Z34" s="153"/>
      <c r="AA34" s="25"/>
      <c r="AB34" s="39" t="s">
        <v>121</v>
      </c>
      <c r="AC34" s="196"/>
      <c r="AD34" s="835" t="s">
        <v>120</v>
      </c>
      <c r="AE34" s="836"/>
      <c r="AF34" s="836"/>
      <c r="AG34" s="837"/>
      <c r="AH34" s="196"/>
      <c r="AI34" s="196"/>
      <c r="AJ34" s="25"/>
      <c r="AK34" s="329" t="b">
        <f>IF($AD34="Customer",TRUE,FALSE)</f>
        <v>0</v>
      </c>
      <c r="AL34" s="329" t="b">
        <f>IF($AD34="Third Party",TRUE,FALSE)</f>
        <v>0</v>
      </c>
      <c r="AN34" s="94"/>
      <c r="AO34" s="399"/>
      <c r="AP34" s="399"/>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94"/>
      <c r="CD34" s="94"/>
      <c r="CE34" s="94"/>
      <c r="CF34" s="94"/>
      <c r="CG34" s="94"/>
      <c r="CH34" s="94"/>
      <c r="CI34" s="94"/>
      <c r="CJ34" s="94"/>
      <c r="CK34" s="94"/>
      <c r="CL34" s="94"/>
      <c r="CM34" s="94"/>
      <c r="CN34" s="94"/>
      <c r="CO34" s="94"/>
      <c r="CP34" s="94"/>
      <c r="CQ34" s="94"/>
      <c r="CR34" s="94"/>
      <c r="CS34" s="94"/>
      <c r="CT34" s="94"/>
      <c r="CU34" s="94"/>
      <c r="CV34" s="94"/>
      <c r="CW34" s="94"/>
      <c r="CX34" s="94"/>
      <c r="CY34" s="94"/>
      <c r="CZ34" s="94"/>
      <c r="DA34" s="94"/>
      <c r="DB34" s="94"/>
      <c r="DC34" s="94"/>
    </row>
    <row r="35" spans="1:107" ht="10.9" customHeight="1">
      <c r="A35" s="25"/>
      <c r="B35" s="154" t="s">
        <v>122</v>
      </c>
      <c r="C35" s="154"/>
      <c r="D35" s="154"/>
      <c r="E35" s="154"/>
      <c r="F35" s="154"/>
      <c r="G35" s="154"/>
      <c r="H35" s="154"/>
      <c r="I35" s="154"/>
      <c r="J35" s="154"/>
      <c r="K35" s="154"/>
      <c r="L35" s="154"/>
      <c r="M35" s="154"/>
      <c r="N35" s="154"/>
      <c r="O35" s="154"/>
      <c r="P35" s="154"/>
      <c r="Q35" s="154"/>
      <c r="R35" s="154"/>
      <c r="S35" s="25"/>
      <c r="T35" s="157" t="s">
        <v>123</v>
      </c>
      <c r="U35" s="157"/>
      <c r="V35" s="157"/>
      <c r="W35" s="157"/>
      <c r="X35" s="157"/>
      <c r="Y35" s="157"/>
      <c r="Z35" s="157"/>
      <c r="AA35" s="25"/>
      <c r="AB35" s="178"/>
      <c r="AC35" s="196"/>
      <c r="AD35" s="196"/>
      <c r="AE35" s="196"/>
      <c r="AF35" s="196"/>
      <c r="AG35" s="196"/>
      <c r="AH35" s="196"/>
      <c r="AI35" s="196"/>
      <c r="AJ35" s="25"/>
      <c r="AN35" s="94"/>
      <c r="AO35" s="399"/>
      <c r="AP35" s="399"/>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4"/>
      <c r="CZ35" s="94"/>
      <c r="DA35" s="94"/>
      <c r="DB35" s="94"/>
      <c r="DC35" s="94"/>
    </row>
    <row r="36" spans="1:107" s="5" customFormat="1" ht="15" customHeight="1">
      <c r="A36" s="25"/>
      <c r="B36" s="773"/>
      <c r="C36" s="786"/>
      <c r="D36" s="786"/>
      <c r="E36" s="786"/>
      <c r="F36" s="786"/>
      <c r="G36" s="786"/>
      <c r="H36" s="786"/>
      <c r="I36" s="786"/>
      <c r="J36" s="786"/>
      <c r="K36" s="786"/>
      <c r="L36" s="786"/>
      <c r="M36" s="786"/>
      <c r="N36" s="786"/>
      <c r="O36" s="786"/>
      <c r="P36" s="786"/>
      <c r="Q36" s="786"/>
      <c r="R36" s="786"/>
      <c r="S36" s="787"/>
      <c r="T36" s="773"/>
      <c r="U36" s="786"/>
      <c r="V36" s="786"/>
      <c r="W36" s="786"/>
      <c r="X36" s="786"/>
      <c r="Y36" s="786"/>
      <c r="Z36" s="786"/>
      <c r="AA36" s="786"/>
      <c r="AB36" s="786"/>
      <c r="AC36" s="786"/>
      <c r="AD36" s="786"/>
      <c r="AE36" s="786"/>
      <c r="AF36" s="786"/>
      <c r="AG36" s="786"/>
      <c r="AH36" s="786"/>
      <c r="AI36" s="787"/>
      <c r="AJ36" s="25"/>
      <c r="AN36" s="98"/>
      <c r="AO36" s="722"/>
      <c r="AP36" s="722"/>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row>
    <row r="37" spans="1:107" ht="12.75" customHeight="1">
      <c r="A37" s="25"/>
      <c r="B37" s="157" t="s">
        <v>124</v>
      </c>
      <c r="C37" s="157"/>
      <c r="D37" s="157"/>
      <c r="E37" s="157"/>
      <c r="F37" s="157"/>
      <c r="G37" s="157"/>
      <c r="H37" s="157"/>
      <c r="I37" s="157"/>
      <c r="J37" s="157"/>
      <c r="K37" s="157"/>
      <c r="L37" s="157"/>
      <c r="M37" s="157"/>
      <c r="N37" s="157"/>
      <c r="O37" s="157"/>
      <c r="P37" s="157"/>
      <c r="Q37" s="157"/>
      <c r="R37" s="157"/>
      <c r="S37" s="157"/>
      <c r="T37" s="167" t="s">
        <v>82</v>
      </c>
      <c r="U37" s="95"/>
      <c r="V37" s="95"/>
      <c r="W37" s="95"/>
      <c r="X37" s="95"/>
      <c r="Y37" s="95"/>
      <c r="Z37" s="25"/>
      <c r="AA37" s="25"/>
      <c r="AB37" s="25"/>
      <c r="AC37" s="25"/>
      <c r="AD37" s="157" t="s">
        <v>107</v>
      </c>
      <c r="AE37" s="200"/>
      <c r="AF37" s="157" t="s">
        <v>83</v>
      </c>
      <c r="AG37" s="200"/>
      <c r="AH37" s="168"/>
      <c r="AI37" s="157"/>
      <c r="AJ37" s="25"/>
      <c r="AN37" s="94"/>
      <c r="AO37" s="399"/>
      <c r="AP37" s="399"/>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row>
    <row r="38" spans="1:107" s="5" customFormat="1" ht="15" customHeight="1">
      <c r="A38" s="25"/>
      <c r="B38" s="773"/>
      <c r="C38" s="786"/>
      <c r="D38" s="786"/>
      <c r="E38" s="786"/>
      <c r="F38" s="786"/>
      <c r="G38" s="786"/>
      <c r="H38" s="786"/>
      <c r="I38" s="786"/>
      <c r="J38" s="786"/>
      <c r="K38" s="786"/>
      <c r="L38" s="786"/>
      <c r="M38" s="786"/>
      <c r="N38" s="786"/>
      <c r="O38" s="786"/>
      <c r="P38" s="786"/>
      <c r="Q38" s="786"/>
      <c r="R38" s="786"/>
      <c r="S38" s="787"/>
      <c r="T38" s="773"/>
      <c r="U38" s="786"/>
      <c r="V38" s="786"/>
      <c r="W38" s="786"/>
      <c r="X38" s="786"/>
      <c r="Y38" s="786"/>
      <c r="Z38" s="786"/>
      <c r="AA38" s="786"/>
      <c r="AB38" s="786"/>
      <c r="AC38" s="787"/>
      <c r="AD38" s="788"/>
      <c r="AE38" s="790"/>
      <c r="AF38" s="788"/>
      <c r="AG38" s="789"/>
      <c r="AH38" s="789"/>
      <c r="AI38" s="790"/>
      <c r="AJ38" s="25"/>
      <c r="AL38" s="1"/>
      <c r="AN38" s="98"/>
      <c r="AO38" s="722"/>
      <c r="AP38" s="722"/>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98"/>
      <c r="CO38" s="98"/>
      <c r="CP38" s="98"/>
      <c r="CQ38" s="98"/>
      <c r="CR38" s="98"/>
      <c r="CS38" s="98"/>
      <c r="CT38" s="98"/>
      <c r="CU38" s="98"/>
      <c r="CV38" s="98"/>
      <c r="CW38" s="98"/>
      <c r="CX38" s="98"/>
      <c r="CY38" s="98"/>
      <c r="CZ38" s="98"/>
      <c r="DA38" s="98"/>
      <c r="DB38" s="98"/>
      <c r="DC38" s="98"/>
    </row>
    <row r="39" spans="1:107" ht="12.75" customHeight="1">
      <c r="A39" s="25"/>
      <c r="B39" s="157" t="s">
        <v>114</v>
      </c>
      <c r="C39" s="25"/>
      <c r="D39" s="25"/>
      <c r="E39" s="25"/>
      <c r="F39" s="25"/>
      <c r="G39" s="25"/>
      <c r="H39" s="25"/>
      <c r="I39" s="25"/>
      <c r="J39" s="25"/>
      <c r="K39" s="25"/>
      <c r="L39" s="25"/>
      <c r="M39" s="157" t="s">
        <v>125</v>
      </c>
      <c r="N39" s="157"/>
      <c r="O39" s="157"/>
      <c r="P39" s="157"/>
      <c r="Q39" s="25"/>
      <c r="R39" s="25"/>
      <c r="S39" s="25"/>
      <c r="T39" s="165" t="s">
        <v>90</v>
      </c>
      <c r="U39" s="165"/>
      <c r="V39" s="165"/>
      <c r="W39" s="165"/>
      <c r="X39" s="165"/>
      <c r="Y39" s="165"/>
      <c r="Z39" s="176" t="s">
        <v>91</v>
      </c>
      <c r="AA39" s="176"/>
      <c r="AB39" s="176"/>
      <c r="AC39" s="176"/>
      <c r="AD39" s="176"/>
      <c r="AE39" s="176"/>
      <c r="AF39" s="157"/>
      <c r="AG39" s="157"/>
      <c r="AH39" s="168"/>
      <c r="AI39" s="157"/>
      <c r="AJ39" s="25"/>
      <c r="AN39" s="94"/>
      <c r="AO39" s="399"/>
      <c r="AP39" s="399"/>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row>
    <row r="40" spans="1:107" s="5" customFormat="1" ht="15" customHeight="1">
      <c r="A40" s="25"/>
      <c r="B40" s="776"/>
      <c r="C40" s="777"/>
      <c r="D40" s="777"/>
      <c r="E40" s="777"/>
      <c r="F40" s="777"/>
      <c r="G40" s="777"/>
      <c r="H40" s="777"/>
      <c r="I40" s="777"/>
      <c r="J40" s="777"/>
      <c r="K40" s="777"/>
      <c r="L40" s="778"/>
      <c r="M40" s="776"/>
      <c r="N40" s="777"/>
      <c r="O40" s="777"/>
      <c r="P40" s="777"/>
      <c r="Q40" s="777"/>
      <c r="R40" s="777"/>
      <c r="S40" s="778"/>
      <c r="T40" s="776"/>
      <c r="U40" s="777"/>
      <c r="V40" s="777"/>
      <c r="W40" s="777"/>
      <c r="X40" s="777"/>
      <c r="Y40" s="778"/>
      <c r="Z40" s="794"/>
      <c r="AA40" s="786"/>
      <c r="AB40" s="786"/>
      <c r="AC40" s="786"/>
      <c r="AD40" s="786"/>
      <c r="AE40" s="786"/>
      <c r="AF40" s="786"/>
      <c r="AG40" s="786"/>
      <c r="AH40" s="786"/>
      <c r="AI40" s="787"/>
      <c r="AJ40" s="25"/>
      <c r="AN40" s="98"/>
      <c r="AO40" s="722"/>
      <c r="AP40" s="722"/>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c r="CC40" s="98"/>
      <c r="CD40" s="98"/>
      <c r="CE40" s="98"/>
      <c r="CF40" s="98"/>
      <c r="CG40" s="98"/>
      <c r="CH40" s="98"/>
      <c r="CI40" s="98"/>
      <c r="CJ40" s="98"/>
      <c r="CK40" s="98"/>
      <c r="CL40" s="98"/>
      <c r="CM40" s="98"/>
      <c r="CN40" s="98"/>
      <c r="CO40" s="98"/>
      <c r="CP40" s="98"/>
      <c r="CQ40" s="98"/>
      <c r="CR40" s="98"/>
      <c r="CS40" s="98"/>
      <c r="CT40" s="98"/>
      <c r="CU40" s="98"/>
      <c r="CV40" s="98"/>
      <c r="CW40" s="98"/>
      <c r="CX40" s="98"/>
      <c r="CY40" s="98"/>
      <c r="CZ40" s="98"/>
      <c r="DA40" s="98"/>
      <c r="DB40" s="98"/>
      <c r="DC40" s="98"/>
    </row>
    <row r="41" spans="1:107" ht="12.75" customHeight="1">
      <c r="A41" s="25"/>
      <c r="B41" s="154" t="s">
        <v>126</v>
      </c>
      <c r="C41" s="203"/>
      <c r="D41" s="25"/>
      <c r="E41" s="25"/>
      <c r="F41" s="25"/>
      <c r="G41" s="25"/>
      <c r="H41" s="25"/>
      <c r="I41" s="25"/>
      <c r="J41" s="25"/>
      <c r="K41" s="25"/>
      <c r="L41" s="25"/>
      <c r="M41" s="25"/>
      <c r="N41" s="25"/>
      <c r="O41" s="25"/>
      <c r="P41" s="25"/>
      <c r="Q41" s="25"/>
      <c r="R41" s="25"/>
      <c r="S41" s="25"/>
      <c r="T41" s="175" t="s">
        <v>127</v>
      </c>
      <c r="U41" s="175"/>
      <c r="V41" s="175"/>
      <c r="W41" s="175"/>
      <c r="X41" s="175"/>
      <c r="Y41" s="175"/>
      <c r="Z41" s="154"/>
      <c r="AA41" s="154"/>
      <c r="AB41" s="154"/>
      <c r="AC41" s="154"/>
      <c r="AD41" s="154"/>
      <c r="AE41" s="200"/>
      <c r="AF41" s="200"/>
      <c r="AG41" s="25"/>
      <c r="AH41" s="168"/>
      <c r="AI41" s="157"/>
      <c r="AJ41" s="25"/>
      <c r="AN41" s="94"/>
      <c r="AO41" s="399"/>
      <c r="AP41" s="399"/>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row>
    <row r="42" spans="1:107" s="5" customFormat="1" ht="15" customHeight="1">
      <c r="A42" s="25"/>
      <c r="B42" s="773"/>
      <c r="C42" s="786"/>
      <c r="D42" s="786"/>
      <c r="E42" s="786"/>
      <c r="F42" s="786"/>
      <c r="G42" s="786"/>
      <c r="H42" s="786"/>
      <c r="I42" s="786"/>
      <c r="J42" s="786"/>
      <c r="K42" s="786"/>
      <c r="L42" s="786"/>
      <c r="M42" s="786"/>
      <c r="N42" s="786"/>
      <c r="O42" s="786"/>
      <c r="P42" s="786"/>
      <c r="Q42" s="786"/>
      <c r="R42" s="786"/>
      <c r="S42" s="787"/>
      <c r="T42" s="773"/>
      <c r="U42" s="786"/>
      <c r="V42" s="786"/>
      <c r="W42" s="786"/>
      <c r="X42" s="786"/>
      <c r="Y42" s="786"/>
      <c r="Z42" s="786"/>
      <c r="AA42" s="786"/>
      <c r="AB42" s="786"/>
      <c r="AC42" s="786"/>
      <c r="AD42" s="786"/>
      <c r="AE42" s="786"/>
      <c r="AF42" s="786"/>
      <c r="AG42" s="786"/>
      <c r="AH42" s="786"/>
      <c r="AI42" s="787"/>
      <c r="AJ42" s="25"/>
      <c r="AN42" s="98"/>
      <c r="AO42" s="722"/>
      <c r="AP42" s="722"/>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c r="CT42" s="98"/>
      <c r="CU42" s="98"/>
      <c r="CV42" s="98"/>
      <c r="CW42" s="98"/>
      <c r="CX42" s="98"/>
      <c r="CY42" s="98"/>
      <c r="CZ42" s="98"/>
      <c r="DA42" s="98"/>
      <c r="DB42" s="98"/>
      <c r="DC42" s="98"/>
    </row>
    <row r="43" spans="1:107" ht="12.75" customHeight="1">
      <c r="A43" s="25"/>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57"/>
      <c r="AJ43" s="25"/>
      <c r="AN43" s="94"/>
      <c r="AO43" s="722"/>
      <c r="AP43" s="399"/>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row>
    <row r="44" spans="1:107" s="5" customFormat="1" ht="15" customHeight="1">
      <c r="A44" s="25"/>
      <c r="B44" s="196" t="s">
        <v>128</v>
      </c>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5"/>
      <c r="AN44" s="98"/>
      <c r="AO44" s="98"/>
      <c r="AP44" s="722"/>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c r="CZ44" s="98"/>
      <c r="DA44" s="98"/>
      <c r="DB44" s="98"/>
      <c r="DC44" s="98"/>
    </row>
    <row r="45" spans="1:107" ht="12.75" customHeight="1">
      <c r="A45" s="25"/>
      <c r="B45" s="177" t="s">
        <v>129</v>
      </c>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840" t="s">
        <v>120</v>
      </c>
      <c r="AA45" s="841"/>
      <c r="AB45" s="841"/>
      <c r="AC45" s="842"/>
      <c r="AD45" s="202"/>
      <c r="AE45" s="202"/>
      <c r="AF45" s="202"/>
      <c r="AG45" s="202"/>
      <c r="AH45" s="202"/>
      <c r="AI45" s="202"/>
      <c r="AJ45" s="25"/>
      <c r="AK45" s="329" t="b">
        <f>IF($Z45="Yes",TRUE,FALSE)</f>
        <v>0</v>
      </c>
      <c r="AL45" s="329" t="b">
        <f>IF($Z45="No",TRUE,FALSE)</f>
        <v>0</v>
      </c>
      <c r="AN45" s="94"/>
      <c r="AO45" s="399"/>
      <c r="AP45" s="399"/>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row>
    <row r="46" spans="1:107" s="5" customFormat="1" ht="15" customHeight="1">
      <c r="A46" s="25"/>
      <c r="B46" s="202"/>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5"/>
      <c r="AN46" s="98"/>
      <c r="AO46" s="722"/>
      <c r="AP46" s="722"/>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4"/>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row>
    <row r="47" spans="1:107" ht="12.75" customHeight="1">
      <c r="A47" s="25"/>
      <c r="B47" s="196" t="s">
        <v>130</v>
      </c>
      <c r="C47" s="25"/>
      <c r="D47" s="25"/>
      <c r="E47" s="173"/>
      <c r="F47" s="173"/>
      <c r="G47" s="173"/>
      <c r="H47" s="173"/>
      <c r="I47" s="173"/>
      <c r="J47" s="25"/>
      <c r="K47" s="25"/>
      <c r="L47" s="25"/>
      <c r="M47" s="370"/>
      <c r="N47" s="159"/>
      <c r="O47" s="39"/>
      <c r="P47" s="157"/>
      <c r="Q47" s="159"/>
      <c r="R47" s="40"/>
      <c r="S47" s="25"/>
      <c r="T47" s="173"/>
      <c r="U47" s="173"/>
      <c r="V47" s="173"/>
      <c r="W47" s="173"/>
      <c r="X47" s="173"/>
      <c r="Y47" s="153"/>
      <c r="Z47" s="153"/>
      <c r="AA47" s="25"/>
      <c r="AB47" s="168"/>
      <c r="AC47" s="39"/>
      <c r="AD47" s="168"/>
      <c r="AE47" s="157"/>
      <c r="AF47" s="157"/>
      <c r="AG47" s="157"/>
      <c r="AH47" s="43"/>
      <c r="AI47" s="43"/>
      <c r="AJ47" s="25"/>
      <c r="AN47" s="94"/>
      <c r="AO47" s="399"/>
      <c r="AP47" s="399"/>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row>
    <row r="48" spans="1:107" s="5" customFormat="1" ht="15" customHeight="1">
      <c r="A48" s="25"/>
      <c r="B48" s="154" t="s">
        <v>131</v>
      </c>
      <c r="C48" s="219"/>
      <c r="D48" s="219"/>
      <c r="E48" s="219"/>
      <c r="F48" s="219"/>
      <c r="G48" s="219"/>
      <c r="H48" s="219"/>
      <c r="I48" s="219"/>
      <c r="J48" s="219"/>
      <c r="K48" s="219"/>
      <c r="L48" s="219"/>
      <c r="M48" s="219"/>
      <c r="N48" s="219"/>
      <c r="O48" s="219"/>
      <c r="P48" s="219"/>
      <c r="Q48" s="219"/>
      <c r="R48" s="219"/>
      <c r="S48" s="220"/>
      <c r="T48" s="332" t="s">
        <v>123</v>
      </c>
      <c r="U48" s="157"/>
      <c r="V48" s="157"/>
      <c r="W48" s="157"/>
      <c r="X48" s="157"/>
      <c r="Y48" s="157"/>
      <c r="Z48" s="157"/>
      <c r="AA48" s="157"/>
      <c r="AB48" s="157"/>
      <c r="AC48" s="157"/>
      <c r="AD48" s="157"/>
      <c r="AE48" s="157"/>
      <c r="AF48" s="157"/>
      <c r="AG48" s="157"/>
      <c r="AH48" s="168"/>
      <c r="AI48" s="157"/>
      <c r="AJ48" s="25"/>
      <c r="AN48" s="98"/>
      <c r="AO48" s="722"/>
      <c r="AP48" s="722"/>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98"/>
      <c r="CG48" s="98"/>
      <c r="CH48" s="98"/>
      <c r="CI48" s="98"/>
      <c r="CJ48" s="98"/>
      <c r="CK48" s="98"/>
      <c r="CL48" s="98"/>
      <c r="CM48" s="98"/>
      <c r="CN48" s="98"/>
      <c r="CO48" s="98"/>
      <c r="CP48" s="98"/>
      <c r="CQ48" s="98"/>
      <c r="CR48" s="98"/>
      <c r="CS48" s="98"/>
      <c r="CT48" s="98"/>
      <c r="CU48" s="98"/>
      <c r="CV48" s="98"/>
      <c r="CW48" s="98"/>
      <c r="CX48" s="98"/>
      <c r="CY48" s="98"/>
      <c r="CZ48" s="98"/>
      <c r="DA48" s="98"/>
      <c r="DB48" s="98"/>
      <c r="DC48" s="98"/>
    </row>
    <row r="49" spans="1:107" ht="12.75" customHeight="1">
      <c r="A49" s="25"/>
      <c r="B49" s="773"/>
      <c r="C49" s="786"/>
      <c r="D49" s="786"/>
      <c r="E49" s="786"/>
      <c r="F49" s="786"/>
      <c r="G49" s="786"/>
      <c r="H49" s="786"/>
      <c r="I49" s="786"/>
      <c r="J49" s="786"/>
      <c r="K49" s="786"/>
      <c r="L49" s="786"/>
      <c r="M49" s="786"/>
      <c r="N49" s="786"/>
      <c r="O49" s="786"/>
      <c r="P49" s="786"/>
      <c r="Q49" s="786"/>
      <c r="R49" s="786"/>
      <c r="S49" s="787"/>
      <c r="T49" s="773"/>
      <c r="U49" s="786"/>
      <c r="V49" s="786"/>
      <c r="W49" s="786"/>
      <c r="X49" s="786"/>
      <c r="Y49" s="786"/>
      <c r="Z49" s="786"/>
      <c r="AA49" s="786"/>
      <c r="AB49" s="786"/>
      <c r="AC49" s="786"/>
      <c r="AD49" s="786"/>
      <c r="AE49" s="786"/>
      <c r="AF49" s="786"/>
      <c r="AG49" s="786"/>
      <c r="AH49" s="786"/>
      <c r="AI49" s="787"/>
      <c r="AJ49" s="25"/>
      <c r="AN49" s="94"/>
      <c r="AO49" s="399"/>
      <c r="AP49" s="399"/>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8"/>
      <c r="CZ49" s="98"/>
      <c r="DA49" s="98"/>
      <c r="DB49" s="98"/>
      <c r="DC49" s="98"/>
    </row>
    <row r="50" spans="1:107" s="5" customFormat="1" ht="15" customHeight="1">
      <c r="A50" s="25"/>
      <c r="B50" s="154" t="s">
        <v>132</v>
      </c>
      <c r="C50" s="219"/>
      <c r="D50" s="219"/>
      <c r="E50" s="219"/>
      <c r="F50" s="219"/>
      <c r="G50" s="219"/>
      <c r="H50" s="219"/>
      <c r="I50" s="219"/>
      <c r="J50" s="219"/>
      <c r="K50" s="219"/>
      <c r="L50" s="219"/>
      <c r="M50" s="219"/>
      <c r="N50" s="219"/>
      <c r="O50" s="219"/>
      <c r="P50" s="219"/>
      <c r="Q50" s="219"/>
      <c r="R50" s="219"/>
      <c r="S50" s="219"/>
      <c r="T50" s="164" t="s">
        <v>82</v>
      </c>
      <c r="U50" s="221"/>
      <c r="V50" s="221"/>
      <c r="W50" s="221"/>
      <c r="X50" s="221"/>
      <c r="Y50" s="221"/>
      <c r="Z50" s="220"/>
      <c r="AA50" s="220"/>
      <c r="AB50" s="220"/>
      <c r="AC50" s="220"/>
      <c r="AD50" s="154" t="s">
        <v>107</v>
      </c>
      <c r="AE50" s="222"/>
      <c r="AF50" s="154" t="s">
        <v>83</v>
      </c>
      <c r="AG50" s="200"/>
      <c r="AH50" s="168"/>
      <c r="AI50" s="157"/>
      <c r="AJ50" s="25"/>
      <c r="AN50" s="98"/>
      <c r="AO50" s="722"/>
      <c r="AP50" s="722"/>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98"/>
      <c r="CV50" s="98"/>
      <c r="CW50" s="98"/>
      <c r="CX50" s="98"/>
      <c r="CY50" s="98"/>
      <c r="CZ50" s="98"/>
      <c r="DA50" s="98"/>
      <c r="DB50" s="98"/>
      <c r="DC50" s="98"/>
    </row>
    <row r="51" spans="1:107" s="5" customFormat="1">
      <c r="A51" s="25"/>
      <c r="B51" s="773"/>
      <c r="C51" s="786"/>
      <c r="D51" s="786"/>
      <c r="E51" s="786"/>
      <c r="F51" s="786"/>
      <c r="G51" s="786"/>
      <c r="H51" s="786"/>
      <c r="I51" s="786"/>
      <c r="J51" s="786"/>
      <c r="K51" s="786"/>
      <c r="L51" s="786"/>
      <c r="M51" s="786"/>
      <c r="N51" s="786"/>
      <c r="O51" s="786"/>
      <c r="P51" s="786"/>
      <c r="Q51" s="786"/>
      <c r="R51" s="786"/>
      <c r="S51" s="787"/>
      <c r="T51" s="773"/>
      <c r="U51" s="786"/>
      <c r="V51" s="786"/>
      <c r="W51" s="786"/>
      <c r="X51" s="786"/>
      <c r="Y51" s="786"/>
      <c r="Z51" s="786"/>
      <c r="AA51" s="786"/>
      <c r="AB51" s="786"/>
      <c r="AC51" s="787"/>
      <c r="AD51" s="788"/>
      <c r="AE51" s="790"/>
      <c r="AF51" s="788"/>
      <c r="AG51" s="789"/>
      <c r="AH51" s="789"/>
      <c r="AI51" s="790"/>
      <c r="AJ51" s="25"/>
      <c r="AK51" s="1"/>
      <c r="AL51" s="1"/>
      <c r="AM51" s="1"/>
      <c r="AN51" s="94"/>
      <c r="AO51" s="399"/>
      <c r="AP51" s="399"/>
      <c r="AQ51" s="94"/>
      <c r="AR51" s="94"/>
      <c r="AS51" s="94"/>
      <c r="AT51" s="94"/>
      <c r="AU51" s="94"/>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8"/>
      <c r="CU51" s="98"/>
      <c r="CV51" s="98"/>
      <c r="CW51" s="98"/>
      <c r="CX51" s="98"/>
      <c r="CY51" s="98"/>
      <c r="CZ51" s="98"/>
      <c r="DA51" s="98"/>
      <c r="DB51" s="98"/>
      <c r="DC51" s="98"/>
    </row>
    <row r="52" spans="1:107">
      <c r="A52" s="25"/>
      <c r="B52" s="154" t="s">
        <v>114</v>
      </c>
      <c r="C52" s="220"/>
      <c r="D52" s="220"/>
      <c r="E52" s="220"/>
      <c r="F52" s="220"/>
      <c r="G52" s="220"/>
      <c r="H52" s="220"/>
      <c r="I52" s="220"/>
      <c r="J52" s="220"/>
      <c r="K52" s="220"/>
      <c r="L52" s="220"/>
      <c r="M52" s="332" t="s">
        <v>125</v>
      </c>
      <c r="N52" s="219"/>
      <c r="O52" s="219"/>
      <c r="P52" s="219"/>
      <c r="Q52" s="220"/>
      <c r="R52" s="220"/>
      <c r="S52" s="220"/>
      <c r="T52" s="162" t="s">
        <v>90</v>
      </c>
      <c r="U52" s="223"/>
      <c r="V52" s="223"/>
      <c r="W52" s="223"/>
      <c r="X52" s="223"/>
      <c r="Y52" s="223"/>
      <c r="Z52" s="175" t="s">
        <v>91</v>
      </c>
      <c r="AA52" s="224"/>
      <c r="AB52" s="224"/>
      <c r="AC52" s="224"/>
      <c r="AD52" s="224"/>
      <c r="AE52" s="176"/>
      <c r="AF52" s="157"/>
      <c r="AG52" s="157"/>
      <c r="AH52" s="168"/>
      <c r="AI52" s="157"/>
      <c r="AJ52" s="25"/>
      <c r="AN52" s="94"/>
      <c r="AO52" s="399"/>
      <c r="AP52" s="399"/>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8"/>
      <c r="CZ52" s="98"/>
      <c r="DA52" s="98"/>
      <c r="DB52" s="98"/>
      <c r="DC52" s="98"/>
    </row>
    <row r="53" spans="1:107" ht="12.75" customHeight="1">
      <c r="A53" s="25"/>
      <c r="B53" s="776"/>
      <c r="C53" s="777"/>
      <c r="D53" s="777"/>
      <c r="E53" s="777"/>
      <c r="F53" s="777"/>
      <c r="G53" s="777"/>
      <c r="H53" s="777"/>
      <c r="I53" s="777"/>
      <c r="J53" s="777"/>
      <c r="K53" s="777"/>
      <c r="L53" s="778"/>
      <c r="M53" s="776"/>
      <c r="N53" s="777"/>
      <c r="O53" s="777"/>
      <c r="P53" s="777"/>
      <c r="Q53" s="777"/>
      <c r="R53" s="777"/>
      <c r="S53" s="778"/>
      <c r="T53" s="776"/>
      <c r="U53" s="777"/>
      <c r="V53" s="777"/>
      <c r="W53" s="777"/>
      <c r="X53" s="777"/>
      <c r="Y53" s="778"/>
      <c r="Z53" s="794"/>
      <c r="AA53" s="786"/>
      <c r="AB53" s="786"/>
      <c r="AC53" s="786"/>
      <c r="AD53" s="786"/>
      <c r="AE53" s="786"/>
      <c r="AF53" s="786"/>
      <c r="AG53" s="786"/>
      <c r="AH53" s="786"/>
      <c r="AI53" s="787"/>
      <c r="AJ53" s="25"/>
      <c r="AN53" s="94"/>
      <c r="AO53" s="399"/>
      <c r="AP53" s="399"/>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94"/>
      <c r="CD53" s="94"/>
      <c r="CE53" s="94"/>
      <c r="CF53" s="94"/>
      <c r="CG53" s="94"/>
      <c r="CH53" s="94"/>
      <c r="CI53" s="94"/>
      <c r="CJ53" s="94"/>
      <c r="CK53" s="94"/>
      <c r="CL53" s="94"/>
      <c r="CM53" s="94"/>
      <c r="CN53" s="94"/>
      <c r="CO53" s="94"/>
      <c r="CP53" s="94"/>
      <c r="CQ53" s="94"/>
      <c r="CR53" s="94"/>
      <c r="CS53" s="94"/>
      <c r="CT53" s="94"/>
      <c r="CU53" s="94"/>
      <c r="CV53" s="94"/>
      <c r="CW53" s="94"/>
      <c r="CX53" s="94"/>
      <c r="CY53" s="98"/>
      <c r="CZ53" s="98"/>
      <c r="DA53" s="98"/>
      <c r="DB53" s="98"/>
      <c r="DC53" s="98"/>
    </row>
    <row r="54" spans="1:107" s="5" customFormat="1" ht="15" customHeight="1">
      <c r="A54" s="25"/>
      <c r="B54" s="154" t="s">
        <v>133</v>
      </c>
      <c r="C54" s="220"/>
      <c r="D54" s="220"/>
      <c r="E54" s="220"/>
      <c r="F54" s="220"/>
      <c r="G54" s="220"/>
      <c r="H54" s="220"/>
      <c r="I54" s="220"/>
      <c r="J54" s="220"/>
      <c r="K54" s="220"/>
      <c r="L54" s="220"/>
      <c r="M54" s="220"/>
      <c r="N54" s="220"/>
      <c r="O54" s="220"/>
      <c r="P54" s="220"/>
      <c r="Q54" s="220"/>
      <c r="R54" s="220"/>
      <c r="S54" s="220"/>
      <c r="T54" s="175" t="s">
        <v>134</v>
      </c>
      <c r="U54" s="224"/>
      <c r="V54" s="224"/>
      <c r="W54" s="224"/>
      <c r="X54" s="224"/>
      <c r="Y54" s="175"/>
      <c r="Z54" s="154"/>
      <c r="AA54" s="154"/>
      <c r="AB54" s="154"/>
      <c r="AC54" s="154"/>
      <c r="AD54" s="154"/>
      <c r="AE54" s="200"/>
      <c r="AF54" s="200"/>
      <c r="AG54" s="25"/>
      <c r="AH54" s="168"/>
      <c r="AI54" s="157"/>
      <c r="AJ54" s="25"/>
      <c r="AN54" s="98"/>
      <c r="AO54" s="722"/>
      <c r="AP54" s="722"/>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c r="CU54" s="98"/>
      <c r="CV54" s="98"/>
      <c r="CW54" s="98"/>
      <c r="CX54" s="98"/>
      <c r="CY54" s="98"/>
      <c r="CZ54" s="98"/>
      <c r="DA54" s="98"/>
      <c r="DB54" s="98"/>
      <c r="DC54" s="98"/>
    </row>
    <row r="55" spans="1:107" ht="12.75" customHeight="1">
      <c r="A55" s="25"/>
      <c r="B55" s="773"/>
      <c r="C55" s="786"/>
      <c r="D55" s="786"/>
      <c r="E55" s="786"/>
      <c r="F55" s="786"/>
      <c r="G55" s="786"/>
      <c r="H55" s="786"/>
      <c r="I55" s="786"/>
      <c r="J55" s="786"/>
      <c r="K55" s="786"/>
      <c r="L55" s="786"/>
      <c r="M55" s="786"/>
      <c r="N55" s="786"/>
      <c r="O55" s="786"/>
      <c r="P55" s="786"/>
      <c r="Q55" s="786"/>
      <c r="R55" s="786"/>
      <c r="S55" s="787"/>
      <c r="T55" s="773"/>
      <c r="U55" s="786"/>
      <c r="V55" s="786"/>
      <c r="W55" s="786"/>
      <c r="X55" s="786"/>
      <c r="Y55" s="786"/>
      <c r="Z55" s="786"/>
      <c r="AA55" s="786"/>
      <c r="AB55" s="786"/>
      <c r="AC55" s="786"/>
      <c r="AD55" s="786"/>
      <c r="AE55" s="786"/>
      <c r="AF55" s="786"/>
      <c r="AG55" s="786"/>
      <c r="AH55" s="786"/>
      <c r="AI55" s="787"/>
      <c r="AJ55" s="25"/>
      <c r="AN55" s="94"/>
      <c r="AO55" s="399"/>
      <c r="AP55" s="399"/>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94"/>
      <c r="CD55" s="94"/>
      <c r="CE55" s="94"/>
      <c r="CF55" s="94"/>
      <c r="CG55" s="94"/>
      <c r="CH55" s="94"/>
      <c r="CI55" s="94"/>
      <c r="CJ55" s="94"/>
      <c r="CK55" s="94"/>
      <c r="CL55" s="94"/>
      <c r="CM55" s="94"/>
      <c r="CN55" s="94"/>
      <c r="CO55" s="94"/>
      <c r="CP55" s="94"/>
      <c r="CQ55" s="94"/>
      <c r="CR55" s="94"/>
      <c r="CS55" s="94"/>
      <c r="CT55" s="94"/>
      <c r="CU55" s="94"/>
      <c r="CV55" s="94"/>
      <c r="CW55" s="94"/>
      <c r="CX55" s="94"/>
      <c r="CY55" s="94"/>
      <c r="CZ55" s="94"/>
      <c r="DA55" s="94"/>
      <c r="DB55" s="94"/>
      <c r="DC55" s="94"/>
    </row>
    <row r="56" spans="1:107" s="5" customFormat="1" ht="15" customHeight="1">
      <c r="A56" s="25"/>
      <c r="B56" s="159"/>
      <c r="C56" s="159"/>
      <c r="D56" s="159"/>
      <c r="E56" s="173"/>
      <c r="F56" s="173"/>
      <c r="G56" s="173"/>
      <c r="H56" s="173"/>
      <c r="I56" s="25"/>
      <c r="J56" s="25"/>
      <c r="K56" s="25"/>
      <c r="L56" s="25"/>
      <c r="M56" s="25"/>
      <c r="N56" s="25"/>
      <c r="O56" s="25"/>
      <c r="P56" s="173"/>
      <c r="Q56" s="173"/>
      <c r="R56" s="173"/>
      <c r="S56" s="173"/>
      <c r="T56" s="25"/>
      <c r="U56" s="25"/>
      <c r="V56" s="25"/>
      <c r="W56" s="25"/>
      <c r="X56" s="25"/>
      <c r="Y56" s="168"/>
      <c r="Z56" s="168"/>
      <c r="AA56" s="168"/>
      <c r="AB56" s="168"/>
      <c r="AC56" s="168"/>
      <c r="AD56" s="168"/>
      <c r="AE56" s="168"/>
      <c r="AF56" s="168"/>
      <c r="AG56" s="168"/>
      <c r="AH56" s="168"/>
      <c r="AI56" s="157"/>
      <c r="AJ56" s="25"/>
      <c r="AN56" s="98"/>
      <c r="AO56" s="722"/>
      <c r="AP56" s="722"/>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8"/>
      <c r="CU56" s="98"/>
      <c r="CV56" s="98"/>
      <c r="CW56" s="98"/>
      <c r="CX56" s="98"/>
      <c r="CY56" s="98"/>
      <c r="CZ56" s="98"/>
      <c r="DA56" s="98"/>
      <c r="DB56" s="98"/>
      <c r="DC56" s="98"/>
    </row>
    <row r="57" spans="1:107" s="5" customFormat="1" ht="15" customHeight="1">
      <c r="A57" s="25"/>
      <c r="B57" s="615" t="s">
        <v>135</v>
      </c>
      <c r="C57" s="159"/>
      <c r="D57" s="159"/>
      <c r="E57" s="173"/>
      <c r="F57" s="173"/>
      <c r="G57" s="173"/>
      <c r="H57" s="173"/>
      <c r="I57" s="25"/>
      <c r="J57" s="25"/>
      <c r="K57" s="25"/>
      <c r="L57" s="25"/>
      <c r="M57" s="25"/>
      <c r="N57" s="25"/>
      <c r="O57" s="25"/>
      <c r="P57" s="173"/>
      <c r="Q57" s="173"/>
      <c r="R57" s="173"/>
      <c r="S57" s="173"/>
      <c r="T57" s="25"/>
      <c r="U57" s="25"/>
      <c r="V57" s="25"/>
      <c r="W57" s="25"/>
      <c r="X57" s="25"/>
      <c r="Y57" s="168"/>
      <c r="Z57" s="168"/>
      <c r="AA57" s="168"/>
      <c r="AB57" s="168"/>
      <c r="AC57" s="168"/>
      <c r="AD57" s="168"/>
      <c r="AE57" s="168"/>
      <c r="AF57" s="168"/>
      <c r="AG57" s="168"/>
      <c r="AH57" s="168"/>
      <c r="AI57" s="157"/>
      <c r="AJ57" s="25"/>
      <c r="AN57" s="98"/>
      <c r="AO57" s="722"/>
      <c r="AP57" s="722"/>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8"/>
      <c r="CU57" s="98"/>
      <c r="CV57" s="98"/>
      <c r="CW57" s="98"/>
      <c r="CX57" s="98"/>
      <c r="CY57" s="98"/>
      <c r="CZ57" s="98"/>
      <c r="DA57" s="98"/>
      <c r="DB57" s="98"/>
      <c r="DC57" s="98"/>
    </row>
    <row r="58" spans="1:107" s="5" customFormat="1" ht="15" customHeight="1">
      <c r="A58" s="25"/>
      <c r="B58" s="615"/>
      <c r="C58" s="159"/>
      <c r="D58" s="159"/>
      <c r="E58" s="173"/>
      <c r="F58" s="173"/>
      <c r="G58" s="173"/>
      <c r="H58" s="173"/>
      <c r="I58" s="25"/>
      <c r="J58" s="25"/>
      <c r="K58" s="25"/>
      <c r="L58" s="25"/>
      <c r="M58" s="25"/>
      <c r="N58" s="25"/>
      <c r="O58" s="25"/>
      <c r="P58" s="173"/>
      <c r="Q58" s="173"/>
      <c r="R58" s="173"/>
      <c r="S58" s="173"/>
      <c r="T58" s="25"/>
      <c r="U58" s="25"/>
      <c r="V58" s="25"/>
      <c r="W58" s="25"/>
      <c r="X58" s="25"/>
      <c r="Y58" s="168"/>
      <c r="Z58" s="168"/>
      <c r="AA58" s="168"/>
      <c r="AB58" s="168"/>
      <c r="AC58" s="168"/>
      <c r="AD58" s="168"/>
      <c r="AE58" s="168"/>
      <c r="AF58" s="168"/>
      <c r="AG58" s="168"/>
      <c r="AH58" s="168"/>
      <c r="AI58" s="157"/>
      <c r="AJ58" s="25"/>
      <c r="AN58" s="98"/>
      <c r="AO58" s="722"/>
      <c r="AP58" s="722"/>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8"/>
      <c r="CU58" s="98"/>
      <c r="CV58" s="98"/>
      <c r="CW58" s="98"/>
      <c r="CX58" s="98"/>
      <c r="CY58" s="98"/>
      <c r="CZ58" s="98"/>
      <c r="DA58" s="98"/>
      <c r="DB58" s="98"/>
      <c r="DC58" s="98"/>
    </row>
    <row r="59" spans="1:107" s="5" customFormat="1" ht="15" customHeight="1">
      <c r="A59" s="25"/>
      <c r="B59" s="196" t="s">
        <v>136</v>
      </c>
      <c r="C59" s="159"/>
      <c r="D59" s="159"/>
      <c r="E59" s="173"/>
      <c r="F59" s="173"/>
      <c r="G59" s="173"/>
      <c r="H59" s="173"/>
      <c r="I59" s="25"/>
      <c r="J59" s="25"/>
      <c r="K59" s="25"/>
      <c r="L59" s="25"/>
      <c r="M59" s="25"/>
      <c r="N59" s="25"/>
      <c r="O59" s="25"/>
      <c r="P59" s="173"/>
      <c r="Q59" s="173"/>
      <c r="R59" s="173"/>
      <c r="S59" s="173"/>
      <c r="T59" s="25"/>
      <c r="U59" s="25"/>
      <c r="V59" s="25"/>
      <c r="W59" s="25"/>
      <c r="X59" s="25"/>
      <c r="Y59" s="168"/>
      <c r="Z59" s="168"/>
      <c r="AA59" s="168"/>
      <c r="AB59" s="168"/>
      <c r="AC59" s="168"/>
      <c r="AD59" s="168"/>
      <c r="AE59" s="168"/>
      <c r="AF59" s="168"/>
      <c r="AG59" s="168"/>
      <c r="AH59" s="168"/>
      <c r="AI59" s="157"/>
      <c r="AJ59" s="25"/>
      <c r="AN59" s="98"/>
      <c r="AO59" s="722"/>
      <c r="AP59" s="722"/>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c r="CZ59" s="98"/>
      <c r="DA59" s="98"/>
      <c r="DB59" s="98"/>
      <c r="DC59" s="98"/>
    </row>
    <row r="60" spans="1:107" s="5" customFormat="1" ht="15" customHeight="1">
      <c r="A60" s="25"/>
      <c r="B60" s="203" t="s">
        <v>137</v>
      </c>
      <c r="C60" s="159"/>
      <c r="D60" s="159"/>
      <c r="E60" s="173"/>
      <c r="F60" s="173"/>
      <c r="G60" s="173"/>
      <c r="H60" s="173"/>
      <c r="I60" s="25"/>
      <c r="J60" s="25"/>
      <c r="K60" s="25"/>
      <c r="L60" s="812" t="s">
        <v>120</v>
      </c>
      <c r="M60" s="812"/>
      <c r="N60" s="812"/>
      <c r="O60" s="812"/>
      <c r="P60" s="812"/>
      <c r="Q60" s="173"/>
      <c r="R60" s="173"/>
      <c r="S60" s="173"/>
      <c r="T60" s="604" t="str">
        <f>IF(AM60=TRUE,"Please specify:","")</f>
        <v/>
      </c>
      <c r="U60" s="813"/>
      <c r="V60" s="813"/>
      <c r="W60" s="813"/>
      <c r="X60" s="813"/>
      <c r="Y60" s="813"/>
      <c r="Z60" s="813"/>
      <c r="AA60" s="813"/>
      <c r="AB60" s="813"/>
      <c r="AC60" s="813"/>
      <c r="AD60" s="813"/>
      <c r="AE60" s="813"/>
      <c r="AF60" s="813"/>
      <c r="AG60" s="813"/>
      <c r="AH60" s="813"/>
      <c r="AI60" s="813"/>
      <c r="AJ60" s="25"/>
      <c r="AK60" s="329" t="b">
        <f>IF($L60="Electric",TRUE,FALSE)</f>
        <v>0</v>
      </c>
      <c r="AL60" s="329" t="b">
        <f>IF($L60="Gas",TRUE,FALSE)</f>
        <v>0</v>
      </c>
      <c r="AM60" s="329" t="b">
        <f>IF($L60="Other",TRUE,FALSE)</f>
        <v>0</v>
      </c>
      <c r="AN60" s="98"/>
      <c r="AO60" s="722"/>
      <c r="AP60" s="722"/>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row>
    <row r="61" spans="1:107" s="5" customFormat="1" ht="15" customHeight="1">
      <c r="A61" s="25"/>
      <c r="B61" s="159"/>
      <c r="C61" s="159"/>
      <c r="D61" s="159"/>
      <c r="E61" s="173"/>
      <c r="F61" s="173"/>
      <c r="G61" s="173"/>
      <c r="H61" s="173"/>
      <c r="I61" s="25"/>
      <c r="J61" s="25"/>
      <c r="K61" s="25"/>
      <c r="L61" s="25"/>
      <c r="M61" s="25"/>
      <c r="N61" s="25"/>
      <c r="O61" s="25"/>
      <c r="P61" s="173"/>
      <c r="Q61" s="173"/>
      <c r="R61" s="173"/>
      <c r="S61" s="173"/>
      <c r="T61" s="25"/>
      <c r="U61" s="25"/>
      <c r="V61" s="25"/>
      <c r="W61" s="25"/>
      <c r="X61" s="25"/>
      <c r="Y61" s="168"/>
      <c r="Z61" s="168"/>
      <c r="AA61" s="168"/>
      <c r="AB61" s="168"/>
      <c r="AC61" s="168"/>
      <c r="AD61" s="168"/>
      <c r="AE61" s="168"/>
      <c r="AF61" s="168"/>
      <c r="AG61" s="168"/>
      <c r="AH61" s="168"/>
      <c r="AI61" s="157"/>
      <c r="AJ61" s="25"/>
      <c r="AN61" s="98"/>
      <c r="AO61" s="722"/>
      <c r="AP61" s="722"/>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row>
    <row r="62" spans="1:107" s="5" customFormat="1" ht="15" customHeight="1">
      <c r="A62" s="25"/>
      <c r="B62" s="203" t="s">
        <v>138</v>
      </c>
      <c r="C62" s="159"/>
      <c r="D62" s="159"/>
      <c r="E62" s="173"/>
      <c r="F62" s="173"/>
      <c r="G62" s="173"/>
      <c r="H62" s="173"/>
      <c r="I62" s="25"/>
      <c r="J62" s="25"/>
      <c r="K62" s="25"/>
      <c r="L62" s="812" t="s">
        <v>120</v>
      </c>
      <c r="M62" s="812"/>
      <c r="N62" s="812"/>
      <c r="O62" s="812"/>
      <c r="P62" s="812"/>
      <c r="Q62" s="173"/>
      <c r="R62" s="173"/>
      <c r="S62" s="173"/>
      <c r="T62" s="604" t="str">
        <f>IF(AM62=TRUE,"Please specify:","")</f>
        <v/>
      </c>
      <c r="U62" s="813"/>
      <c r="V62" s="813"/>
      <c r="W62" s="813"/>
      <c r="X62" s="813"/>
      <c r="Y62" s="813"/>
      <c r="Z62" s="813"/>
      <c r="AA62" s="813"/>
      <c r="AB62" s="813"/>
      <c r="AC62" s="813"/>
      <c r="AD62" s="813"/>
      <c r="AE62" s="813"/>
      <c r="AF62" s="813"/>
      <c r="AG62" s="813"/>
      <c r="AH62" s="813"/>
      <c r="AI62" s="813"/>
      <c r="AJ62" s="25"/>
      <c r="AK62" s="329" t="b">
        <f>IF($L62="Electric",TRUE,FALSE)</f>
        <v>0</v>
      </c>
      <c r="AL62" s="329" t="b">
        <f>IF($L62="Gas",TRUE,FALSE)</f>
        <v>0</v>
      </c>
      <c r="AM62" s="329" t="b">
        <f>IF($L62="Other",TRUE,FALSE)</f>
        <v>0</v>
      </c>
      <c r="AN62" s="98"/>
      <c r="AO62" s="722"/>
      <c r="AP62" s="722"/>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row>
    <row r="63" spans="1:107" s="5" customFormat="1" ht="15" customHeight="1">
      <c r="A63" s="25"/>
      <c r="B63" s="159"/>
      <c r="C63" s="159"/>
      <c r="D63" s="159"/>
      <c r="E63" s="173"/>
      <c r="F63" s="173"/>
      <c r="G63" s="173"/>
      <c r="H63" s="173"/>
      <c r="I63" s="25"/>
      <c r="J63" s="25"/>
      <c r="K63" s="25"/>
      <c r="L63" s="25"/>
      <c r="M63" s="25"/>
      <c r="N63" s="25"/>
      <c r="O63" s="25"/>
      <c r="P63" s="173"/>
      <c r="Q63" s="173"/>
      <c r="R63" s="173"/>
      <c r="S63" s="173"/>
      <c r="T63" s="25"/>
      <c r="U63" s="25"/>
      <c r="V63" s="25"/>
      <c r="W63" s="25"/>
      <c r="X63" s="25"/>
      <c r="Y63" s="168"/>
      <c r="Z63" s="168"/>
      <c r="AA63" s="168"/>
      <c r="AB63" s="168"/>
      <c r="AC63" s="168"/>
      <c r="AD63" s="168"/>
      <c r="AE63" s="168"/>
      <c r="AF63" s="168"/>
      <c r="AG63" s="168"/>
      <c r="AH63" s="168"/>
      <c r="AI63" s="157"/>
      <c r="AJ63" s="25"/>
      <c r="AN63" s="98"/>
      <c r="AO63" s="722"/>
      <c r="AP63" s="722"/>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8"/>
      <c r="DB63" s="98"/>
      <c r="DC63" s="98"/>
    </row>
    <row r="64" spans="1:107" ht="15" customHeight="1">
      <c r="A64" s="25"/>
      <c r="B64" s="611" t="s">
        <v>139</v>
      </c>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0"/>
      <c r="AN64" s="94"/>
      <c r="AO64" s="399"/>
      <c r="AP64" s="399"/>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row>
    <row r="65" spans="1:266" ht="15" customHeight="1">
      <c r="A65" s="25"/>
      <c r="B65" s="614" t="s">
        <v>140</v>
      </c>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0"/>
      <c r="AN65" s="94"/>
      <c r="AO65" s="399"/>
      <c r="AP65" s="399"/>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c r="DA65" s="94"/>
      <c r="DB65" s="94"/>
      <c r="DC65" s="94"/>
    </row>
    <row r="66" spans="1:266" s="5" customFormat="1" ht="12.75" customHeight="1">
      <c r="A66" s="32"/>
      <c r="B66" s="612" t="s">
        <v>141</v>
      </c>
      <c r="C66" s="31"/>
      <c r="D66" s="31"/>
      <c r="E66" s="31"/>
      <c r="F66" s="31"/>
      <c r="G66" s="31"/>
      <c r="H66" s="31"/>
      <c r="I66" s="31"/>
      <c r="J66" s="31"/>
      <c r="K66" s="613" t="s">
        <v>142</v>
      </c>
      <c r="L66" s="798">
        <f>IFERROR(IF('NC and Major Reno'!AF27="",0,'NC and Major Reno'!AF27),0)</f>
        <v>0</v>
      </c>
      <c r="M66" s="799"/>
      <c r="N66" s="799"/>
      <c r="O66" s="799"/>
      <c r="P66" s="799"/>
      <c r="Q66" s="31"/>
      <c r="R66" s="31"/>
      <c r="S66" s="31"/>
      <c r="T66" s="31"/>
      <c r="U66" s="31"/>
      <c r="V66" s="31"/>
      <c r="W66" s="31"/>
      <c r="X66" s="31"/>
      <c r="Y66" s="31"/>
      <c r="Z66" s="31"/>
      <c r="AA66" s="31"/>
      <c r="AB66" s="31"/>
      <c r="AC66" s="31"/>
      <c r="AD66" s="31"/>
      <c r="AE66" s="31"/>
      <c r="AF66" s="31"/>
      <c r="AG66" s="31"/>
      <c r="AH66" s="31"/>
      <c r="AI66" s="31"/>
      <c r="AJ66" s="30"/>
      <c r="AN66" s="98"/>
      <c r="AO66" s="722"/>
      <c r="AP66" s="722"/>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c r="CM66" s="98"/>
      <c r="CN66" s="98"/>
      <c r="CO66" s="98"/>
      <c r="CP66" s="98"/>
      <c r="CQ66" s="98"/>
      <c r="CR66" s="98"/>
      <c r="CS66" s="98"/>
      <c r="CT66" s="98"/>
      <c r="CU66" s="98"/>
      <c r="CV66" s="98"/>
      <c r="CW66" s="98"/>
      <c r="CX66" s="98"/>
      <c r="CY66" s="98"/>
      <c r="CZ66" s="98"/>
      <c r="DA66" s="98"/>
      <c r="DB66" s="98"/>
      <c r="DC66" s="98"/>
    </row>
    <row r="67" spans="1:266" ht="15" customHeight="1">
      <c r="A67" s="25"/>
      <c r="B67" s="42" t="s">
        <v>143</v>
      </c>
      <c r="C67" s="31"/>
      <c r="D67" s="31"/>
      <c r="E67" s="31"/>
      <c r="F67" s="31"/>
      <c r="G67" s="31"/>
      <c r="H67" s="31"/>
      <c r="I67" s="31"/>
      <c r="J67" s="31"/>
      <c r="K67" s="613" t="s">
        <v>142</v>
      </c>
      <c r="L67" s="798">
        <f>IFERROR(IF('NC and Major Reno'!AF114="",0,'NC and Major Reno'!AF114),0)</f>
        <v>0</v>
      </c>
      <c r="M67" s="799"/>
      <c r="N67" s="799"/>
      <c r="O67" s="799"/>
      <c r="P67" s="799"/>
      <c r="Q67" s="31"/>
      <c r="R67" s="31"/>
      <c r="S67" s="31"/>
      <c r="T67" s="31"/>
      <c r="U67" s="31"/>
      <c r="V67" s="31"/>
      <c r="W67" s="31"/>
      <c r="X67" s="31"/>
      <c r="Y67" s="31"/>
      <c r="Z67" s="31"/>
      <c r="AA67" s="31"/>
      <c r="AB67" s="31"/>
      <c r="AC67" s="31"/>
      <c r="AD67" s="31"/>
      <c r="AE67" s="31"/>
      <c r="AF67" s="31"/>
      <c r="AG67" s="31"/>
      <c r="AH67" s="31"/>
      <c r="AI67" s="31"/>
      <c r="AJ67" s="200"/>
      <c r="AN67" s="94"/>
      <c r="AO67" s="399"/>
      <c r="AP67" s="399"/>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row>
    <row r="68" spans="1:266" s="5" customFormat="1" ht="12.75" customHeight="1">
      <c r="A68" s="25"/>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200"/>
      <c r="AN68" s="98"/>
      <c r="AO68" s="722"/>
      <c r="AP68" s="722"/>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c r="CZ68" s="98"/>
      <c r="DA68" s="98"/>
      <c r="DB68" s="98"/>
      <c r="DC68" s="98"/>
    </row>
    <row r="69" spans="1:266" ht="15" customHeight="1">
      <c r="A69" s="25"/>
      <c r="B69" s="611" t="s">
        <v>144</v>
      </c>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197"/>
      <c r="AN69" s="94"/>
      <c r="AO69" s="399"/>
      <c r="AP69" s="399"/>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row>
    <row r="70" spans="1:266" ht="15" customHeight="1">
      <c r="A70" s="25"/>
      <c r="B70" s="614" t="s">
        <v>145</v>
      </c>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197"/>
      <c r="AN70" s="94"/>
      <c r="AO70" s="399"/>
      <c r="AP70" s="399"/>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row>
    <row r="71" spans="1:266" s="5" customFormat="1" ht="15" customHeight="1">
      <c r="A71" s="25"/>
      <c r="B71" s="612" t="s">
        <v>141</v>
      </c>
      <c r="C71" s="31"/>
      <c r="D71" s="31"/>
      <c r="E71" s="31"/>
      <c r="F71" s="31"/>
      <c r="G71" s="31"/>
      <c r="H71" s="31"/>
      <c r="I71" s="31"/>
      <c r="J71" s="31"/>
      <c r="K71" s="613" t="s">
        <v>142</v>
      </c>
      <c r="L71" s="839">
        <f>IFERROR(IF(Retrofits!AF27="",0,Retrofits!AF27),0)</f>
        <v>0</v>
      </c>
      <c r="M71" s="839"/>
      <c r="N71" s="839"/>
      <c r="O71" s="839"/>
      <c r="P71" s="839"/>
      <c r="Q71" s="31"/>
      <c r="R71" s="31"/>
      <c r="S71" s="31"/>
      <c r="T71" s="31"/>
      <c r="U71" s="31"/>
      <c r="V71" s="31"/>
      <c r="W71" s="31"/>
      <c r="X71" s="31"/>
      <c r="Y71" s="31"/>
      <c r="Z71" s="31"/>
      <c r="AA71" s="31"/>
      <c r="AB71" s="31"/>
      <c r="AC71" s="31"/>
      <c r="AD71" s="31"/>
      <c r="AE71" s="31"/>
      <c r="AF71" s="31"/>
      <c r="AG71" s="31"/>
      <c r="AH71" s="31"/>
      <c r="AI71" s="31"/>
      <c r="AJ71" s="200"/>
      <c r="AN71" s="98"/>
      <c r="AO71" s="722"/>
      <c r="AP71" s="722"/>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row>
    <row r="72" spans="1:266" ht="12.75" customHeight="1">
      <c r="A72" s="25"/>
      <c r="B72" s="42" t="s">
        <v>143</v>
      </c>
      <c r="C72" s="31"/>
      <c r="D72" s="31"/>
      <c r="E72" s="31"/>
      <c r="F72" s="31"/>
      <c r="G72" s="31"/>
      <c r="H72" s="31"/>
      <c r="I72" s="31"/>
      <c r="J72" s="31"/>
      <c r="K72" s="613" t="s">
        <v>142</v>
      </c>
      <c r="L72" s="839">
        <f>IFERROR(IF(Retrofits!AF115="",0,Retrofits!AF115),0)</f>
        <v>0</v>
      </c>
      <c r="M72" s="839"/>
      <c r="N72" s="839"/>
      <c r="O72" s="839"/>
      <c r="P72" s="839"/>
      <c r="Q72" s="31"/>
      <c r="R72" s="31"/>
      <c r="S72" s="31"/>
      <c r="T72" s="31"/>
      <c r="U72" s="31"/>
      <c r="V72" s="31"/>
      <c r="W72" s="31"/>
      <c r="X72" s="31"/>
      <c r="Y72" s="31"/>
      <c r="Z72" s="31"/>
      <c r="AA72" s="31"/>
      <c r="AB72" s="31"/>
      <c r="AC72" s="31"/>
      <c r="AD72" s="31"/>
      <c r="AE72" s="31"/>
      <c r="AF72" s="31"/>
      <c r="AG72" s="31"/>
      <c r="AH72" s="31"/>
      <c r="AI72" s="31"/>
      <c r="AJ72" s="200"/>
      <c r="AN72" s="94"/>
      <c r="AO72" s="399"/>
      <c r="AP72" s="399"/>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row>
    <row r="73" spans="1:266" ht="12.75" customHeight="1">
      <c r="A73" s="25"/>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200"/>
      <c r="AN73" s="94"/>
      <c r="AO73" s="399"/>
      <c r="AP73" s="399"/>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row>
    <row r="74" spans="1:266">
      <c r="A74" s="25"/>
      <c r="B74" s="611" t="s">
        <v>146</v>
      </c>
      <c r="C74" s="31"/>
      <c r="D74" s="31"/>
      <c r="E74" s="31"/>
      <c r="F74" s="31"/>
      <c r="G74" s="31"/>
      <c r="H74" s="31"/>
      <c r="I74" s="31"/>
      <c r="J74" s="31"/>
      <c r="K74" s="613" t="s">
        <v>142</v>
      </c>
      <c r="L74" s="798">
        <f>L66+L67+L71+L72</f>
        <v>0</v>
      </c>
      <c r="M74" s="799"/>
      <c r="N74" s="799"/>
      <c r="O74" s="799"/>
      <c r="P74" s="799"/>
      <c r="Q74" s="31"/>
      <c r="R74" s="31"/>
      <c r="S74" s="31"/>
      <c r="T74" s="31"/>
      <c r="U74" s="31"/>
      <c r="V74" s="31"/>
      <c r="W74" s="31"/>
      <c r="X74" s="31"/>
      <c r="Y74" s="31"/>
      <c r="Z74" s="31"/>
      <c r="AA74" s="31"/>
      <c r="AB74" s="31"/>
      <c r="AC74" s="31"/>
      <c r="AD74" s="31"/>
      <c r="AE74" s="31"/>
      <c r="AF74" s="31"/>
      <c r="AG74" s="31"/>
      <c r="AH74" s="31"/>
      <c r="AI74" s="31"/>
      <c r="AJ74" s="200"/>
      <c r="AN74" s="94"/>
      <c r="AO74" s="399"/>
      <c r="AP74" s="399"/>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row>
    <row r="75" spans="1:266">
      <c r="A75" s="25"/>
      <c r="B75" s="611" t="s">
        <v>147</v>
      </c>
      <c r="C75" s="31"/>
      <c r="D75" s="31"/>
      <c r="E75" s="31"/>
      <c r="F75" s="31"/>
      <c r="G75" s="31"/>
      <c r="H75" s="31"/>
      <c r="I75" s="31"/>
      <c r="J75" s="31"/>
      <c r="K75" s="613" t="s">
        <v>142</v>
      </c>
      <c r="L75" s="798">
        <f>IF(AK45=TRUE,MIN(L74*20%,5000),0)</f>
        <v>0</v>
      </c>
      <c r="M75" s="799"/>
      <c r="N75" s="799"/>
      <c r="O75" s="799"/>
      <c r="P75" s="799"/>
      <c r="Q75" s="31"/>
      <c r="R75" s="31"/>
      <c r="S75" s="31"/>
      <c r="T75" s="31"/>
      <c r="U75" s="31"/>
      <c r="V75" s="31"/>
      <c r="W75" s="31"/>
      <c r="X75" s="31"/>
      <c r="Y75" s="31"/>
      <c r="Z75" s="31"/>
      <c r="AA75" s="31"/>
      <c r="AB75" s="31"/>
      <c r="AC75" s="31"/>
      <c r="AD75" s="31"/>
      <c r="AE75" s="31"/>
      <c r="AF75" s="31"/>
      <c r="AG75" s="31"/>
      <c r="AH75" s="31"/>
      <c r="AI75" s="31"/>
      <c r="AJ75" s="200"/>
      <c r="AN75" s="94"/>
      <c r="AO75" s="399"/>
      <c r="AP75" s="399"/>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4"/>
      <c r="CZ75" s="94"/>
      <c r="DA75" s="94"/>
      <c r="DB75" s="94"/>
      <c r="DC75" s="94"/>
    </row>
    <row r="76" spans="1:266" ht="3" customHeight="1">
      <c r="A76" s="25"/>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197"/>
      <c r="AK76" s="3"/>
      <c r="AN76" s="94"/>
      <c r="AO76" s="399"/>
      <c r="AP76" s="399"/>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94"/>
      <c r="CD76" s="94"/>
      <c r="CE76" s="94"/>
      <c r="CF76" s="94"/>
      <c r="CG76" s="94"/>
      <c r="CH76" s="94"/>
      <c r="CI76" s="94"/>
      <c r="CJ76" s="94"/>
      <c r="CK76" s="94"/>
      <c r="CL76" s="94"/>
      <c r="CM76" s="94"/>
      <c r="CN76" s="94"/>
      <c r="CO76" s="94"/>
      <c r="CP76" s="94"/>
      <c r="CQ76" s="94"/>
      <c r="CR76" s="94"/>
      <c r="CS76" s="94"/>
      <c r="CT76" s="94"/>
      <c r="CU76" s="94"/>
      <c r="CV76" s="94"/>
      <c r="CW76" s="94"/>
      <c r="CX76" s="94"/>
      <c r="CY76" s="94"/>
      <c r="CZ76" s="94"/>
      <c r="DA76" s="94"/>
      <c r="DB76" s="94"/>
      <c r="DC76" s="94"/>
    </row>
    <row r="77" spans="1:266" ht="3" customHeight="1">
      <c r="A77" s="25"/>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2"/>
      <c r="AK77" s="10"/>
      <c r="AL77" s="10"/>
      <c r="AM77" s="10"/>
      <c r="AN77" s="100"/>
      <c r="AO77" s="100"/>
      <c r="AP77" s="100"/>
      <c r="AQ77" s="100"/>
      <c r="AR77" s="100"/>
      <c r="AS77" s="100"/>
      <c r="AT77" s="100"/>
      <c r="AU77" s="100"/>
      <c r="AV77" s="100"/>
      <c r="AW77" s="100"/>
      <c r="AX77" s="94"/>
      <c r="AY77" s="94"/>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row>
    <row r="78" spans="1:266" s="5" customFormat="1" ht="3" customHeight="1">
      <c r="A78" s="25"/>
      <c r="B78" s="159"/>
      <c r="C78" s="159"/>
      <c r="D78" s="159"/>
      <c r="E78" s="173"/>
      <c r="F78" s="173"/>
      <c r="G78" s="173"/>
      <c r="H78" s="173"/>
      <c r="I78" s="25"/>
      <c r="J78" s="25"/>
      <c r="K78" s="25"/>
      <c r="L78" s="25"/>
      <c r="M78" s="25"/>
      <c r="N78" s="25"/>
      <c r="O78" s="25"/>
      <c r="P78" s="173"/>
      <c r="Q78" s="173"/>
      <c r="R78" s="173"/>
      <c r="S78" s="173"/>
      <c r="T78" s="25"/>
      <c r="U78" s="25"/>
      <c r="V78" s="25"/>
      <c r="W78" s="25"/>
      <c r="X78" s="25"/>
      <c r="Y78" s="168"/>
      <c r="Z78" s="168"/>
      <c r="AA78" s="168"/>
      <c r="AB78" s="168"/>
      <c r="AC78" s="168"/>
      <c r="AD78" s="168"/>
      <c r="AE78" s="168"/>
      <c r="AF78" s="168"/>
      <c r="AG78" s="168"/>
      <c r="AH78" s="168"/>
      <c r="AI78" s="157"/>
      <c r="AJ78" s="25"/>
      <c r="AN78" s="98"/>
      <c r="AO78" s="722"/>
      <c r="AP78" s="722"/>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98"/>
      <c r="CV78" s="98"/>
      <c r="CW78" s="98"/>
      <c r="CX78" s="98"/>
      <c r="CY78" s="98"/>
      <c r="CZ78" s="98"/>
      <c r="DA78" s="98"/>
      <c r="DB78" s="98"/>
      <c r="DC78" s="98"/>
    </row>
    <row r="79" spans="1:266" ht="12.75" customHeight="1">
      <c r="A79" s="25"/>
      <c r="B79" s="196" t="s">
        <v>148</v>
      </c>
      <c r="C79" s="159"/>
      <c r="D79" s="159"/>
      <c r="E79" s="173"/>
      <c r="F79" s="173"/>
      <c r="G79" s="173"/>
      <c r="H79" s="173"/>
      <c r="I79" s="25"/>
      <c r="J79" s="25"/>
      <c r="K79" s="25"/>
      <c r="L79" s="25"/>
      <c r="M79" s="25"/>
      <c r="N79" s="25"/>
      <c r="O79" s="25"/>
      <c r="P79" s="173"/>
      <c r="Q79" s="173"/>
      <c r="R79" s="173"/>
      <c r="S79" s="173"/>
      <c r="T79" s="25"/>
      <c r="U79" s="25"/>
      <c r="V79" s="25"/>
      <c r="W79" s="25"/>
      <c r="X79" s="25"/>
      <c r="Y79" s="168"/>
      <c r="Z79" s="168"/>
      <c r="AA79" s="168"/>
      <c r="AB79" s="168"/>
      <c r="AC79" s="168"/>
      <c r="AD79" s="168"/>
      <c r="AE79" s="168"/>
      <c r="AF79" s="168"/>
      <c r="AG79" s="168"/>
      <c r="AH79" s="168"/>
      <c r="AI79" s="157"/>
      <c r="AJ79" s="25"/>
      <c r="AN79" s="98"/>
      <c r="AO79" s="399"/>
      <c r="AP79" s="399"/>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c r="DA79" s="94"/>
      <c r="DB79" s="94"/>
      <c r="DC79" s="94"/>
    </row>
    <row r="80" spans="1:266" s="5" customFormat="1" ht="18" customHeight="1">
      <c r="A80" s="25"/>
      <c r="B80" s="828" t="s">
        <v>149</v>
      </c>
      <c r="C80" s="828"/>
      <c r="D80" s="828"/>
      <c r="E80" s="828"/>
      <c r="F80" s="828"/>
      <c r="G80" s="828"/>
      <c r="H80" s="828"/>
      <c r="I80" s="828"/>
      <c r="J80" s="828"/>
      <c r="K80" s="828"/>
      <c r="L80" s="828"/>
      <c r="M80" s="828"/>
      <c r="N80" s="828"/>
      <c r="O80" s="828"/>
      <c r="P80" s="828"/>
      <c r="Q80" s="828"/>
      <c r="R80" s="828"/>
      <c r="S80" s="828"/>
      <c r="T80" s="828"/>
      <c r="U80" s="828"/>
      <c r="V80" s="828"/>
      <c r="W80" s="828"/>
      <c r="X80" s="828"/>
      <c r="Y80" s="828"/>
      <c r="Z80" s="828"/>
      <c r="AA80" s="828"/>
      <c r="AB80" s="828"/>
      <c r="AC80" s="828"/>
      <c r="AD80" s="828"/>
      <c r="AE80" s="828"/>
      <c r="AF80" s="828"/>
      <c r="AG80" s="828"/>
      <c r="AH80" s="828"/>
      <c r="AI80" s="828"/>
      <c r="AJ80" s="25"/>
      <c r="AN80" s="98"/>
      <c r="AO80" s="722"/>
      <c r="AP80" s="722"/>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98"/>
      <c r="DA80" s="98"/>
      <c r="DB80" s="98"/>
      <c r="DC80" s="98"/>
    </row>
    <row r="81" spans="1:266" ht="18" customHeight="1">
      <c r="A81" s="25"/>
      <c r="B81" s="828"/>
      <c r="C81" s="828"/>
      <c r="D81" s="828"/>
      <c r="E81" s="828"/>
      <c r="F81" s="828"/>
      <c r="G81" s="828"/>
      <c r="H81" s="828"/>
      <c r="I81" s="828"/>
      <c r="J81" s="828"/>
      <c r="K81" s="828"/>
      <c r="L81" s="828"/>
      <c r="M81" s="828"/>
      <c r="N81" s="828"/>
      <c r="O81" s="828"/>
      <c r="P81" s="828"/>
      <c r="Q81" s="828"/>
      <c r="R81" s="828"/>
      <c r="S81" s="828"/>
      <c r="T81" s="828"/>
      <c r="U81" s="828"/>
      <c r="V81" s="828"/>
      <c r="W81" s="828"/>
      <c r="X81" s="828"/>
      <c r="Y81" s="828"/>
      <c r="Z81" s="828"/>
      <c r="AA81" s="828"/>
      <c r="AB81" s="828"/>
      <c r="AC81" s="828"/>
      <c r="AD81" s="828"/>
      <c r="AE81" s="828"/>
      <c r="AF81" s="828"/>
      <c r="AG81" s="828"/>
      <c r="AH81" s="828"/>
      <c r="AI81" s="828"/>
      <c r="AJ81" s="25"/>
      <c r="AN81" s="94"/>
      <c r="AO81" s="399"/>
      <c r="AP81" s="399"/>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94"/>
      <c r="CD81" s="94"/>
      <c r="CE81" s="94"/>
      <c r="CF81" s="94"/>
      <c r="CG81" s="94"/>
      <c r="CH81" s="94"/>
      <c r="CI81" s="94"/>
      <c r="CJ81" s="94"/>
      <c r="CK81" s="94"/>
      <c r="CL81" s="94"/>
      <c r="CM81" s="94"/>
      <c r="CN81" s="94"/>
      <c r="CO81" s="94"/>
      <c r="CP81" s="94"/>
      <c r="CQ81" s="94"/>
      <c r="CR81" s="94"/>
      <c r="CS81" s="94"/>
      <c r="CT81" s="94"/>
      <c r="CU81" s="94"/>
      <c r="CV81" s="94"/>
      <c r="CW81" s="94"/>
      <c r="CX81" s="94"/>
      <c r="CY81" s="94"/>
      <c r="CZ81" s="94"/>
      <c r="DA81" s="94"/>
      <c r="DB81" s="94"/>
      <c r="DC81" s="94"/>
    </row>
    <row r="82" spans="1:266" s="5" customFormat="1" ht="18" customHeight="1">
      <c r="A82" s="25"/>
      <c r="B82" s="828"/>
      <c r="C82" s="828"/>
      <c r="D82" s="828"/>
      <c r="E82" s="828"/>
      <c r="F82" s="828"/>
      <c r="G82" s="828"/>
      <c r="H82" s="828"/>
      <c r="I82" s="828"/>
      <c r="J82" s="828"/>
      <c r="K82" s="828"/>
      <c r="L82" s="828"/>
      <c r="M82" s="828"/>
      <c r="N82" s="828"/>
      <c r="O82" s="828"/>
      <c r="P82" s="828"/>
      <c r="Q82" s="828"/>
      <c r="R82" s="828"/>
      <c r="S82" s="828"/>
      <c r="T82" s="828"/>
      <c r="U82" s="828"/>
      <c r="V82" s="828"/>
      <c r="W82" s="828"/>
      <c r="X82" s="828"/>
      <c r="Y82" s="828"/>
      <c r="Z82" s="828"/>
      <c r="AA82" s="828"/>
      <c r="AB82" s="828"/>
      <c r="AC82" s="828"/>
      <c r="AD82" s="828"/>
      <c r="AE82" s="828"/>
      <c r="AF82" s="828"/>
      <c r="AG82" s="828"/>
      <c r="AH82" s="828"/>
      <c r="AI82" s="828"/>
      <c r="AJ82" s="25"/>
      <c r="AN82" s="98"/>
      <c r="AO82" s="722"/>
      <c r="AP82" s="722"/>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c r="BY82" s="98"/>
      <c r="BZ82" s="98"/>
      <c r="CA82" s="98"/>
      <c r="CB82" s="98"/>
      <c r="CC82" s="98"/>
      <c r="CD82" s="98"/>
      <c r="CE82" s="98"/>
      <c r="CF82" s="98"/>
      <c r="CG82" s="98"/>
      <c r="CH82" s="98"/>
      <c r="CI82" s="98"/>
      <c r="CJ82" s="98"/>
      <c r="CK82" s="98"/>
      <c r="CL82" s="98"/>
      <c r="CM82" s="98"/>
      <c r="CN82" s="98"/>
      <c r="CO82" s="98"/>
      <c r="CP82" s="98"/>
      <c r="CQ82" s="98"/>
      <c r="CR82" s="98"/>
      <c r="CS82" s="98"/>
      <c r="CT82" s="98"/>
      <c r="CU82" s="98"/>
      <c r="CV82" s="98"/>
      <c r="CW82" s="98"/>
      <c r="CX82" s="98"/>
      <c r="CY82" s="98"/>
      <c r="CZ82" s="98"/>
      <c r="DA82" s="98"/>
      <c r="DB82" s="98"/>
      <c r="DC82" s="98"/>
    </row>
    <row r="83" spans="1:266" ht="12.75" customHeight="1">
      <c r="A83" s="25"/>
      <c r="B83" s="174" t="s">
        <v>150</v>
      </c>
      <c r="C83" s="173"/>
      <c r="D83" s="173"/>
      <c r="E83" s="173"/>
      <c r="F83" s="173"/>
      <c r="G83" s="173"/>
      <c r="H83" s="173"/>
      <c r="I83" s="173"/>
      <c r="J83" s="173"/>
      <c r="K83" s="173"/>
      <c r="L83" s="173"/>
      <c r="M83" s="173"/>
      <c r="N83" s="173"/>
      <c r="O83" s="173"/>
      <c r="P83" s="173"/>
      <c r="Q83" s="173"/>
      <c r="R83" s="173"/>
      <c r="S83" s="173"/>
      <c r="T83" s="173"/>
      <c r="U83" s="168"/>
      <c r="V83" s="168"/>
      <c r="W83" s="168"/>
      <c r="X83" s="168"/>
      <c r="Y83" s="168"/>
      <c r="Z83" s="168"/>
      <c r="AA83" s="168"/>
      <c r="AB83" s="168"/>
      <c r="AC83" s="168"/>
      <c r="AD83" s="168"/>
      <c r="AE83" s="168"/>
      <c r="AF83" s="168"/>
      <c r="AG83" s="168"/>
      <c r="AH83" s="168"/>
      <c r="AI83" s="157"/>
      <c r="AJ83" s="196"/>
      <c r="AN83" s="94"/>
      <c r="AO83" s="399"/>
      <c r="AP83" s="399"/>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94"/>
      <c r="CD83" s="94"/>
      <c r="CE83" s="94"/>
      <c r="CF83" s="94"/>
      <c r="CG83" s="94"/>
      <c r="CH83" s="94"/>
      <c r="CI83" s="94"/>
      <c r="CJ83" s="94"/>
      <c r="CK83" s="94"/>
      <c r="CL83" s="94"/>
      <c r="CM83" s="94"/>
      <c r="CN83" s="94"/>
      <c r="CO83" s="94"/>
      <c r="CP83" s="94"/>
      <c r="CQ83" s="94"/>
      <c r="CR83" s="94"/>
      <c r="CS83" s="94"/>
      <c r="CT83" s="94"/>
      <c r="CU83" s="94"/>
      <c r="CV83" s="94"/>
      <c r="CW83" s="94"/>
      <c r="CX83" s="94"/>
      <c r="CY83" s="94"/>
      <c r="CZ83" s="94"/>
      <c r="DA83" s="94"/>
      <c r="DB83" s="94"/>
      <c r="DC83" s="94"/>
    </row>
    <row r="84" spans="1:266" ht="30" customHeight="1">
      <c r="A84" s="25"/>
      <c r="B84" s="44"/>
      <c r="C84" s="829" t="s">
        <v>151</v>
      </c>
      <c r="D84" s="829"/>
      <c r="E84" s="829"/>
      <c r="F84" s="829"/>
      <c r="G84" s="829"/>
      <c r="H84" s="829"/>
      <c r="I84" s="829"/>
      <c r="J84" s="829"/>
      <c r="K84" s="829"/>
      <c r="L84" s="829"/>
      <c r="M84" s="829"/>
      <c r="N84" s="829"/>
      <c r="O84" s="829"/>
      <c r="P84" s="829"/>
      <c r="Q84" s="829"/>
      <c r="R84" s="829"/>
      <c r="S84" s="829"/>
      <c r="T84" s="829"/>
      <c r="U84" s="829"/>
      <c r="V84" s="829"/>
      <c r="W84" s="829"/>
      <c r="X84" s="829"/>
      <c r="Y84" s="829"/>
      <c r="Z84" s="829"/>
      <c r="AA84" s="829"/>
      <c r="AB84" s="829"/>
      <c r="AC84" s="829"/>
      <c r="AD84" s="157" t="s">
        <v>152</v>
      </c>
      <c r="AE84" s="201"/>
      <c r="AF84" s="201"/>
      <c r="AG84" s="201"/>
      <c r="AH84" s="201"/>
      <c r="AI84" s="201"/>
      <c r="AJ84" s="25"/>
      <c r="AN84" s="94"/>
      <c r="AO84" s="399"/>
      <c r="AP84" s="399"/>
      <c r="AQ84" s="94"/>
      <c r="AR84" s="94"/>
      <c r="AS84" s="94"/>
      <c r="AT84" s="94"/>
      <c r="AU84" s="94"/>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row>
    <row r="85" spans="1:266" ht="12.75" customHeight="1">
      <c r="A85" s="25"/>
      <c r="B85" s="811" t="s">
        <v>153</v>
      </c>
      <c r="C85" s="830"/>
      <c r="D85" s="831"/>
      <c r="E85" s="831"/>
      <c r="F85" s="831"/>
      <c r="G85" s="831"/>
      <c r="H85" s="831"/>
      <c r="I85" s="831"/>
      <c r="J85" s="831"/>
      <c r="K85" s="831"/>
      <c r="L85" s="831"/>
      <c r="M85" s="831"/>
      <c r="N85" s="831"/>
      <c r="O85" s="831"/>
      <c r="P85" s="831"/>
      <c r="Q85" s="831"/>
      <c r="R85" s="831"/>
      <c r="S85" s="831"/>
      <c r="T85" s="831"/>
      <c r="U85" s="831"/>
      <c r="V85" s="831"/>
      <c r="W85" s="831"/>
      <c r="X85" s="831"/>
      <c r="Y85" s="831"/>
      <c r="Z85" s="831"/>
      <c r="AA85" s="831"/>
      <c r="AB85" s="831"/>
      <c r="AC85" s="831"/>
      <c r="AD85" s="834"/>
      <c r="AE85" s="834"/>
      <c r="AF85" s="834"/>
      <c r="AG85" s="834"/>
      <c r="AH85" s="834"/>
      <c r="AI85" s="834"/>
      <c r="AJ85" s="197"/>
      <c r="AN85" s="94"/>
      <c r="AO85" s="399"/>
      <c r="AP85" s="399"/>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94"/>
      <c r="CB85" s="94"/>
      <c r="CC85" s="94"/>
      <c r="CD85" s="94"/>
      <c r="CE85" s="94"/>
      <c r="CF85" s="94"/>
      <c r="CG85" s="94"/>
      <c r="CH85" s="94"/>
      <c r="CI85" s="94"/>
      <c r="CJ85" s="94"/>
      <c r="CK85" s="94"/>
      <c r="CL85" s="94"/>
      <c r="CM85" s="94"/>
      <c r="CN85" s="94"/>
      <c r="CO85" s="94"/>
      <c r="CP85" s="94"/>
      <c r="CQ85" s="94"/>
      <c r="CR85" s="94"/>
      <c r="CS85" s="94"/>
      <c r="CT85" s="94"/>
      <c r="CU85" s="94"/>
      <c r="CV85" s="94"/>
      <c r="CW85" s="94"/>
      <c r="CX85" s="94"/>
      <c r="CY85" s="94"/>
      <c r="CZ85" s="94"/>
      <c r="DA85" s="94"/>
      <c r="DB85" s="94"/>
      <c r="DC85" s="94"/>
    </row>
    <row r="86" spans="1:266" ht="15" customHeight="1">
      <c r="A86" s="25"/>
      <c r="B86" s="811"/>
      <c r="C86" s="832"/>
      <c r="D86" s="833"/>
      <c r="E86" s="833"/>
      <c r="F86" s="833"/>
      <c r="G86" s="833"/>
      <c r="H86" s="833"/>
      <c r="I86" s="833"/>
      <c r="J86" s="833"/>
      <c r="K86" s="833"/>
      <c r="L86" s="833"/>
      <c r="M86" s="833"/>
      <c r="N86" s="833"/>
      <c r="O86" s="833"/>
      <c r="P86" s="833"/>
      <c r="Q86" s="833"/>
      <c r="R86" s="833"/>
      <c r="S86" s="833"/>
      <c r="T86" s="833"/>
      <c r="U86" s="833"/>
      <c r="V86" s="833"/>
      <c r="W86" s="833"/>
      <c r="X86" s="833"/>
      <c r="Y86" s="833"/>
      <c r="Z86" s="833"/>
      <c r="AA86" s="833"/>
      <c r="AB86" s="833"/>
      <c r="AC86" s="833"/>
      <c r="AD86" s="834"/>
      <c r="AE86" s="834"/>
      <c r="AF86" s="834"/>
      <c r="AG86" s="834"/>
      <c r="AH86" s="834"/>
      <c r="AI86" s="834"/>
      <c r="AJ86" s="30"/>
      <c r="AN86" s="94"/>
      <c r="AO86" s="399"/>
      <c r="AP86" s="399"/>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94"/>
      <c r="CD86" s="94"/>
      <c r="CE86" s="94"/>
      <c r="CF86" s="94"/>
      <c r="CG86" s="94"/>
      <c r="CH86" s="94"/>
      <c r="CI86" s="94"/>
      <c r="CJ86" s="94"/>
      <c r="CK86" s="94"/>
      <c r="CL86" s="94"/>
      <c r="CM86" s="94"/>
      <c r="CN86" s="94"/>
      <c r="CO86" s="94"/>
      <c r="CP86" s="94"/>
      <c r="CQ86" s="94"/>
      <c r="CR86" s="94"/>
      <c r="CS86" s="94"/>
      <c r="CT86" s="94"/>
      <c r="CU86" s="94"/>
      <c r="CV86" s="94"/>
      <c r="CW86" s="94"/>
      <c r="CX86" s="94"/>
      <c r="CY86" s="94"/>
      <c r="CZ86" s="94"/>
      <c r="DA86" s="94"/>
      <c r="DB86" s="94"/>
      <c r="DC86" s="94"/>
    </row>
    <row r="87" spans="1:266" s="5" customFormat="1" ht="12.75" customHeight="1">
      <c r="A87" s="25"/>
      <c r="B87" s="33" t="str">
        <f>Version</f>
        <v>MF (11/23)</v>
      </c>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30"/>
      <c r="AN87" s="98"/>
      <c r="AO87" s="722"/>
      <c r="AP87" s="722"/>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row>
    <row r="88" spans="1:266" ht="15.75" customHeight="1">
      <c r="A88" s="25"/>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2"/>
      <c r="AK88" s="10"/>
      <c r="AL88" s="10"/>
      <c r="AM88" s="10"/>
      <c r="AN88" s="100"/>
      <c r="AO88" s="100"/>
      <c r="AP88" s="100"/>
      <c r="AQ88" s="100"/>
      <c r="AR88" s="100"/>
      <c r="AS88" s="100"/>
      <c r="AT88" s="100"/>
      <c r="AU88" s="100"/>
      <c r="AV88" s="100"/>
      <c r="AW88" s="100"/>
      <c r="AX88" s="94"/>
      <c r="AY88" s="94"/>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row>
    <row r="89" spans="1:266">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94"/>
      <c r="CD89" s="94"/>
      <c r="CE89" s="94"/>
      <c r="CF89" s="94"/>
      <c r="CG89" s="94"/>
      <c r="CH89" s="94"/>
      <c r="CI89" s="94"/>
      <c r="CJ89" s="94"/>
      <c r="CK89" s="94"/>
      <c r="CL89" s="94"/>
      <c r="CM89" s="94"/>
      <c r="CN89" s="94"/>
      <c r="CO89" s="94"/>
      <c r="CP89" s="94"/>
      <c r="CQ89" s="94"/>
      <c r="CR89" s="94"/>
      <c r="CS89" s="94"/>
      <c r="CT89" s="94"/>
      <c r="CU89" s="94"/>
      <c r="CV89" s="94"/>
      <c r="CW89" s="94"/>
      <c r="CX89" s="94"/>
      <c r="CY89" s="94"/>
      <c r="CZ89" s="94"/>
      <c r="DA89" s="94"/>
      <c r="DB89" s="94"/>
      <c r="DC89" s="94"/>
    </row>
    <row r="90" spans="1:266">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94"/>
      <c r="CD90" s="94"/>
      <c r="CE90" s="94"/>
      <c r="CF90" s="94"/>
      <c r="CG90" s="94"/>
      <c r="CH90" s="94"/>
      <c r="CI90" s="94"/>
      <c r="CJ90" s="94"/>
      <c r="CK90" s="94"/>
      <c r="CL90" s="94"/>
      <c r="CM90" s="94"/>
      <c r="CN90" s="94"/>
      <c r="CO90" s="94"/>
      <c r="CP90" s="94"/>
      <c r="CQ90" s="94"/>
      <c r="CR90" s="94"/>
      <c r="CS90" s="94"/>
      <c r="CT90" s="94"/>
      <c r="CU90" s="94"/>
      <c r="CV90" s="94"/>
      <c r="CW90" s="94"/>
      <c r="CX90" s="94"/>
      <c r="CY90" s="94"/>
      <c r="CZ90" s="94"/>
      <c r="DA90" s="94"/>
      <c r="DB90" s="94"/>
      <c r="DC90" s="94"/>
    </row>
    <row r="91" spans="1:266" ht="29.1" customHeight="1">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94"/>
      <c r="CD91" s="94"/>
      <c r="CE91" s="94"/>
      <c r="CF91" s="94"/>
      <c r="CG91" s="94"/>
      <c r="CH91" s="94"/>
      <c r="CI91" s="94"/>
      <c r="CJ91" s="94"/>
      <c r="CK91" s="94"/>
      <c r="CL91" s="94"/>
      <c r="CM91" s="94"/>
      <c r="CN91" s="94"/>
      <c r="CO91" s="94"/>
      <c r="CP91" s="94"/>
      <c r="CQ91" s="94"/>
      <c r="CR91" s="94"/>
      <c r="CS91" s="94"/>
      <c r="CT91" s="94"/>
      <c r="CU91" s="94"/>
      <c r="CV91" s="94"/>
      <c r="CW91" s="94"/>
      <c r="CX91" s="94"/>
      <c r="CY91" s="94"/>
      <c r="CZ91" s="94"/>
      <c r="DA91" s="94"/>
      <c r="DB91" s="94"/>
      <c r="DC91" s="94"/>
    </row>
    <row r="92" spans="1:266" ht="12.75" customHeight="1">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94"/>
      <c r="CD92" s="94"/>
      <c r="CE92" s="94"/>
      <c r="CF92" s="94"/>
      <c r="CG92" s="94"/>
      <c r="CH92" s="94"/>
      <c r="CI92" s="94"/>
      <c r="CJ92" s="94"/>
      <c r="CK92" s="94"/>
      <c r="CL92" s="94"/>
      <c r="CM92" s="94"/>
      <c r="CN92" s="94"/>
      <c r="CO92" s="94"/>
      <c r="CP92" s="94"/>
      <c r="CQ92" s="94"/>
      <c r="CR92" s="94"/>
      <c r="CS92" s="94"/>
      <c r="CT92" s="94"/>
      <c r="CU92" s="94"/>
      <c r="CV92" s="94"/>
      <c r="CW92" s="94"/>
      <c r="CX92" s="94"/>
      <c r="CY92" s="94"/>
      <c r="CZ92" s="94"/>
      <c r="DA92" s="94"/>
      <c r="DB92" s="94"/>
      <c r="DC92" s="94"/>
    </row>
    <row r="93" spans="1:266" s="5" customFormat="1" ht="12.75" customHeight="1">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94"/>
      <c r="CD93" s="94"/>
      <c r="CE93" s="94"/>
      <c r="CF93" s="94"/>
      <c r="CG93" s="94"/>
      <c r="CH93" s="94"/>
      <c r="CI93" s="94"/>
      <c r="CJ93" s="94"/>
      <c r="CK93" s="94"/>
      <c r="CL93" s="94"/>
      <c r="CM93" s="94"/>
      <c r="CN93" s="94"/>
      <c r="CO93" s="94"/>
      <c r="CP93" s="94"/>
      <c r="CQ93" s="94"/>
      <c r="CR93" s="94"/>
      <c r="CS93" s="94"/>
      <c r="CT93" s="94"/>
      <c r="CU93" s="94"/>
      <c r="CV93" s="94"/>
      <c r="CW93" s="94"/>
      <c r="CX93" s="94"/>
      <c r="CY93" s="94"/>
      <c r="CZ93" s="94"/>
      <c r="DA93" s="94"/>
      <c r="DB93" s="94"/>
      <c r="DC93" s="94"/>
    </row>
    <row r="94" spans="1:266" s="5" customFormat="1" ht="12.75" customHeight="1">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94"/>
      <c r="CB94" s="94"/>
      <c r="CC94" s="94"/>
      <c r="CD94" s="94"/>
      <c r="CE94" s="94"/>
      <c r="CF94" s="94"/>
      <c r="CG94" s="94"/>
      <c r="CH94" s="94"/>
      <c r="CI94" s="94"/>
      <c r="CJ94" s="94"/>
      <c r="CK94" s="94"/>
      <c r="CL94" s="94"/>
      <c r="CM94" s="94"/>
      <c r="CN94" s="94"/>
      <c r="CO94" s="94"/>
      <c r="CP94" s="94"/>
      <c r="CQ94" s="94"/>
      <c r="CR94" s="94"/>
      <c r="CS94" s="94"/>
      <c r="CT94" s="94"/>
      <c r="CU94" s="94"/>
      <c r="CV94" s="94"/>
      <c r="CW94" s="94"/>
      <c r="CX94" s="94"/>
      <c r="CY94" s="94"/>
      <c r="CZ94" s="94"/>
      <c r="DA94" s="94"/>
      <c r="DB94" s="94"/>
      <c r="DC94" s="94"/>
    </row>
    <row r="95" spans="1:266" s="5" customFormat="1" ht="12.75" customHeight="1">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A95" s="94"/>
      <c r="CB95" s="94"/>
      <c r="CC95" s="94"/>
      <c r="CD95" s="94"/>
      <c r="CE95" s="94"/>
      <c r="CF95" s="94"/>
      <c r="CG95" s="94"/>
      <c r="CH95" s="94"/>
      <c r="CI95" s="94"/>
      <c r="CJ95" s="94"/>
      <c r="CK95" s="94"/>
      <c r="CL95" s="94"/>
      <c r="CM95" s="94"/>
      <c r="CN95" s="94"/>
      <c r="CO95" s="94"/>
      <c r="CP95" s="94"/>
      <c r="CQ95" s="94"/>
      <c r="CR95" s="94"/>
      <c r="CS95" s="94"/>
      <c r="CT95" s="94"/>
      <c r="CU95" s="94"/>
      <c r="CV95" s="94"/>
      <c r="CW95" s="94"/>
      <c r="CX95" s="94"/>
      <c r="CY95" s="94"/>
      <c r="CZ95" s="94"/>
      <c r="DA95" s="94"/>
      <c r="DB95" s="94"/>
      <c r="DC95" s="94"/>
    </row>
    <row r="96" spans="1:266" s="5" customFormat="1" ht="12.75" customHeight="1">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94"/>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row>
    <row r="97" spans="1:107" s="5" customFormat="1" ht="12.75" customHeight="1">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row>
    <row r="98" spans="1:107" s="5" customFormat="1" ht="12.75" customHeight="1">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94"/>
      <c r="CD98" s="94"/>
      <c r="CE98" s="94"/>
      <c r="CF98" s="94"/>
      <c r="CG98" s="94"/>
      <c r="CH98" s="94"/>
      <c r="CI98" s="94"/>
      <c r="CJ98" s="94"/>
      <c r="CK98" s="94"/>
      <c r="CL98" s="94"/>
      <c r="CM98" s="94"/>
      <c r="CN98" s="94"/>
      <c r="CO98" s="94"/>
      <c r="CP98" s="94"/>
      <c r="CQ98" s="94"/>
      <c r="CR98" s="94"/>
      <c r="CS98" s="94"/>
      <c r="CT98" s="94"/>
      <c r="CU98" s="94"/>
      <c r="CV98" s="94"/>
      <c r="CW98" s="94"/>
      <c r="CX98" s="94"/>
      <c r="CY98" s="94"/>
      <c r="CZ98" s="94"/>
      <c r="DA98" s="94"/>
      <c r="DB98" s="94"/>
      <c r="DC98" s="94"/>
    </row>
    <row r="99" spans="1:107" s="5" customFormat="1" ht="12.75" customHeight="1">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A99" s="94"/>
      <c r="CB99" s="94"/>
      <c r="CC99" s="94"/>
      <c r="CD99" s="94"/>
      <c r="CE99" s="94"/>
      <c r="CF99" s="94"/>
      <c r="CG99" s="94"/>
      <c r="CH99" s="94"/>
      <c r="CI99" s="94"/>
      <c r="CJ99" s="94"/>
      <c r="CK99" s="94"/>
      <c r="CL99" s="94"/>
      <c r="CM99" s="94"/>
      <c r="CN99" s="94"/>
      <c r="CO99" s="94"/>
      <c r="CP99" s="94"/>
      <c r="CQ99" s="94"/>
      <c r="CR99" s="94"/>
      <c r="CS99" s="94"/>
      <c r="CT99" s="94"/>
      <c r="CU99" s="94"/>
      <c r="CV99" s="94"/>
      <c r="CW99" s="94"/>
      <c r="CX99" s="94"/>
      <c r="CY99" s="94"/>
      <c r="CZ99" s="94"/>
      <c r="DA99" s="94"/>
      <c r="DB99" s="94"/>
      <c r="DC99" s="94"/>
    </row>
    <row r="100" spans="1:107" s="5" customFormat="1" ht="12.75" customHeight="1">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94"/>
      <c r="CD100" s="94"/>
      <c r="CE100" s="94"/>
      <c r="CF100" s="94"/>
      <c r="CG100" s="94"/>
      <c r="CH100" s="94"/>
      <c r="CI100" s="94"/>
      <c r="CJ100" s="94"/>
      <c r="CK100" s="94"/>
      <c r="CL100" s="94"/>
      <c r="CM100" s="94"/>
      <c r="CN100" s="94"/>
      <c r="CO100" s="94"/>
      <c r="CP100" s="94"/>
      <c r="CQ100" s="94"/>
      <c r="CR100" s="94"/>
      <c r="CS100" s="94"/>
      <c r="CT100" s="94"/>
      <c r="CU100" s="94"/>
      <c r="CV100" s="94"/>
      <c r="CW100" s="94"/>
      <c r="CX100" s="94"/>
      <c r="CY100" s="94"/>
      <c r="CZ100" s="94"/>
      <c r="DA100" s="94"/>
      <c r="DB100" s="94"/>
      <c r="DC100" s="94"/>
    </row>
    <row r="101" spans="1:107" s="5" customFormat="1" ht="12.75" customHeight="1">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c r="BH101" s="94"/>
      <c r="BI101" s="94"/>
      <c r="BJ101" s="94"/>
      <c r="BK101" s="94"/>
      <c r="BL101" s="94"/>
      <c r="BM101" s="94"/>
      <c r="BN101" s="94"/>
      <c r="BO101" s="94"/>
      <c r="BP101" s="94"/>
      <c r="BQ101" s="94"/>
      <c r="BR101" s="94"/>
      <c r="BS101" s="94"/>
      <c r="BT101" s="94"/>
      <c r="BU101" s="94"/>
      <c r="BV101" s="94"/>
      <c r="BW101" s="94"/>
      <c r="BX101" s="94"/>
      <c r="BY101" s="94"/>
      <c r="BZ101" s="94"/>
      <c r="CA101" s="94"/>
      <c r="CB101" s="94"/>
      <c r="CC101" s="94"/>
      <c r="CD101" s="94"/>
      <c r="CE101" s="94"/>
      <c r="CF101" s="94"/>
      <c r="CG101" s="94"/>
      <c r="CH101" s="94"/>
      <c r="CI101" s="94"/>
      <c r="CJ101" s="94"/>
      <c r="CK101" s="94"/>
      <c r="CL101" s="94"/>
      <c r="CM101" s="94"/>
      <c r="CN101" s="94"/>
      <c r="CO101" s="94"/>
      <c r="CP101" s="94"/>
      <c r="CQ101" s="94"/>
      <c r="CR101" s="94"/>
      <c r="CS101" s="94"/>
      <c r="CT101" s="94"/>
      <c r="CU101" s="94"/>
      <c r="CV101" s="94"/>
      <c r="CW101" s="94"/>
      <c r="CX101" s="94"/>
      <c r="CY101" s="94"/>
      <c r="CZ101" s="94"/>
      <c r="DA101" s="94"/>
      <c r="DB101" s="94"/>
      <c r="DC101" s="94"/>
    </row>
    <row r="102" spans="1:107" s="5" customFormat="1" ht="12.75" customHeight="1">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94"/>
      <c r="CD102" s="94"/>
      <c r="CE102" s="94"/>
      <c r="CF102" s="94"/>
      <c r="CG102" s="94"/>
      <c r="CH102" s="94"/>
      <c r="CI102" s="94"/>
      <c r="CJ102" s="94"/>
      <c r="CK102" s="94"/>
      <c r="CL102" s="94"/>
      <c r="CM102" s="94"/>
      <c r="CN102" s="94"/>
      <c r="CO102" s="94"/>
      <c r="CP102" s="94"/>
      <c r="CQ102" s="94"/>
      <c r="CR102" s="94"/>
      <c r="CS102" s="94"/>
      <c r="CT102" s="94"/>
      <c r="CU102" s="94"/>
      <c r="CV102" s="94"/>
      <c r="CW102" s="94"/>
      <c r="CX102" s="94"/>
      <c r="CY102" s="94"/>
      <c r="CZ102" s="94"/>
      <c r="DA102" s="94"/>
      <c r="DB102" s="94"/>
      <c r="DC102" s="94"/>
    </row>
    <row r="103" spans="1:107" s="5" customFormat="1" ht="12.75" customHeight="1">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c r="BC103" s="94"/>
      <c r="BD103" s="94"/>
      <c r="BE103" s="94"/>
      <c r="BF103" s="94"/>
      <c r="BG103" s="94"/>
      <c r="BH103" s="94"/>
      <c r="BI103" s="94"/>
      <c r="BJ103" s="94"/>
      <c r="BK103" s="94"/>
      <c r="BL103" s="94"/>
      <c r="BM103" s="94"/>
      <c r="BN103" s="94"/>
      <c r="BO103" s="94"/>
      <c r="BP103" s="94"/>
      <c r="BQ103" s="94"/>
      <c r="BR103" s="94"/>
      <c r="BS103" s="94"/>
      <c r="BT103" s="94"/>
      <c r="BU103" s="94"/>
      <c r="BV103" s="94"/>
      <c r="BW103" s="94"/>
      <c r="BX103" s="94"/>
      <c r="BY103" s="94"/>
      <c r="BZ103" s="94"/>
      <c r="CA103" s="94"/>
      <c r="CB103" s="94"/>
      <c r="CC103" s="94"/>
      <c r="CD103" s="94"/>
      <c r="CE103" s="94"/>
      <c r="CF103" s="94"/>
      <c r="CG103" s="94"/>
      <c r="CH103" s="94"/>
      <c r="CI103" s="94"/>
      <c r="CJ103" s="94"/>
      <c r="CK103" s="94"/>
      <c r="CL103" s="94"/>
      <c r="CM103" s="94"/>
      <c r="CN103" s="94"/>
      <c r="CO103" s="94"/>
      <c r="CP103" s="94"/>
      <c r="CQ103" s="94"/>
      <c r="CR103" s="94"/>
      <c r="CS103" s="94"/>
      <c r="CT103" s="94"/>
      <c r="CU103" s="94"/>
      <c r="CV103" s="94"/>
      <c r="CW103" s="94"/>
      <c r="CX103" s="94"/>
      <c r="CY103" s="94"/>
      <c r="CZ103" s="94"/>
      <c r="DA103" s="94"/>
      <c r="DB103" s="94"/>
      <c r="DC103" s="94"/>
    </row>
    <row r="104" spans="1:107" s="5" customFormat="1" ht="12.75" customHeight="1">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4"/>
      <c r="BZ104" s="94"/>
      <c r="CA104" s="94"/>
      <c r="CB104" s="94"/>
      <c r="CC104" s="94"/>
      <c r="CD104" s="94"/>
      <c r="CE104" s="94"/>
      <c r="CF104" s="94"/>
      <c r="CG104" s="94"/>
      <c r="CH104" s="94"/>
      <c r="CI104" s="94"/>
      <c r="CJ104" s="94"/>
      <c r="CK104" s="94"/>
      <c r="CL104" s="94"/>
      <c r="CM104" s="94"/>
      <c r="CN104" s="94"/>
      <c r="CO104" s="94"/>
      <c r="CP104" s="94"/>
      <c r="CQ104" s="94"/>
      <c r="CR104" s="94"/>
      <c r="CS104" s="94"/>
      <c r="CT104" s="94"/>
      <c r="CU104" s="94"/>
      <c r="CV104" s="94"/>
      <c r="CW104" s="94"/>
      <c r="CX104" s="94"/>
      <c r="CY104" s="94"/>
      <c r="CZ104" s="94"/>
      <c r="DA104" s="94"/>
      <c r="DB104" s="94"/>
      <c r="DC104" s="94"/>
    </row>
    <row r="105" spans="1:107" s="5" customFormat="1" ht="12.75" customHeight="1">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T105" s="94"/>
      <c r="BU105" s="94"/>
      <c r="BV105" s="94"/>
      <c r="BW105" s="94"/>
      <c r="BX105" s="94"/>
      <c r="BY105" s="94"/>
      <c r="BZ105" s="94"/>
      <c r="CA105" s="94"/>
      <c r="CB105" s="94"/>
      <c r="CC105" s="94"/>
      <c r="CD105" s="94"/>
      <c r="CE105" s="94"/>
      <c r="CF105" s="94"/>
      <c r="CG105" s="94"/>
      <c r="CH105" s="94"/>
      <c r="CI105" s="94"/>
      <c r="CJ105" s="94"/>
      <c r="CK105" s="94"/>
      <c r="CL105" s="94"/>
      <c r="CM105" s="94"/>
      <c r="CN105" s="94"/>
      <c r="CO105" s="94"/>
      <c r="CP105" s="94"/>
      <c r="CQ105" s="94"/>
      <c r="CR105" s="94"/>
      <c r="CS105" s="94"/>
      <c r="CT105" s="94"/>
      <c r="CU105" s="94"/>
      <c r="CV105" s="94"/>
      <c r="CW105" s="94"/>
      <c r="CX105" s="94"/>
      <c r="CY105" s="94"/>
      <c r="CZ105" s="94"/>
      <c r="DA105" s="94"/>
      <c r="DB105" s="94"/>
      <c r="DC105" s="94"/>
    </row>
    <row r="106" spans="1:107" s="5" customFormat="1" ht="12.75" customHeight="1">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T106" s="94"/>
      <c r="BU106" s="94"/>
      <c r="BV106" s="94"/>
      <c r="BW106" s="94"/>
      <c r="BX106" s="94"/>
      <c r="BY106" s="94"/>
      <c r="BZ106" s="94"/>
      <c r="CA106" s="94"/>
      <c r="CB106" s="94"/>
      <c r="CC106" s="94"/>
      <c r="CD106" s="94"/>
      <c r="CE106" s="94"/>
      <c r="CF106" s="94"/>
      <c r="CG106" s="94"/>
      <c r="CH106" s="94"/>
      <c r="CI106" s="94"/>
      <c r="CJ106" s="94"/>
      <c r="CK106" s="94"/>
      <c r="CL106" s="94"/>
      <c r="CM106" s="94"/>
      <c r="CN106" s="94"/>
      <c r="CO106" s="94"/>
      <c r="CP106" s="94"/>
      <c r="CQ106" s="94"/>
      <c r="CR106" s="94"/>
      <c r="CS106" s="94"/>
      <c r="CT106" s="94"/>
      <c r="CU106" s="94"/>
      <c r="CV106" s="94"/>
      <c r="CW106" s="94"/>
      <c r="CX106" s="94"/>
      <c r="CY106" s="94"/>
      <c r="CZ106" s="94"/>
      <c r="DA106" s="94"/>
      <c r="DB106" s="94"/>
      <c r="DC106" s="94"/>
    </row>
    <row r="107" spans="1:107" s="5" customFormat="1" ht="12.75" customHeight="1">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T107" s="94"/>
      <c r="BU107" s="94"/>
      <c r="BV107" s="94"/>
      <c r="BW107" s="94"/>
      <c r="BX107" s="94"/>
      <c r="BY107" s="94"/>
      <c r="BZ107" s="94"/>
      <c r="CA107" s="94"/>
      <c r="CB107" s="94"/>
      <c r="CC107" s="94"/>
      <c r="CD107" s="94"/>
      <c r="CE107" s="94"/>
      <c r="CF107" s="94"/>
      <c r="CG107" s="94"/>
      <c r="CH107" s="94"/>
      <c r="CI107" s="94"/>
      <c r="CJ107" s="94"/>
      <c r="CK107" s="94"/>
      <c r="CL107" s="94"/>
      <c r="CM107" s="94"/>
      <c r="CN107" s="94"/>
      <c r="CO107" s="94"/>
      <c r="CP107" s="94"/>
      <c r="CQ107" s="94"/>
      <c r="CR107" s="94"/>
      <c r="CS107" s="94"/>
      <c r="CT107" s="94"/>
      <c r="CU107" s="94"/>
      <c r="CV107" s="94"/>
      <c r="CW107" s="94"/>
      <c r="CX107" s="94"/>
      <c r="CY107" s="94"/>
      <c r="CZ107" s="94"/>
      <c r="DA107" s="94"/>
      <c r="DB107" s="94"/>
      <c r="DC107" s="94"/>
    </row>
    <row r="108" spans="1:107" s="5" customFormat="1" ht="12.75" customHeight="1">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A108" s="94"/>
      <c r="CB108" s="94"/>
      <c r="CC108" s="94"/>
      <c r="CD108" s="94"/>
      <c r="CE108" s="94"/>
      <c r="CF108" s="94"/>
      <c r="CG108" s="94"/>
      <c r="CH108" s="94"/>
      <c r="CI108" s="94"/>
      <c r="CJ108" s="94"/>
      <c r="CK108" s="94"/>
      <c r="CL108" s="94"/>
      <c r="CM108" s="94"/>
      <c r="CN108" s="94"/>
      <c r="CO108" s="94"/>
      <c r="CP108" s="94"/>
      <c r="CQ108" s="94"/>
      <c r="CR108" s="94"/>
      <c r="CS108" s="94"/>
      <c r="CT108" s="94"/>
      <c r="CU108" s="94"/>
      <c r="CV108" s="94"/>
      <c r="CW108" s="94"/>
      <c r="CX108" s="94"/>
      <c r="CY108" s="94"/>
      <c r="CZ108" s="94"/>
      <c r="DA108" s="94"/>
      <c r="DB108" s="94"/>
      <c r="DC108" s="94"/>
    </row>
    <row r="109" spans="1:107" s="5" customFormat="1" ht="12.75" customHeight="1">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c r="DA109" s="94"/>
      <c r="DB109" s="94"/>
      <c r="DC109" s="94"/>
    </row>
    <row r="110" spans="1:107" s="5" customFormat="1" ht="12.75" customHeight="1">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94"/>
      <c r="CD110" s="94"/>
      <c r="CE110" s="94"/>
      <c r="CF110" s="94"/>
      <c r="CG110" s="94"/>
      <c r="CH110" s="94"/>
      <c r="CI110" s="94"/>
      <c r="CJ110" s="94"/>
      <c r="CK110" s="94"/>
      <c r="CL110" s="94"/>
      <c r="CM110" s="94"/>
      <c r="CN110" s="94"/>
      <c r="CO110" s="94"/>
      <c r="CP110" s="94"/>
      <c r="CQ110" s="94"/>
      <c r="CR110" s="94"/>
      <c r="CS110" s="94"/>
      <c r="CT110" s="94"/>
      <c r="CU110" s="94"/>
      <c r="CV110" s="94"/>
      <c r="CW110" s="94"/>
      <c r="CX110" s="94"/>
      <c r="CY110" s="94"/>
      <c r="CZ110" s="94"/>
      <c r="DA110" s="94"/>
      <c r="DB110" s="94"/>
      <c r="DC110" s="94"/>
    </row>
    <row r="111" spans="1:107" s="5" customFormat="1" ht="12.75" customHeight="1">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94"/>
      <c r="CE111" s="94"/>
      <c r="CF111" s="94"/>
      <c r="CG111" s="94"/>
      <c r="CH111" s="94"/>
      <c r="CI111" s="94"/>
      <c r="CJ111" s="94"/>
      <c r="CK111" s="94"/>
      <c r="CL111" s="94"/>
      <c r="CM111" s="94"/>
      <c r="CN111" s="94"/>
      <c r="CO111" s="94"/>
      <c r="CP111" s="94"/>
      <c r="CQ111" s="94"/>
      <c r="CR111" s="94"/>
      <c r="CS111" s="94"/>
      <c r="CT111" s="94"/>
      <c r="CU111" s="94"/>
      <c r="CV111" s="94"/>
      <c r="CW111" s="94"/>
      <c r="CX111" s="94"/>
      <c r="CY111" s="94"/>
      <c r="CZ111" s="94"/>
      <c r="DA111" s="94"/>
      <c r="DB111" s="94"/>
      <c r="DC111" s="94"/>
    </row>
    <row r="112" spans="1:107" s="5" customFormat="1" ht="12.75" customHeight="1">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4"/>
      <c r="BH112" s="94"/>
      <c r="BI112" s="94"/>
      <c r="BJ112" s="94"/>
      <c r="BK112" s="94"/>
      <c r="BL112" s="94"/>
      <c r="BM112" s="94"/>
      <c r="BN112" s="94"/>
      <c r="BO112" s="94"/>
      <c r="BP112" s="94"/>
      <c r="BQ112" s="94"/>
      <c r="BR112" s="94"/>
      <c r="BS112" s="94"/>
      <c r="BT112" s="94"/>
      <c r="BU112" s="94"/>
      <c r="BV112" s="94"/>
      <c r="BW112" s="94"/>
      <c r="BX112" s="94"/>
      <c r="BY112" s="94"/>
      <c r="BZ112" s="94"/>
      <c r="CA112" s="94"/>
      <c r="CB112" s="94"/>
      <c r="CC112" s="94"/>
      <c r="CD112" s="94"/>
      <c r="CE112" s="94"/>
      <c r="CF112" s="94"/>
      <c r="CG112" s="94"/>
      <c r="CH112" s="94"/>
      <c r="CI112" s="94"/>
      <c r="CJ112" s="94"/>
      <c r="CK112" s="94"/>
      <c r="CL112" s="94"/>
      <c r="CM112" s="94"/>
      <c r="CN112" s="94"/>
      <c r="CO112" s="94"/>
      <c r="CP112" s="94"/>
      <c r="CQ112" s="94"/>
      <c r="CR112" s="94"/>
      <c r="CS112" s="94"/>
      <c r="CT112" s="94"/>
      <c r="CU112" s="94"/>
      <c r="CV112" s="94"/>
      <c r="CW112" s="94"/>
      <c r="CX112" s="94"/>
      <c r="CY112" s="94"/>
      <c r="CZ112" s="94"/>
      <c r="DA112" s="94"/>
      <c r="DB112" s="94"/>
      <c r="DC112" s="94"/>
    </row>
    <row r="113" spans="1:107" s="5" customFormat="1" ht="12.75" customHeight="1">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row>
    <row r="114" spans="1:107" s="5" customFormat="1" ht="12.75" customHeight="1">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c r="BK114" s="94"/>
      <c r="BL114" s="94"/>
      <c r="BM114" s="94"/>
      <c r="BN114" s="94"/>
      <c r="BO114" s="94"/>
      <c r="BP114" s="94"/>
      <c r="BQ114" s="94"/>
      <c r="BR114" s="94"/>
      <c r="BS114" s="94"/>
      <c r="BT114" s="94"/>
      <c r="BU114" s="94"/>
      <c r="BV114" s="94"/>
      <c r="BW114" s="94"/>
      <c r="BX114" s="94"/>
      <c r="BY114" s="94"/>
      <c r="BZ114" s="94"/>
      <c r="CA114" s="94"/>
      <c r="CB114" s="94"/>
      <c r="CC114" s="94"/>
      <c r="CD114" s="94"/>
      <c r="CE114" s="94"/>
      <c r="CF114" s="94"/>
      <c r="CG114" s="94"/>
      <c r="CH114" s="94"/>
      <c r="CI114" s="94"/>
      <c r="CJ114" s="94"/>
      <c r="CK114" s="94"/>
      <c r="CL114" s="94"/>
      <c r="CM114" s="94"/>
      <c r="CN114" s="94"/>
      <c r="CO114" s="94"/>
      <c r="CP114" s="94"/>
      <c r="CQ114" s="94"/>
      <c r="CR114" s="94"/>
      <c r="CS114" s="94"/>
      <c r="CT114" s="94"/>
      <c r="CU114" s="94"/>
      <c r="CV114" s="94"/>
      <c r="CW114" s="94"/>
      <c r="CX114" s="94"/>
      <c r="CY114" s="94"/>
      <c r="CZ114" s="94"/>
      <c r="DA114" s="94"/>
      <c r="DB114" s="94"/>
      <c r="DC114" s="94"/>
    </row>
    <row r="115" spans="1:107" s="5" customFormat="1" ht="12.75" customHeight="1">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A115" s="94"/>
      <c r="CB115" s="94"/>
      <c r="CC115" s="94"/>
      <c r="CD115" s="94"/>
      <c r="CE115" s="94"/>
      <c r="CF115" s="94"/>
      <c r="CG115" s="94"/>
      <c r="CH115" s="94"/>
      <c r="CI115" s="94"/>
      <c r="CJ115" s="94"/>
      <c r="CK115" s="94"/>
      <c r="CL115" s="94"/>
      <c r="CM115" s="94"/>
      <c r="CN115" s="94"/>
      <c r="CO115" s="94"/>
      <c r="CP115" s="94"/>
      <c r="CQ115" s="94"/>
      <c r="CR115" s="94"/>
      <c r="CS115" s="94"/>
      <c r="CT115" s="94"/>
      <c r="CU115" s="94"/>
      <c r="CV115" s="94"/>
      <c r="CW115" s="94"/>
      <c r="CX115" s="94"/>
      <c r="CY115" s="94"/>
      <c r="CZ115" s="94"/>
      <c r="DA115" s="94"/>
      <c r="DB115" s="94"/>
      <c r="DC115" s="94"/>
    </row>
    <row r="116" spans="1:107" s="5" customFormat="1" ht="12.75" customHeight="1">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94"/>
      <c r="CD116" s="94"/>
      <c r="CE116" s="94"/>
      <c r="CF116" s="94"/>
      <c r="CG116" s="94"/>
      <c r="CH116" s="94"/>
      <c r="CI116" s="94"/>
      <c r="CJ116" s="94"/>
      <c r="CK116" s="94"/>
      <c r="CL116" s="94"/>
      <c r="CM116" s="94"/>
      <c r="CN116" s="94"/>
      <c r="CO116" s="94"/>
      <c r="CP116" s="94"/>
      <c r="CQ116" s="94"/>
      <c r="CR116" s="94"/>
      <c r="CS116" s="94"/>
      <c r="CT116" s="94"/>
      <c r="CU116" s="94"/>
      <c r="CV116" s="94"/>
      <c r="CW116" s="94"/>
      <c r="CX116" s="94"/>
      <c r="CY116" s="94"/>
      <c r="CZ116" s="94"/>
      <c r="DA116" s="94"/>
      <c r="DB116" s="94"/>
      <c r="DC116" s="94"/>
    </row>
    <row r="117" spans="1:107" s="5" customFormat="1" ht="12.75" customHeight="1">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94"/>
      <c r="CD117" s="94"/>
      <c r="CE117" s="94"/>
      <c r="CF117" s="94"/>
      <c r="CG117" s="94"/>
      <c r="CH117" s="94"/>
      <c r="CI117" s="94"/>
      <c r="CJ117" s="94"/>
      <c r="CK117" s="94"/>
      <c r="CL117" s="94"/>
      <c r="CM117" s="94"/>
      <c r="CN117" s="94"/>
      <c r="CO117" s="94"/>
      <c r="CP117" s="94"/>
      <c r="CQ117" s="94"/>
      <c r="CR117" s="94"/>
      <c r="CS117" s="94"/>
      <c r="CT117" s="94"/>
      <c r="CU117" s="94"/>
      <c r="CV117" s="94"/>
      <c r="CW117" s="94"/>
      <c r="CX117" s="94"/>
      <c r="CY117" s="94"/>
      <c r="CZ117" s="94"/>
      <c r="DA117" s="94"/>
      <c r="DB117" s="94"/>
      <c r="DC117" s="94"/>
    </row>
    <row r="118" spans="1:107" s="5" customFormat="1" ht="12.75" customHeight="1">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c r="DA118" s="94"/>
      <c r="DB118" s="94"/>
      <c r="DC118" s="94"/>
    </row>
    <row r="119" spans="1:107" s="5" customFormat="1" ht="12.75" customHeight="1">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c r="DA119" s="94"/>
      <c r="DB119" s="94"/>
      <c r="DC119" s="94"/>
    </row>
    <row r="120" spans="1:107" s="5" customFormat="1" ht="12.75" customHeight="1">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row>
    <row r="121" spans="1:107" s="5" customFormat="1" ht="12.75" customHeight="1">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c r="DA121" s="94"/>
      <c r="DB121" s="94"/>
      <c r="DC121" s="94"/>
    </row>
    <row r="122" spans="1:107" s="5" customFormat="1" ht="12.75" customHeight="1">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A122" s="94"/>
      <c r="CB122" s="94"/>
      <c r="CC122" s="94"/>
      <c r="CD122" s="94"/>
      <c r="CE122" s="94"/>
      <c r="CF122" s="94"/>
      <c r="CG122" s="94"/>
      <c r="CH122" s="94"/>
      <c r="CI122" s="94"/>
      <c r="CJ122" s="94"/>
      <c r="CK122" s="94"/>
      <c r="CL122" s="94"/>
      <c r="CM122" s="94"/>
      <c r="CN122" s="94"/>
      <c r="CO122" s="94"/>
      <c r="CP122" s="94"/>
      <c r="CQ122" s="94"/>
      <c r="CR122" s="94"/>
      <c r="CS122" s="94"/>
      <c r="CT122" s="94"/>
      <c r="CU122" s="94"/>
      <c r="CV122" s="94"/>
      <c r="CW122" s="94"/>
      <c r="CX122" s="94"/>
      <c r="CY122" s="94"/>
      <c r="CZ122" s="94"/>
      <c r="DA122" s="94"/>
      <c r="DB122" s="94"/>
      <c r="DC122" s="94"/>
    </row>
    <row r="123" spans="1:107" s="5" customFormat="1" ht="12.75" customHeight="1">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94"/>
      <c r="CD123" s="94"/>
      <c r="CE123" s="94"/>
      <c r="CF123" s="94"/>
      <c r="CG123" s="94"/>
      <c r="CH123" s="94"/>
      <c r="CI123" s="94"/>
      <c r="CJ123" s="94"/>
      <c r="CK123" s="94"/>
      <c r="CL123" s="94"/>
      <c r="CM123" s="94"/>
      <c r="CN123" s="94"/>
      <c r="CO123" s="94"/>
      <c r="CP123" s="94"/>
      <c r="CQ123" s="94"/>
      <c r="CR123" s="94"/>
      <c r="CS123" s="94"/>
      <c r="CT123" s="94"/>
      <c r="CU123" s="94"/>
      <c r="CV123" s="94"/>
      <c r="CW123" s="94"/>
      <c r="CX123" s="94"/>
      <c r="CY123" s="94"/>
      <c r="CZ123" s="94"/>
      <c r="DA123" s="94"/>
      <c r="DB123" s="94"/>
      <c r="DC123" s="94"/>
    </row>
    <row r="124" spans="1:107" s="5" customFormat="1" ht="12.75" customHeight="1">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94"/>
      <c r="CD124" s="94"/>
      <c r="CE124" s="94"/>
      <c r="CF124" s="94"/>
      <c r="CG124" s="94"/>
      <c r="CH124" s="94"/>
      <c r="CI124" s="94"/>
      <c r="CJ124" s="94"/>
      <c r="CK124" s="94"/>
      <c r="CL124" s="94"/>
      <c r="CM124" s="94"/>
      <c r="CN124" s="94"/>
      <c r="CO124" s="94"/>
      <c r="CP124" s="94"/>
      <c r="CQ124" s="94"/>
      <c r="CR124" s="94"/>
      <c r="CS124" s="94"/>
      <c r="CT124" s="94"/>
      <c r="CU124" s="94"/>
      <c r="CV124" s="94"/>
      <c r="CW124" s="94"/>
      <c r="CX124" s="94"/>
      <c r="CY124" s="94"/>
      <c r="CZ124" s="94"/>
      <c r="DA124" s="94"/>
      <c r="DB124" s="94"/>
      <c r="DC124" s="94"/>
    </row>
    <row r="125" spans="1:107" s="5" customFormat="1" ht="12.75"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94"/>
      <c r="CD125" s="94"/>
      <c r="CE125" s="94"/>
      <c r="CF125" s="94"/>
      <c r="CG125" s="94"/>
      <c r="CH125" s="94"/>
      <c r="CI125" s="94"/>
      <c r="CJ125" s="94"/>
      <c r="CK125" s="94"/>
      <c r="CL125" s="94"/>
      <c r="CM125" s="94"/>
      <c r="CN125" s="94"/>
      <c r="CO125" s="94"/>
      <c r="CP125" s="94"/>
      <c r="CQ125" s="94"/>
      <c r="CR125" s="94"/>
      <c r="CS125" s="94"/>
      <c r="CT125" s="94"/>
      <c r="CU125" s="94"/>
      <c r="CV125" s="94"/>
      <c r="CW125" s="94"/>
      <c r="CX125" s="94"/>
      <c r="CY125" s="94"/>
      <c r="CZ125" s="94"/>
      <c r="DA125" s="94"/>
      <c r="DB125" s="94"/>
      <c r="DC125" s="94"/>
    </row>
    <row r="126" spans="1:107" s="5" customFormat="1" ht="12.75" customHeight="1">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94"/>
      <c r="CD126" s="94"/>
      <c r="CE126" s="94"/>
      <c r="CF126" s="94"/>
      <c r="CG126" s="94"/>
      <c r="CH126" s="94"/>
      <c r="CI126" s="94"/>
      <c r="CJ126" s="94"/>
      <c r="CK126" s="94"/>
      <c r="CL126" s="94"/>
      <c r="CM126" s="94"/>
      <c r="CN126" s="94"/>
      <c r="CO126" s="94"/>
      <c r="CP126" s="94"/>
      <c r="CQ126" s="94"/>
      <c r="CR126" s="94"/>
      <c r="CS126" s="94"/>
      <c r="CT126" s="94"/>
      <c r="CU126" s="94"/>
      <c r="CV126" s="94"/>
      <c r="CW126" s="94"/>
      <c r="CX126" s="94"/>
      <c r="CY126" s="94"/>
      <c r="CZ126" s="94"/>
      <c r="DA126" s="94"/>
      <c r="DB126" s="94"/>
      <c r="DC126" s="94"/>
    </row>
    <row r="127" spans="1:107" s="5" customFormat="1" ht="12.75" customHeight="1">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c r="BC127" s="94"/>
      <c r="BD127" s="94"/>
      <c r="BE127" s="94"/>
      <c r="BF127" s="94"/>
      <c r="BG127" s="94"/>
      <c r="BH127" s="94"/>
      <c r="BI127" s="94"/>
      <c r="BJ127" s="94"/>
      <c r="BK127" s="94"/>
      <c r="BL127" s="94"/>
      <c r="BM127" s="94"/>
      <c r="BN127" s="94"/>
      <c r="BO127" s="94"/>
      <c r="BP127" s="94"/>
      <c r="BQ127" s="94"/>
      <c r="BR127" s="94"/>
      <c r="BS127" s="94"/>
      <c r="BT127" s="94"/>
      <c r="BU127" s="94"/>
      <c r="BV127" s="94"/>
      <c r="BW127" s="94"/>
      <c r="BX127" s="94"/>
      <c r="BY127" s="94"/>
      <c r="BZ127" s="94"/>
      <c r="CA127" s="94"/>
      <c r="CB127" s="94"/>
      <c r="CC127" s="94"/>
      <c r="CD127" s="94"/>
      <c r="CE127" s="94"/>
      <c r="CF127" s="94"/>
      <c r="CG127" s="94"/>
      <c r="CH127" s="94"/>
      <c r="CI127" s="94"/>
      <c r="CJ127" s="94"/>
      <c r="CK127" s="94"/>
      <c r="CL127" s="94"/>
      <c r="CM127" s="94"/>
      <c r="CN127" s="94"/>
      <c r="CO127" s="94"/>
      <c r="CP127" s="94"/>
      <c r="CQ127" s="94"/>
      <c r="CR127" s="94"/>
      <c r="CS127" s="94"/>
      <c r="CT127" s="94"/>
      <c r="CU127" s="94"/>
      <c r="CV127" s="94"/>
      <c r="CW127" s="94"/>
      <c r="CX127" s="94"/>
      <c r="CY127" s="94"/>
      <c r="CZ127" s="94"/>
      <c r="DA127" s="94"/>
      <c r="DB127" s="94"/>
      <c r="DC127" s="94"/>
    </row>
    <row r="128" spans="1:107" s="5" customFormat="1" ht="12.75"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A128" s="94"/>
      <c r="CB128" s="94"/>
      <c r="CC128" s="94"/>
      <c r="CD128" s="94"/>
      <c r="CE128" s="94"/>
      <c r="CF128" s="94"/>
      <c r="CG128" s="94"/>
      <c r="CH128" s="94"/>
      <c r="CI128" s="94"/>
      <c r="CJ128" s="94"/>
      <c r="CK128" s="94"/>
      <c r="CL128" s="94"/>
      <c r="CM128" s="94"/>
      <c r="CN128" s="94"/>
      <c r="CO128" s="94"/>
      <c r="CP128" s="94"/>
      <c r="CQ128" s="94"/>
      <c r="CR128" s="94"/>
      <c r="CS128" s="94"/>
      <c r="CT128" s="94"/>
      <c r="CU128" s="94"/>
      <c r="CV128" s="94"/>
      <c r="CW128" s="94"/>
      <c r="CX128" s="94"/>
      <c r="CY128" s="94"/>
      <c r="CZ128" s="94"/>
      <c r="DA128" s="94"/>
      <c r="DB128" s="94"/>
      <c r="DC128" s="94"/>
    </row>
    <row r="129" spans="1:107" s="5" customFormat="1" ht="12.75" customHeight="1">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c r="BK129" s="94"/>
      <c r="BL129" s="94"/>
      <c r="BM129" s="94"/>
      <c r="BN129" s="94"/>
      <c r="BO129" s="94"/>
      <c r="BP129" s="94"/>
      <c r="BQ129" s="94"/>
      <c r="BR129" s="94"/>
      <c r="BS129" s="94"/>
      <c r="BT129" s="94"/>
      <c r="BU129" s="94"/>
      <c r="BV129" s="94"/>
      <c r="BW129" s="94"/>
      <c r="BX129" s="94"/>
      <c r="BY129" s="94"/>
      <c r="BZ129" s="94"/>
      <c r="CA129" s="94"/>
      <c r="CB129" s="94"/>
      <c r="CC129" s="94"/>
      <c r="CD129" s="94"/>
      <c r="CE129" s="94"/>
      <c r="CF129" s="94"/>
      <c r="CG129" s="94"/>
      <c r="CH129" s="94"/>
      <c r="CI129" s="94"/>
      <c r="CJ129" s="94"/>
      <c r="CK129" s="94"/>
      <c r="CL129" s="94"/>
      <c r="CM129" s="94"/>
      <c r="CN129" s="94"/>
      <c r="CO129" s="94"/>
      <c r="CP129" s="94"/>
      <c r="CQ129" s="94"/>
      <c r="CR129" s="94"/>
      <c r="CS129" s="94"/>
      <c r="CT129" s="94"/>
      <c r="CU129" s="94"/>
      <c r="CV129" s="94"/>
      <c r="CW129" s="94"/>
      <c r="CX129" s="94"/>
      <c r="CY129" s="94"/>
      <c r="CZ129" s="94"/>
      <c r="DA129" s="94"/>
      <c r="DB129" s="94"/>
      <c r="DC129" s="94"/>
    </row>
    <row r="130" spans="1:107" s="5" customFormat="1" ht="12.75" customHeight="1">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c r="BC130" s="94"/>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94"/>
      <c r="CD130" s="94"/>
      <c r="CE130" s="94"/>
      <c r="CF130" s="94"/>
      <c r="CG130" s="94"/>
      <c r="CH130" s="94"/>
      <c r="CI130" s="94"/>
      <c r="CJ130" s="94"/>
      <c r="CK130" s="94"/>
      <c r="CL130" s="94"/>
      <c r="CM130" s="94"/>
      <c r="CN130" s="94"/>
      <c r="CO130" s="94"/>
      <c r="CP130" s="94"/>
      <c r="CQ130" s="94"/>
      <c r="CR130" s="94"/>
      <c r="CS130" s="94"/>
      <c r="CT130" s="94"/>
      <c r="CU130" s="94"/>
      <c r="CV130" s="94"/>
      <c r="CW130" s="94"/>
      <c r="CX130" s="94"/>
      <c r="CY130" s="94"/>
      <c r="CZ130" s="94"/>
      <c r="DA130" s="94"/>
      <c r="DB130" s="94"/>
      <c r="DC130" s="94"/>
    </row>
    <row r="131" spans="1:107" s="5" customFormat="1" ht="12.75"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94"/>
      <c r="CD131" s="94"/>
      <c r="CE131" s="94"/>
      <c r="CF131" s="94"/>
      <c r="CG131" s="94"/>
      <c r="CH131" s="94"/>
      <c r="CI131" s="94"/>
      <c r="CJ131" s="94"/>
      <c r="CK131" s="94"/>
      <c r="CL131" s="94"/>
      <c r="CM131" s="94"/>
      <c r="CN131" s="94"/>
      <c r="CO131" s="94"/>
      <c r="CP131" s="94"/>
      <c r="CQ131" s="94"/>
      <c r="CR131" s="94"/>
      <c r="CS131" s="94"/>
      <c r="CT131" s="94"/>
      <c r="CU131" s="94"/>
      <c r="CV131" s="94"/>
      <c r="CW131" s="94"/>
      <c r="CX131" s="94"/>
      <c r="CY131" s="94"/>
      <c r="CZ131" s="94"/>
      <c r="DA131" s="94"/>
      <c r="DB131" s="94"/>
      <c r="DC131" s="94"/>
    </row>
    <row r="132" spans="1:107" s="5" customFormat="1" ht="12.75" customHeight="1">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94"/>
      <c r="CD132" s="94"/>
      <c r="CE132" s="94"/>
      <c r="CF132" s="94"/>
      <c r="CG132" s="94"/>
      <c r="CH132" s="94"/>
      <c r="CI132" s="94"/>
      <c r="CJ132" s="94"/>
      <c r="CK132" s="94"/>
      <c r="CL132" s="94"/>
      <c r="CM132" s="94"/>
      <c r="CN132" s="94"/>
      <c r="CO132" s="94"/>
      <c r="CP132" s="94"/>
      <c r="CQ132" s="94"/>
      <c r="CR132" s="94"/>
      <c r="CS132" s="94"/>
      <c r="CT132" s="94"/>
      <c r="CU132" s="94"/>
      <c r="CV132" s="94"/>
      <c r="CW132" s="94"/>
      <c r="CX132" s="94"/>
      <c r="CY132" s="94"/>
      <c r="CZ132" s="94"/>
      <c r="DA132" s="94"/>
      <c r="DB132" s="94"/>
      <c r="DC132" s="94"/>
    </row>
    <row r="133" spans="1:107" s="5" customFormat="1" ht="12.75" customHeight="1">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c r="BB133" s="94"/>
      <c r="BC133" s="94"/>
      <c r="BD133" s="94"/>
      <c r="BE133" s="94"/>
      <c r="BF133" s="94"/>
      <c r="BG133" s="94"/>
      <c r="BH133" s="94"/>
      <c r="BI133" s="94"/>
      <c r="BJ133" s="94"/>
      <c r="BK133" s="94"/>
      <c r="BL133" s="94"/>
      <c r="BM133" s="94"/>
      <c r="BN133" s="94"/>
      <c r="BO133" s="94"/>
      <c r="BP133" s="94"/>
      <c r="BQ133" s="94"/>
      <c r="BR133" s="94"/>
      <c r="BS133" s="94"/>
      <c r="BT133" s="94"/>
      <c r="BU133" s="94"/>
      <c r="BV133" s="94"/>
      <c r="BW133" s="94"/>
      <c r="BX133" s="94"/>
      <c r="BY133" s="94"/>
      <c r="BZ133" s="94"/>
      <c r="CA133" s="94"/>
      <c r="CB133" s="94"/>
      <c r="CC133" s="94"/>
      <c r="CD133" s="94"/>
      <c r="CE133" s="94"/>
      <c r="CF133" s="94"/>
      <c r="CG133" s="94"/>
      <c r="CH133" s="94"/>
      <c r="CI133" s="94"/>
      <c r="CJ133" s="94"/>
      <c r="CK133" s="94"/>
      <c r="CL133" s="94"/>
      <c r="CM133" s="94"/>
      <c r="CN133" s="94"/>
      <c r="CO133" s="94"/>
      <c r="CP133" s="94"/>
      <c r="CQ133" s="94"/>
      <c r="CR133" s="94"/>
      <c r="CS133" s="94"/>
      <c r="CT133" s="94"/>
      <c r="CU133" s="94"/>
      <c r="CV133" s="94"/>
      <c r="CW133" s="94"/>
      <c r="CX133" s="94"/>
      <c r="CY133" s="94"/>
      <c r="CZ133" s="94"/>
      <c r="DA133" s="94"/>
      <c r="DB133" s="94"/>
      <c r="DC133" s="94"/>
    </row>
    <row r="134" spans="1:107" s="5" customFormat="1" ht="12.75" customHeight="1">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c r="BC134" s="94"/>
      <c r="BD134" s="94"/>
      <c r="BE134" s="94"/>
      <c r="BF134" s="94"/>
      <c r="BG134" s="94"/>
      <c r="BH134" s="94"/>
      <c r="BI134" s="94"/>
      <c r="BJ134" s="94"/>
      <c r="BK134" s="94"/>
      <c r="BL134" s="94"/>
      <c r="BM134" s="94"/>
      <c r="BN134" s="94"/>
      <c r="BO134" s="94"/>
      <c r="BP134" s="94"/>
      <c r="BQ134" s="94"/>
      <c r="BR134" s="94"/>
      <c r="BS134" s="94"/>
      <c r="BT134" s="94"/>
      <c r="BU134" s="94"/>
      <c r="BV134" s="94"/>
      <c r="BW134" s="94"/>
      <c r="BX134" s="94"/>
      <c r="BY134" s="94"/>
      <c r="BZ134" s="94"/>
      <c r="CA134" s="94"/>
      <c r="CB134" s="94"/>
      <c r="CC134" s="94"/>
      <c r="CD134" s="94"/>
      <c r="CE134" s="94"/>
      <c r="CF134" s="94"/>
      <c r="CG134" s="94"/>
      <c r="CH134" s="94"/>
      <c r="CI134" s="94"/>
      <c r="CJ134" s="94"/>
      <c r="CK134" s="94"/>
      <c r="CL134" s="94"/>
      <c r="CM134" s="94"/>
      <c r="CN134" s="94"/>
      <c r="CO134" s="94"/>
      <c r="CP134" s="94"/>
      <c r="CQ134" s="94"/>
      <c r="CR134" s="94"/>
      <c r="CS134" s="94"/>
      <c r="CT134" s="94"/>
      <c r="CU134" s="94"/>
      <c r="CV134" s="94"/>
      <c r="CW134" s="94"/>
      <c r="CX134" s="94"/>
      <c r="CY134" s="94"/>
      <c r="CZ134" s="94"/>
      <c r="DA134" s="94"/>
      <c r="DB134" s="94"/>
      <c r="DC134" s="94"/>
    </row>
    <row r="135" spans="1:107" s="5" customFormat="1" ht="12.75" customHeight="1">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94"/>
      <c r="CD135" s="94"/>
      <c r="CE135" s="94"/>
      <c r="CF135" s="94"/>
      <c r="CG135" s="94"/>
      <c r="CH135" s="94"/>
      <c r="CI135" s="94"/>
      <c r="CJ135" s="94"/>
      <c r="CK135" s="94"/>
      <c r="CL135" s="94"/>
      <c r="CM135" s="94"/>
      <c r="CN135" s="94"/>
      <c r="CO135" s="94"/>
      <c r="CP135" s="94"/>
      <c r="CQ135" s="94"/>
      <c r="CR135" s="94"/>
      <c r="CS135" s="94"/>
      <c r="CT135" s="94"/>
      <c r="CU135" s="94"/>
      <c r="CV135" s="94"/>
      <c r="CW135" s="94"/>
      <c r="CX135" s="94"/>
      <c r="CY135" s="94"/>
      <c r="CZ135" s="94"/>
      <c r="DA135" s="94"/>
      <c r="DB135" s="94"/>
      <c r="DC135" s="94"/>
    </row>
    <row r="136" spans="1:107" s="5" customFormat="1" ht="12.75" customHeight="1">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94"/>
      <c r="CD136" s="94"/>
      <c r="CE136" s="94"/>
      <c r="CF136" s="94"/>
      <c r="CG136" s="94"/>
      <c r="CH136" s="94"/>
      <c r="CI136" s="94"/>
      <c r="CJ136" s="94"/>
      <c r="CK136" s="94"/>
      <c r="CL136" s="94"/>
      <c r="CM136" s="94"/>
      <c r="CN136" s="94"/>
      <c r="CO136" s="94"/>
      <c r="CP136" s="94"/>
      <c r="CQ136" s="94"/>
      <c r="CR136" s="94"/>
      <c r="CS136" s="94"/>
      <c r="CT136" s="94"/>
      <c r="CU136" s="94"/>
      <c r="CV136" s="94"/>
      <c r="CW136" s="94"/>
      <c r="CX136" s="94"/>
      <c r="CY136" s="94"/>
      <c r="CZ136" s="94"/>
      <c r="DA136" s="94"/>
      <c r="DB136" s="94"/>
      <c r="DC136" s="94"/>
    </row>
    <row r="137" spans="1:107" s="5" customFormat="1" ht="12.75" customHeight="1">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94"/>
      <c r="CD137" s="94"/>
      <c r="CE137" s="94"/>
      <c r="CF137" s="94"/>
      <c r="CG137" s="94"/>
      <c r="CH137" s="94"/>
      <c r="CI137" s="94"/>
      <c r="CJ137" s="94"/>
      <c r="CK137" s="94"/>
      <c r="CL137" s="94"/>
      <c r="CM137" s="94"/>
      <c r="CN137" s="94"/>
      <c r="CO137" s="94"/>
      <c r="CP137" s="94"/>
      <c r="CQ137" s="94"/>
      <c r="CR137" s="94"/>
      <c r="CS137" s="94"/>
      <c r="CT137" s="94"/>
      <c r="CU137" s="94"/>
      <c r="CV137" s="94"/>
      <c r="CW137" s="94"/>
      <c r="CX137" s="94"/>
      <c r="CY137" s="94"/>
      <c r="CZ137" s="94"/>
      <c r="DA137" s="94"/>
      <c r="DB137" s="94"/>
      <c r="DC137" s="94"/>
    </row>
    <row r="138" spans="1:107" s="5" customFormat="1" ht="12.75" customHeight="1">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94"/>
      <c r="CD138" s="94"/>
      <c r="CE138" s="94"/>
      <c r="CF138" s="94"/>
      <c r="CG138" s="94"/>
      <c r="CH138" s="94"/>
      <c r="CI138" s="94"/>
      <c r="CJ138" s="94"/>
      <c r="CK138" s="94"/>
      <c r="CL138" s="94"/>
      <c r="CM138" s="94"/>
      <c r="CN138" s="94"/>
      <c r="CO138" s="94"/>
      <c r="CP138" s="94"/>
      <c r="CQ138" s="94"/>
      <c r="CR138" s="94"/>
      <c r="CS138" s="94"/>
      <c r="CT138" s="94"/>
      <c r="CU138" s="94"/>
      <c r="CV138" s="94"/>
      <c r="CW138" s="94"/>
      <c r="CX138" s="94"/>
      <c r="CY138" s="94"/>
      <c r="CZ138" s="94"/>
      <c r="DA138" s="94"/>
      <c r="DB138" s="94"/>
      <c r="DC138" s="94"/>
    </row>
    <row r="139" spans="1:107" s="5" customFormat="1" ht="12.75" customHeight="1">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94"/>
      <c r="CD139" s="94"/>
      <c r="CE139" s="94"/>
      <c r="CF139" s="94"/>
      <c r="CG139" s="94"/>
      <c r="CH139" s="94"/>
      <c r="CI139" s="94"/>
      <c r="CJ139" s="94"/>
      <c r="CK139" s="94"/>
      <c r="CL139" s="94"/>
      <c r="CM139" s="94"/>
      <c r="CN139" s="94"/>
      <c r="CO139" s="94"/>
      <c r="CP139" s="94"/>
      <c r="CQ139" s="94"/>
      <c r="CR139" s="94"/>
      <c r="CS139" s="94"/>
      <c r="CT139" s="94"/>
      <c r="CU139" s="94"/>
      <c r="CV139" s="94"/>
      <c r="CW139" s="94"/>
      <c r="CX139" s="94"/>
      <c r="CY139" s="94"/>
      <c r="CZ139" s="94"/>
      <c r="DA139" s="94"/>
      <c r="DB139" s="94"/>
      <c r="DC139" s="94"/>
    </row>
    <row r="140" spans="1:107" s="5" customFormat="1" ht="12.75" customHeight="1">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c r="BC140" s="94"/>
      <c r="BD140" s="94"/>
      <c r="BE140" s="94"/>
      <c r="BF140" s="94"/>
      <c r="BG140" s="94"/>
      <c r="BH140" s="94"/>
      <c r="BI140" s="94"/>
      <c r="BJ140" s="94"/>
      <c r="BK140" s="94"/>
      <c r="BL140" s="94"/>
      <c r="BM140" s="94"/>
      <c r="BN140" s="94"/>
      <c r="BO140" s="94"/>
      <c r="BP140" s="94"/>
      <c r="BQ140" s="94"/>
      <c r="BR140" s="94"/>
      <c r="BS140" s="94"/>
      <c r="BT140" s="94"/>
      <c r="BU140" s="94"/>
      <c r="BV140" s="94"/>
      <c r="BW140" s="94"/>
      <c r="BX140" s="94"/>
      <c r="BY140" s="94"/>
      <c r="BZ140" s="94"/>
      <c r="CA140" s="94"/>
      <c r="CB140" s="94"/>
      <c r="CC140" s="94"/>
      <c r="CD140" s="94"/>
      <c r="CE140" s="94"/>
      <c r="CF140" s="94"/>
      <c r="CG140" s="94"/>
      <c r="CH140" s="94"/>
      <c r="CI140" s="94"/>
      <c r="CJ140" s="94"/>
      <c r="CK140" s="94"/>
      <c r="CL140" s="94"/>
      <c r="CM140" s="94"/>
      <c r="CN140" s="94"/>
      <c r="CO140" s="94"/>
      <c r="CP140" s="94"/>
      <c r="CQ140" s="94"/>
      <c r="CR140" s="94"/>
      <c r="CS140" s="94"/>
      <c r="CT140" s="94"/>
      <c r="CU140" s="94"/>
      <c r="CV140" s="94"/>
      <c r="CW140" s="94"/>
      <c r="CX140" s="94"/>
      <c r="CY140" s="94"/>
      <c r="CZ140" s="94"/>
      <c r="DA140" s="94"/>
      <c r="DB140" s="94"/>
      <c r="DC140" s="94"/>
    </row>
    <row r="141" spans="1:107" s="5" customFormat="1" ht="12.75" customHeight="1">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94"/>
      <c r="CD141" s="94"/>
      <c r="CE141" s="94"/>
      <c r="CF141" s="94"/>
      <c r="CG141" s="94"/>
      <c r="CH141" s="94"/>
      <c r="CI141" s="94"/>
      <c r="CJ141" s="94"/>
      <c r="CK141" s="94"/>
      <c r="CL141" s="94"/>
      <c r="CM141" s="94"/>
      <c r="CN141" s="94"/>
      <c r="CO141" s="94"/>
      <c r="CP141" s="94"/>
      <c r="CQ141" s="94"/>
      <c r="CR141" s="94"/>
      <c r="CS141" s="94"/>
      <c r="CT141" s="94"/>
      <c r="CU141" s="94"/>
      <c r="CV141" s="94"/>
      <c r="CW141" s="94"/>
      <c r="CX141" s="94"/>
      <c r="CY141" s="94"/>
      <c r="CZ141" s="94"/>
      <c r="DA141" s="94"/>
      <c r="DB141" s="94"/>
      <c r="DC141" s="94"/>
    </row>
    <row r="142" spans="1:107" s="5" customFormat="1" ht="12.75" customHeight="1">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94"/>
      <c r="CB142" s="94"/>
      <c r="CC142" s="94"/>
      <c r="CD142" s="94"/>
      <c r="CE142" s="94"/>
      <c r="CF142" s="94"/>
      <c r="CG142" s="94"/>
      <c r="CH142" s="94"/>
      <c r="CI142" s="94"/>
      <c r="CJ142" s="94"/>
      <c r="CK142" s="94"/>
      <c r="CL142" s="94"/>
      <c r="CM142" s="94"/>
      <c r="CN142" s="94"/>
      <c r="CO142" s="94"/>
      <c r="CP142" s="94"/>
      <c r="CQ142" s="94"/>
      <c r="CR142" s="94"/>
      <c r="CS142" s="94"/>
      <c r="CT142" s="94"/>
      <c r="CU142" s="94"/>
      <c r="CV142" s="94"/>
      <c r="CW142" s="94"/>
      <c r="CX142" s="94"/>
      <c r="CY142" s="94"/>
      <c r="CZ142" s="94"/>
      <c r="DA142" s="94"/>
      <c r="DB142" s="94"/>
      <c r="DC142" s="94"/>
    </row>
    <row r="143" spans="1:107" s="5" customFormat="1" ht="12.75" customHeight="1">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94"/>
      <c r="CD143" s="94"/>
      <c r="CE143" s="94"/>
      <c r="CF143" s="94"/>
      <c r="CG143" s="94"/>
      <c r="CH143" s="94"/>
      <c r="CI143" s="94"/>
      <c r="CJ143" s="94"/>
      <c r="CK143" s="94"/>
      <c r="CL143" s="94"/>
      <c r="CM143" s="94"/>
      <c r="CN143" s="94"/>
      <c r="CO143" s="94"/>
      <c r="CP143" s="94"/>
      <c r="CQ143" s="94"/>
      <c r="CR143" s="94"/>
      <c r="CS143" s="94"/>
      <c r="CT143" s="94"/>
      <c r="CU143" s="94"/>
      <c r="CV143" s="94"/>
      <c r="CW143" s="94"/>
      <c r="CX143" s="94"/>
      <c r="CY143" s="94"/>
      <c r="CZ143" s="94"/>
      <c r="DA143" s="94"/>
      <c r="DB143" s="94"/>
      <c r="DC143" s="94"/>
    </row>
    <row r="144" spans="1:107" s="5" customFormat="1" ht="12.75" customHeight="1">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94"/>
      <c r="CD144" s="94"/>
      <c r="CE144" s="94"/>
      <c r="CF144" s="94"/>
      <c r="CG144" s="94"/>
      <c r="CH144" s="94"/>
      <c r="CI144" s="94"/>
      <c r="CJ144" s="94"/>
      <c r="CK144" s="94"/>
      <c r="CL144" s="94"/>
      <c r="CM144" s="94"/>
      <c r="CN144" s="94"/>
      <c r="CO144" s="94"/>
      <c r="CP144" s="94"/>
      <c r="CQ144" s="94"/>
      <c r="CR144" s="94"/>
      <c r="CS144" s="94"/>
      <c r="CT144" s="94"/>
      <c r="CU144" s="94"/>
      <c r="CV144" s="94"/>
      <c r="CW144" s="94"/>
      <c r="CX144" s="94"/>
      <c r="CY144" s="94"/>
      <c r="CZ144" s="94"/>
      <c r="DA144" s="94"/>
      <c r="DB144" s="94"/>
      <c r="DC144" s="94"/>
    </row>
    <row r="145" spans="1:107" s="5" customFormat="1" ht="12.75" customHeight="1">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A145" s="94"/>
      <c r="CB145" s="94"/>
      <c r="CC145" s="94"/>
      <c r="CD145" s="94"/>
      <c r="CE145" s="94"/>
      <c r="CF145" s="94"/>
      <c r="CG145" s="94"/>
      <c r="CH145" s="94"/>
      <c r="CI145" s="94"/>
      <c r="CJ145" s="94"/>
      <c r="CK145" s="94"/>
      <c r="CL145" s="94"/>
      <c r="CM145" s="94"/>
      <c r="CN145" s="94"/>
      <c r="CO145" s="94"/>
      <c r="CP145" s="94"/>
      <c r="CQ145" s="94"/>
      <c r="CR145" s="94"/>
      <c r="CS145" s="94"/>
      <c r="CT145" s="94"/>
      <c r="CU145" s="94"/>
      <c r="CV145" s="94"/>
      <c r="CW145" s="94"/>
      <c r="CX145" s="94"/>
      <c r="CY145" s="94"/>
      <c r="CZ145" s="94"/>
      <c r="DA145" s="94"/>
      <c r="DB145" s="94"/>
      <c r="DC145" s="94"/>
    </row>
    <row r="146" spans="1:107" s="5" customFormat="1" ht="12.75" customHeight="1">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94"/>
      <c r="CD146" s="94"/>
      <c r="CE146" s="94"/>
      <c r="CF146" s="94"/>
      <c r="CG146" s="94"/>
      <c r="CH146" s="94"/>
      <c r="CI146" s="94"/>
      <c r="CJ146" s="94"/>
      <c r="CK146" s="94"/>
      <c r="CL146" s="94"/>
      <c r="CM146" s="94"/>
      <c r="CN146" s="94"/>
      <c r="CO146" s="94"/>
      <c r="CP146" s="94"/>
      <c r="CQ146" s="94"/>
      <c r="CR146" s="94"/>
      <c r="CS146" s="94"/>
      <c r="CT146" s="94"/>
      <c r="CU146" s="94"/>
      <c r="CV146" s="94"/>
      <c r="CW146" s="94"/>
      <c r="CX146" s="94"/>
      <c r="CY146" s="94"/>
      <c r="CZ146" s="94"/>
      <c r="DA146" s="94"/>
      <c r="DB146" s="94"/>
      <c r="DC146" s="94"/>
    </row>
    <row r="147" spans="1:107" s="5" customFormat="1" ht="12.75" customHeight="1">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94"/>
      <c r="CD147" s="94"/>
      <c r="CE147" s="94"/>
      <c r="CF147" s="94"/>
      <c r="CG147" s="94"/>
      <c r="CH147" s="94"/>
      <c r="CI147" s="94"/>
      <c r="CJ147" s="94"/>
      <c r="CK147" s="94"/>
      <c r="CL147" s="94"/>
      <c r="CM147" s="94"/>
      <c r="CN147" s="94"/>
      <c r="CO147" s="94"/>
      <c r="CP147" s="94"/>
      <c r="CQ147" s="94"/>
      <c r="CR147" s="94"/>
      <c r="CS147" s="94"/>
      <c r="CT147" s="94"/>
      <c r="CU147" s="94"/>
      <c r="CV147" s="94"/>
      <c r="CW147" s="94"/>
      <c r="CX147" s="94"/>
      <c r="CY147" s="94"/>
      <c r="CZ147" s="94"/>
      <c r="DA147" s="94"/>
      <c r="DB147" s="94"/>
      <c r="DC147" s="94"/>
    </row>
    <row r="148" spans="1:107" s="5" customFormat="1" ht="12.75" customHeight="1">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94"/>
      <c r="CD148" s="94"/>
      <c r="CE148" s="94"/>
      <c r="CF148" s="94"/>
      <c r="CG148" s="94"/>
      <c r="CH148" s="94"/>
      <c r="CI148" s="94"/>
      <c r="CJ148" s="94"/>
      <c r="CK148" s="94"/>
      <c r="CL148" s="94"/>
      <c r="CM148" s="94"/>
      <c r="CN148" s="94"/>
      <c r="CO148" s="94"/>
      <c r="CP148" s="94"/>
      <c r="CQ148" s="94"/>
      <c r="CR148" s="94"/>
      <c r="CS148" s="94"/>
      <c r="CT148" s="94"/>
      <c r="CU148" s="94"/>
      <c r="CV148" s="94"/>
      <c r="CW148" s="94"/>
      <c r="CX148" s="94"/>
      <c r="CY148" s="94"/>
      <c r="CZ148" s="94"/>
      <c r="DA148" s="94"/>
      <c r="DB148" s="94"/>
      <c r="DC148" s="94"/>
    </row>
    <row r="149" spans="1:107" s="5" customFormat="1" ht="12.75" customHeigh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94"/>
      <c r="CD149" s="94"/>
      <c r="CE149" s="94"/>
      <c r="CF149" s="94"/>
      <c r="CG149" s="94"/>
      <c r="CH149" s="94"/>
      <c r="CI149" s="94"/>
      <c r="CJ149" s="94"/>
      <c r="CK149" s="94"/>
      <c r="CL149" s="94"/>
      <c r="CM149" s="94"/>
      <c r="CN149" s="94"/>
      <c r="CO149" s="94"/>
      <c r="CP149" s="94"/>
      <c r="CQ149" s="94"/>
      <c r="CR149" s="94"/>
      <c r="CS149" s="94"/>
      <c r="CT149" s="94"/>
      <c r="CU149" s="94"/>
      <c r="CV149" s="94"/>
      <c r="CW149" s="94"/>
      <c r="CX149" s="94"/>
      <c r="CY149" s="94"/>
      <c r="CZ149" s="94"/>
      <c r="DA149" s="94"/>
      <c r="DB149" s="94"/>
      <c r="DC149" s="94"/>
    </row>
    <row r="150" spans="1:107" s="5" customFormat="1" ht="12.75" customHeight="1">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4"/>
      <c r="BB150" s="94"/>
      <c r="BC150" s="94"/>
      <c r="BD150" s="94"/>
      <c r="BE150" s="94"/>
      <c r="BF150" s="94"/>
      <c r="BG150" s="94"/>
      <c r="BH150" s="94"/>
      <c r="BI150" s="94"/>
      <c r="BJ150" s="94"/>
      <c r="BK150" s="94"/>
      <c r="BL150" s="94"/>
      <c r="BM150" s="94"/>
      <c r="BN150" s="94"/>
      <c r="BO150" s="94"/>
      <c r="BP150" s="94"/>
      <c r="BQ150" s="94"/>
      <c r="BR150" s="94"/>
      <c r="BS150" s="94"/>
      <c r="BT150" s="94"/>
      <c r="BU150" s="94"/>
      <c r="BV150" s="94"/>
      <c r="BW150" s="94"/>
      <c r="BX150" s="94"/>
      <c r="BY150" s="94"/>
      <c r="BZ150" s="94"/>
      <c r="CA150" s="94"/>
      <c r="CB150" s="94"/>
      <c r="CC150" s="94"/>
      <c r="CD150" s="94"/>
      <c r="CE150" s="94"/>
      <c r="CF150" s="94"/>
      <c r="CG150" s="94"/>
      <c r="CH150" s="94"/>
      <c r="CI150" s="94"/>
      <c r="CJ150" s="94"/>
      <c r="CK150" s="94"/>
      <c r="CL150" s="94"/>
      <c r="CM150" s="94"/>
      <c r="CN150" s="94"/>
      <c r="CO150" s="94"/>
      <c r="CP150" s="94"/>
      <c r="CQ150" s="94"/>
      <c r="CR150" s="94"/>
      <c r="CS150" s="94"/>
      <c r="CT150" s="94"/>
      <c r="CU150" s="94"/>
      <c r="CV150" s="94"/>
      <c r="CW150" s="94"/>
      <c r="CX150" s="94"/>
      <c r="CY150" s="94"/>
      <c r="CZ150" s="94"/>
      <c r="DA150" s="94"/>
      <c r="DB150" s="94"/>
      <c r="DC150" s="94"/>
    </row>
    <row r="151" spans="1:107" s="5" customFormat="1" ht="12.75" customHeight="1">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c r="BC151" s="94"/>
      <c r="BD151" s="94"/>
      <c r="BE151" s="94"/>
      <c r="BF151" s="94"/>
      <c r="BG151" s="94"/>
      <c r="BH151" s="94"/>
      <c r="BI151" s="94"/>
      <c r="BJ151" s="94"/>
      <c r="BK151" s="94"/>
      <c r="BL151" s="94"/>
      <c r="BM151" s="94"/>
      <c r="BN151" s="94"/>
      <c r="BO151" s="94"/>
      <c r="BP151" s="94"/>
      <c r="BQ151" s="94"/>
      <c r="BR151" s="94"/>
      <c r="BS151" s="94"/>
      <c r="BT151" s="94"/>
      <c r="BU151" s="94"/>
      <c r="BV151" s="94"/>
      <c r="BW151" s="94"/>
      <c r="BX151" s="94"/>
      <c r="BY151" s="94"/>
      <c r="BZ151" s="94"/>
      <c r="CA151" s="94"/>
      <c r="CB151" s="94"/>
      <c r="CC151" s="94"/>
      <c r="CD151" s="94"/>
      <c r="CE151" s="94"/>
      <c r="CF151" s="94"/>
      <c r="CG151" s="94"/>
      <c r="CH151" s="94"/>
      <c r="CI151" s="94"/>
      <c r="CJ151" s="94"/>
      <c r="CK151" s="94"/>
      <c r="CL151" s="94"/>
      <c r="CM151" s="94"/>
      <c r="CN151" s="94"/>
      <c r="CO151" s="94"/>
      <c r="CP151" s="94"/>
      <c r="CQ151" s="94"/>
      <c r="CR151" s="94"/>
      <c r="CS151" s="94"/>
      <c r="CT151" s="94"/>
      <c r="CU151" s="94"/>
      <c r="CV151" s="94"/>
      <c r="CW151" s="94"/>
      <c r="CX151" s="94"/>
      <c r="CY151" s="94"/>
      <c r="CZ151" s="94"/>
      <c r="DA151" s="94"/>
      <c r="DB151" s="94"/>
      <c r="DC151" s="94"/>
    </row>
    <row r="152" spans="1:107" s="5" customFormat="1" ht="12.75" customHeight="1">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row>
    <row r="153" spans="1:107" s="5" customFormat="1" ht="12.75" customHeight="1">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94"/>
      <c r="CD153" s="94"/>
      <c r="CE153" s="94"/>
      <c r="CF153" s="94"/>
      <c r="CG153" s="94"/>
      <c r="CH153" s="94"/>
      <c r="CI153" s="94"/>
      <c r="CJ153" s="94"/>
      <c r="CK153" s="94"/>
      <c r="CL153" s="94"/>
      <c r="CM153" s="94"/>
      <c r="CN153" s="94"/>
      <c r="CO153" s="94"/>
      <c r="CP153" s="94"/>
      <c r="CQ153" s="94"/>
      <c r="CR153" s="94"/>
      <c r="CS153" s="94"/>
      <c r="CT153" s="94"/>
      <c r="CU153" s="94"/>
      <c r="CV153" s="94"/>
      <c r="CW153" s="94"/>
      <c r="CX153" s="94"/>
      <c r="CY153" s="94"/>
      <c r="CZ153" s="94"/>
      <c r="DA153" s="94"/>
      <c r="DB153" s="94"/>
      <c r="DC153" s="94"/>
    </row>
    <row r="154" spans="1:107" s="5" customFormat="1" ht="12.75" customHeight="1">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c r="BB154" s="94"/>
      <c r="BC154" s="94"/>
      <c r="BD154" s="94"/>
      <c r="BE154" s="94"/>
      <c r="BF154" s="94"/>
      <c r="BG154" s="94"/>
      <c r="BH154" s="94"/>
      <c r="BI154" s="94"/>
      <c r="BJ154" s="94"/>
      <c r="BK154" s="94"/>
      <c r="BL154" s="94"/>
      <c r="BM154" s="94"/>
      <c r="BN154" s="94"/>
      <c r="BO154" s="94"/>
      <c r="BP154" s="94"/>
      <c r="BQ154" s="94"/>
      <c r="BR154" s="94"/>
      <c r="BS154" s="94"/>
      <c r="BT154" s="94"/>
      <c r="BU154" s="94"/>
      <c r="BV154" s="94"/>
      <c r="BW154" s="94"/>
      <c r="BX154" s="94"/>
      <c r="BY154" s="94"/>
      <c r="BZ154" s="94"/>
      <c r="CA154" s="94"/>
      <c r="CB154" s="94"/>
      <c r="CC154" s="94"/>
      <c r="CD154" s="94"/>
      <c r="CE154" s="94"/>
      <c r="CF154" s="94"/>
      <c r="CG154" s="94"/>
      <c r="CH154" s="94"/>
      <c r="CI154" s="94"/>
      <c r="CJ154" s="94"/>
      <c r="CK154" s="94"/>
      <c r="CL154" s="94"/>
      <c r="CM154" s="94"/>
      <c r="CN154" s="94"/>
      <c r="CO154" s="94"/>
      <c r="CP154" s="94"/>
      <c r="CQ154" s="94"/>
      <c r="CR154" s="94"/>
      <c r="CS154" s="94"/>
      <c r="CT154" s="94"/>
      <c r="CU154" s="94"/>
      <c r="CV154" s="94"/>
      <c r="CW154" s="94"/>
      <c r="CX154" s="94"/>
      <c r="CY154" s="94"/>
      <c r="CZ154" s="94"/>
      <c r="DA154" s="94"/>
      <c r="DB154" s="94"/>
      <c r="DC154" s="94"/>
    </row>
    <row r="155" spans="1:107" s="5" customFormat="1" ht="12.75" customHeight="1">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94"/>
      <c r="CD155" s="94"/>
      <c r="CE155" s="94"/>
      <c r="CF155" s="94"/>
      <c r="CG155" s="94"/>
      <c r="CH155" s="94"/>
      <c r="CI155" s="94"/>
      <c r="CJ155" s="94"/>
      <c r="CK155" s="94"/>
      <c r="CL155" s="94"/>
      <c r="CM155" s="94"/>
      <c r="CN155" s="94"/>
      <c r="CO155" s="94"/>
      <c r="CP155" s="94"/>
      <c r="CQ155" s="94"/>
      <c r="CR155" s="94"/>
      <c r="CS155" s="94"/>
      <c r="CT155" s="94"/>
      <c r="CU155" s="94"/>
      <c r="CV155" s="94"/>
      <c r="CW155" s="94"/>
      <c r="CX155" s="94"/>
      <c r="CY155" s="94"/>
      <c r="CZ155" s="94"/>
      <c r="DA155" s="94"/>
      <c r="DB155" s="94"/>
      <c r="DC155" s="94"/>
    </row>
    <row r="156" spans="1:107" s="5" customFormat="1" ht="12.75" customHeight="1">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94"/>
      <c r="CD156" s="94"/>
      <c r="CE156" s="94"/>
      <c r="CF156" s="94"/>
      <c r="CG156" s="94"/>
      <c r="CH156" s="94"/>
      <c r="CI156" s="94"/>
      <c r="CJ156" s="94"/>
      <c r="CK156" s="94"/>
      <c r="CL156" s="94"/>
      <c r="CM156" s="94"/>
      <c r="CN156" s="94"/>
      <c r="CO156" s="94"/>
      <c r="CP156" s="94"/>
      <c r="CQ156" s="94"/>
      <c r="CR156" s="94"/>
      <c r="CS156" s="94"/>
      <c r="CT156" s="94"/>
      <c r="CU156" s="94"/>
      <c r="CV156" s="94"/>
      <c r="CW156" s="94"/>
      <c r="CX156" s="94"/>
      <c r="CY156" s="94"/>
      <c r="CZ156" s="94"/>
      <c r="DA156" s="94"/>
      <c r="DB156" s="94"/>
      <c r="DC156" s="94"/>
    </row>
    <row r="157" spans="1:107" s="5" customFormat="1" ht="12.75" customHeight="1">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4"/>
      <c r="BB157" s="94"/>
      <c r="BC157" s="94"/>
      <c r="BD157" s="94"/>
      <c r="BE157" s="94"/>
      <c r="BF157" s="94"/>
      <c r="BG157" s="94"/>
      <c r="BH157" s="94"/>
      <c r="BI157" s="94"/>
      <c r="BJ157" s="94"/>
      <c r="BK157" s="94"/>
      <c r="BL157" s="94"/>
      <c r="BM157" s="94"/>
      <c r="BN157" s="94"/>
      <c r="BO157" s="94"/>
      <c r="BP157" s="94"/>
      <c r="BQ157" s="94"/>
      <c r="BR157" s="94"/>
      <c r="BS157" s="94"/>
      <c r="BT157" s="94"/>
      <c r="BU157" s="94"/>
      <c r="BV157" s="94"/>
      <c r="BW157" s="94"/>
      <c r="BX157" s="94"/>
      <c r="BY157" s="94"/>
      <c r="BZ157" s="94"/>
      <c r="CA157" s="94"/>
      <c r="CB157" s="94"/>
      <c r="CC157" s="94"/>
      <c r="CD157" s="94"/>
      <c r="CE157" s="94"/>
      <c r="CF157" s="94"/>
      <c r="CG157" s="94"/>
      <c r="CH157" s="94"/>
      <c r="CI157" s="94"/>
      <c r="CJ157" s="94"/>
      <c r="CK157" s="94"/>
      <c r="CL157" s="94"/>
      <c r="CM157" s="94"/>
      <c r="CN157" s="94"/>
      <c r="CO157" s="94"/>
      <c r="CP157" s="94"/>
      <c r="CQ157" s="94"/>
      <c r="CR157" s="94"/>
      <c r="CS157" s="94"/>
      <c r="CT157" s="94"/>
      <c r="CU157" s="94"/>
      <c r="CV157" s="94"/>
      <c r="CW157" s="94"/>
      <c r="CX157" s="94"/>
      <c r="CY157" s="94"/>
      <c r="CZ157" s="94"/>
      <c r="DA157" s="94"/>
      <c r="DB157" s="94"/>
      <c r="DC157" s="94"/>
    </row>
    <row r="158" spans="1:107" s="5" customFormat="1" ht="12.75" customHeight="1">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row>
    <row r="159" spans="1:107" s="5" customFormat="1" ht="12.75" customHeight="1">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row>
    <row r="160" spans="1:107" s="5" customFormat="1" ht="12.75" customHeight="1">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row>
    <row r="161" spans="1:107" s="5" customFormat="1" ht="12.75" customHeight="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row>
    <row r="162" spans="1:107" s="5" customFormat="1" ht="12.75" customHeight="1">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row>
    <row r="163" spans="1:107" s="5" customFormat="1" ht="12.75" customHeight="1">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row>
    <row r="164" spans="1:107" s="5" customFormat="1" ht="12.75" customHeight="1">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row>
    <row r="165" spans="1:107" s="5" customFormat="1" ht="12.75" customHeight="1">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94"/>
      <c r="CB165" s="94"/>
      <c r="CC165" s="94"/>
      <c r="CD165" s="94"/>
      <c r="CE165" s="94"/>
      <c r="CF165" s="94"/>
      <c r="CG165" s="94"/>
      <c r="CH165" s="94"/>
      <c r="CI165" s="94"/>
      <c r="CJ165" s="94"/>
      <c r="CK165" s="94"/>
      <c r="CL165" s="94"/>
      <c r="CM165" s="94"/>
      <c r="CN165" s="94"/>
      <c r="CO165" s="94"/>
      <c r="CP165" s="94"/>
      <c r="CQ165" s="94"/>
      <c r="CR165" s="94"/>
      <c r="CS165" s="94"/>
      <c r="CT165" s="94"/>
      <c r="CU165" s="94"/>
      <c r="CV165" s="94"/>
      <c r="CW165" s="94"/>
      <c r="CX165" s="94"/>
      <c r="CY165" s="94"/>
      <c r="CZ165" s="94"/>
      <c r="DA165" s="94"/>
      <c r="DB165" s="94"/>
      <c r="DC165" s="94"/>
    </row>
    <row r="166" spans="1:107" s="5" customFormat="1" ht="12.75" customHeight="1">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4"/>
      <c r="BB166" s="94"/>
      <c r="BC166" s="94"/>
      <c r="BD166" s="94"/>
      <c r="BE166" s="94"/>
      <c r="BF166" s="94"/>
      <c r="BG166" s="94"/>
      <c r="BH166" s="94"/>
      <c r="BI166" s="94"/>
      <c r="BJ166" s="94"/>
      <c r="BK166" s="94"/>
      <c r="BL166" s="94"/>
      <c r="BM166" s="94"/>
      <c r="BN166" s="94"/>
      <c r="BO166" s="94"/>
      <c r="BP166" s="94"/>
      <c r="BQ166" s="94"/>
      <c r="BR166" s="94"/>
      <c r="BS166" s="94"/>
      <c r="BT166" s="94"/>
      <c r="BU166" s="94"/>
      <c r="BV166" s="94"/>
      <c r="BW166" s="94"/>
      <c r="BX166" s="94"/>
      <c r="BY166" s="94"/>
      <c r="BZ166" s="94"/>
      <c r="CA166" s="94"/>
      <c r="CB166" s="94"/>
      <c r="CC166" s="94"/>
      <c r="CD166" s="94"/>
      <c r="CE166" s="94"/>
      <c r="CF166" s="94"/>
      <c r="CG166" s="94"/>
      <c r="CH166" s="94"/>
      <c r="CI166" s="94"/>
      <c r="CJ166" s="94"/>
      <c r="CK166" s="94"/>
      <c r="CL166" s="94"/>
      <c r="CM166" s="94"/>
      <c r="CN166" s="94"/>
      <c r="CO166" s="94"/>
      <c r="CP166" s="94"/>
      <c r="CQ166" s="94"/>
      <c r="CR166" s="94"/>
      <c r="CS166" s="94"/>
      <c r="CT166" s="94"/>
      <c r="CU166" s="94"/>
      <c r="CV166" s="94"/>
      <c r="CW166" s="94"/>
      <c r="CX166" s="94"/>
      <c r="CY166" s="94"/>
      <c r="CZ166" s="94"/>
      <c r="DA166" s="94"/>
      <c r="DB166" s="94"/>
      <c r="DC166" s="94"/>
    </row>
    <row r="167" spans="1:107" s="5" customFormat="1" ht="12.75" customHeight="1">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A167" s="94"/>
      <c r="CB167" s="94"/>
      <c r="CC167" s="94"/>
      <c r="CD167" s="94"/>
      <c r="CE167" s="94"/>
      <c r="CF167" s="94"/>
      <c r="CG167" s="94"/>
      <c r="CH167" s="94"/>
      <c r="CI167" s="94"/>
      <c r="CJ167" s="94"/>
      <c r="CK167" s="94"/>
      <c r="CL167" s="94"/>
      <c r="CM167" s="94"/>
      <c r="CN167" s="94"/>
      <c r="CO167" s="94"/>
      <c r="CP167" s="94"/>
      <c r="CQ167" s="94"/>
      <c r="CR167" s="94"/>
      <c r="CS167" s="94"/>
      <c r="CT167" s="94"/>
      <c r="CU167" s="94"/>
      <c r="CV167" s="94"/>
      <c r="CW167" s="94"/>
      <c r="CX167" s="94"/>
      <c r="CY167" s="94"/>
      <c r="CZ167" s="94"/>
      <c r="DA167" s="94"/>
      <c r="DB167" s="94"/>
      <c r="DC167" s="94"/>
    </row>
    <row r="168" spans="1:107" s="5" customFormat="1" ht="12.75" customHeight="1">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c r="CA168" s="94"/>
      <c r="CB168" s="94"/>
      <c r="CC168" s="94"/>
      <c r="CD168" s="94"/>
      <c r="CE168" s="94"/>
      <c r="CF168" s="94"/>
      <c r="CG168" s="94"/>
      <c r="CH168" s="94"/>
      <c r="CI168" s="94"/>
      <c r="CJ168" s="94"/>
      <c r="CK168" s="94"/>
      <c r="CL168" s="94"/>
      <c r="CM168" s="94"/>
      <c r="CN168" s="94"/>
      <c r="CO168" s="94"/>
      <c r="CP168" s="94"/>
      <c r="CQ168" s="94"/>
      <c r="CR168" s="94"/>
      <c r="CS168" s="94"/>
      <c r="CT168" s="94"/>
      <c r="CU168" s="94"/>
      <c r="CV168" s="94"/>
      <c r="CW168" s="94"/>
      <c r="CX168" s="94"/>
      <c r="CY168" s="94"/>
      <c r="CZ168" s="94"/>
      <c r="DA168" s="94"/>
      <c r="DB168" s="94"/>
      <c r="DC168" s="94"/>
    </row>
    <row r="169" spans="1:107" s="5" customFormat="1" ht="12.75" customHeight="1">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row>
    <row r="170" spans="1:107" s="5" customFormat="1" ht="12.75" customHeight="1">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row>
    <row r="171" spans="1:107" s="5" customFormat="1" ht="12.75" customHeight="1">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399"/>
      <c r="AP171" s="399"/>
      <c r="AQ171" s="94"/>
      <c r="AR171" s="94"/>
      <c r="AS171" s="94"/>
      <c r="AT171" s="94"/>
      <c r="AU171" s="94"/>
      <c r="AV171" s="98"/>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c r="DA171" s="94"/>
      <c r="DB171" s="94"/>
      <c r="DC171" s="94"/>
    </row>
    <row r="172" spans="1:107" s="5" customFormat="1" ht="12.75" customHeight="1">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399"/>
      <c r="AP172" s="399"/>
      <c r="AQ172" s="94"/>
      <c r="AR172" s="94"/>
      <c r="AS172" s="94"/>
      <c r="AT172" s="94"/>
      <c r="AU172" s="94"/>
      <c r="AV172" s="98"/>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row>
    <row r="173" spans="1:107" s="5" customFormat="1" ht="12.75" customHeight="1">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399"/>
      <c r="AP173" s="399"/>
      <c r="AQ173" s="94"/>
      <c r="AR173" s="94"/>
      <c r="AS173" s="94"/>
      <c r="AT173" s="94"/>
      <c r="AU173" s="94"/>
      <c r="AV173" s="98"/>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row>
    <row r="174" spans="1:107" s="5" customFormat="1" ht="12.75" customHeight="1">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399"/>
      <c r="AP174" s="399"/>
      <c r="AQ174" s="94"/>
      <c r="AR174" s="94"/>
      <c r="AS174" s="94"/>
      <c r="AT174" s="94"/>
      <c r="AU174" s="94"/>
      <c r="AV174" s="98"/>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row>
    <row r="175" spans="1:107" s="5" customFormat="1" ht="12.75" customHeight="1">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399"/>
      <c r="AP175" s="399"/>
      <c r="AQ175" s="94"/>
      <c r="AR175" s="94"/>
      <c r="AS175" s="94"/>
      <c r="AT175" s="94"/>
      <c r="AU175" s="94"/>
      <c r="AV175" s="98"/>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row>
    <row r="176" spans="1:107" s="5" customFormat="1" ht="12.75" customHeight="1">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399"/>
      <c r="AP176" s="399"/>
      <c r="AQ176" s="94"/>
      <c r="AR176" s="94"/>
      <c r="AS176" s="94"/>
      <c r="AT176" s="94"/>
      <c r="AU176" s="94"/>
      <c r="AV176" s="98"/>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94"/>
      <c r="CD176" s="94"/>
      <c r="CE176" s="94"/>
      <c r="CF176" s="94"/>
      <c r="CG176" s="94"/>
      <c r="CH176" s="94"/>
      <c r="CI176" s="94"/>
      <c r="CJ176" s="94"/>
      <c r="CK176" s="94"/>
      <c r="CL176" s="94"/>
      <c r="CM176" s="94"/>
      <c r="CN176" s="94"/>
      <c r="CO176" s="94"/>
      <c r="CP176" s="94"/>
      <c r="CQ176" s="94"/>
      <c r="CR176" s="94"/>
      <c r="CS176" s="94"/>
      <c r="CT176" s="94"/>
      <c r="CU176" s="94"/>
      <c r="CV176" s="94"/>
      <c r="CW176" s="94"/>
      <c r="CX176" s="94"/>
      <c r="CY176" s="94"/>
      <c r="CZ176" s="94"/>
      <c r="DA176" s="94"/>
      <c r="DB176" s="94"/>
      <c r="DC176" s="94"/>
    </row>
    <row r="177" spans="1:107" s="5" customFormat="1" ht="12.75" customHeight="1">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399"/>
      <c r="AP177" s="399"/>
      <c r="AQ177" s="94"/>
      <c r="AR177" s="94"/>
      <c r="AS177" s="94"/>
      <c r="AT177" s="94"/>
      <c r="AU177" s="94"/>
      <c r="AV177" s="98"/>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94"/>
      <c r="CD177" s="94"/>
      <c r="CE177" s="94"/>
      <c r="CF177" s="94"/>
      <c r="CG177" s="94"/>
      <c r="CH177" s="94"/>
      <c r="CI177" s="94"/>
      <c r="CJ177" s="94"/>
      <c r="CK177" s="94"/>
      <c r="CL177" s="94"/>
      <c r="CM177" s="94"/>
      <c r="CN177" s="94"/>
      <c r="CO177" s="94"/>
      <c r="CP177" s="94"/>
      <c r="CQ177" s="94"/>
      <c r="CR177" s="94"/>
      <c r="CS177" s="94"/>
      <c r="CT177" s="94"/>
      <c r="CU177" s="94"/>
      <c r="CV177" s="94"/>
      <c r="CW177" s="94"/>
      <c r="CX177" s="94"/>
      <c r="CY177" s="94"/>
      <c r="CZ177" s="94"/>
      <c r="DA177" s="94"/>
      <c r="DB177" s="94"/>
      <c r="DC177" s="94"/>
    </row>
    <row r="178" spans="1:107" s="5" customFormat="1" ht="12.75" customHeight="1">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399"/>
      <c r="AP178" s="399"/>
      <c r="AQ178" s="94"/>
      <c r="AR178" s="94"/>
      <c r="AS178" s="94"/>
      <c r="AT178" s="94"/>
      <c r="AU178" s="94"/>
      <c r="AV178" s="98"/>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row>
    <row r="179" spans="1:107" s="5" customFormat="1" ht="12.75" customHeight="1">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399"/>
      <c r="AP179" s="399"/>
      <c r="AQ179" s="94"/>
      <c r="AR179" s="94"/>
      <c r="AS179" s="94"/>
      <c r="AT179" s="94"/>
      <c r="AU179" s="94"/>
      <c r="AV179" s="98"/>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94"/>
      <c r="CD179" s="94"/>
      <c r="CE179" s="94"/>
      <c r="CF179" s="94"/>
      <c r="CG179" s="94"/>
      <c r="CH179" s="94"/>
      <c r="CI179" s="94"/>
      <c r="CJ179" s="94"/>
      <c r="CK179" s="94"/>
      <c r="CL179" s="94"/>
      <c r="CM179" s="94"/>
      <c r="CN179" s="94"/>
      <c r="CO179" s="94"/>
      <c r="CP179" s="94"/>
      <c r="CQ179" s="94"/>
      <c r="CR179" s="94"/>
      <c r="CS179" s="94"/>
      <c r="CT179" s="94"/>
      <c r="CU179" s="94"/>
      <c r="CV179" s="94"/>
      <c r="CW179" s="94"/>
      <c r="CX179" s="94"/>
      <c r="CY179" s="94"/>
      <c r="CZ179" s="94"/>
      <c r="DA179" s="94"/>
      <c r="DB179" s="94"/>
      <c r="DC179" s="94"/>
    </row>
    <row r="180" spans="1:107" s="5" customFormat="1" ht="12.75" customHeight="1">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399"/>
      <c r="AP180" s="399"/>
      <c r="AQ180" s="94"/>
      <c r="AR180" s="94"/>
      <c r="AS180" s="94"/>
      <c r="AT180" s="94"/>
      <c r="AU180" s="94"/>
      <c r="AV180" s="98"/>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94"/>
      <c r="CD180" s="94"/>
      <c r="CE180" s="94"/>
      <c r="CF180" s="94"/>
      <c r="CG180" s="94"/>
      <c r="CH180" s="94"/>
      <c r="CI180" s="94"/>
      <c r="CJ180" s="94"/>
      <c r="CK180" s="94"/>
      <c r="CL180" s="94"/>
      <c r="CM180" s="94"/>
      <c r="CN180" s="94"/>
      <c r="CO180" s="94"/>
      <c r="CP180" s="94"/>
      <c r="CQ180" s="94"/>
      <c r="CR180" s="94"/>
      <c r="CS180" s="94"/>
      <c r="CT180" s="94"/>
      <c r="CU180" s="94"/>
      <c r="CV180" s="94"/>
      <c r="CW180" s="94"/>
      <c r="CX180" s="94"/>
      <c r="CY180" s="94"/>
      <c r="CZ180" s="94"/>
      <c r="DA180" s="94"/>
      <c r="DB180" s="94"/>
      <c r="DC180" s="94"/>
    </row>
    <row r="181" spans="1:107" s="5" customFormat="1" ht="12.75" customHeight="1">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399"/>
      <c r="AP181" s="399"/>
      <c r="AQ181" s="94"/>
      <c r="AR181" s="94"/>
      <c r="AS181" s="94"/>
      <c r="AT181" s="94"/>
      <c r="AU181" s="94"/>
      <c r="AV181" s="98"/>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94"/>
      <c r="CD181" s="94"/>
      <c r="CE181" s="94"/>
      <c r="CF181" s="94"/>
      <c r="CG181" s="94"/>
      <c r="CH181" s="94"/>
      <c r="CI181" s="94"/>
      <c r="CJ181" s="94"/>
      <c r="CK181" s="94"/>
      <c r="CL181" s="94"/>
      <c r="CM181" s="94"/>
      <c r="CN181" s="94"/>
      <c r="CO181" s="94"/>
      <c r="CP181" s="94"/>
      <c r="CQ181" s="94"/>
      <c r="CR181" s="94"/>
      <c r="CS181" s="94"/>
      <c r="CT181" s="94"/>
      <c r="CU181" s="94"/>
      <c r="CV181" s="94"/>
      <c r="CW181" s="94"/>
      <c r="CX181" s="94"/>
      <c r="CY181" s="94"/>
      <c r="CZ181" s="94"/>
      <c r="DA181" s="94"/>
      <c r="DB181" s="94"/>
      <c r="DC181" s="94"/>
    </row>
    <row r="182" spans="1:107" s="5" customFormat="1" ht="12.75" customHeight="1">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399"/>
      <c r="AP182" s="399"/>
      <c r="AQ182" s="94"/>
      <c r="AR182" s="94"/>
      <c r="AS182" s="94"/>
      <c r="AT182" s="94"/>
      <c r="AU182" s="94"/>
      <c r="AV182" s="98"/>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94"/>
      <c r="CD182" s="94"/>
      <c r="CE182" s="94"/>
      <c r="CF182" s="94"/>
      <c r="CG182" s="94"/>
      <c r="CH182" s="94"/>
      <c r="CI182" s="94"/>
      <c r="CJ182" s="94"/>
      <c r="CK182" s="94"/>
      <c r="CL182" s="94"/>
      <c r="CM182" s="94"/>
      <c r="CN182" s="94"/>
      <c r="CO182" s="94"/>
      <c r="CP182" s="94"/>
      <c r="CQ182" s="94"/>
      <c r="CR182" s="94"/>
      <c r="CS182" s="94"/>
      <c r="CT182" s="94"/>
      <c r="CU182" s="94"/>
      <c r="CV182" s="94"/>
      <c r="CW182" s="94"/>
      <c r="CX182" s="94"/>
      <c r="CY182" s="94"/>
      <c r="CZ182" s="94"/>
      <c r="DA182" s="94"/>
      <c r="DB182" s="94"/>
      <c r="DC182" s="94"/>
    </row>
    <row r="183" spans="1:107" s="5" customFormat="1" ht="12.75" customHeight="1">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399"/>
      <c r="AP183" s="399"/>
      <c r="AQ183" s="94"/>
      <c r="AR183" s="94"/>
      <c r="AS183" s="94"/>
      <c r="AT183" s="94"/>
      <c r="AU183" s="94"/>
      <c r="AV183" s="98"/>
      <c r="AW183" s="94"/>
      <c r="AX183" s="94"/>
      <c r="AY183" s="94"/>
      <c r="AZ183" s="94"/>
      <c r="BA183" s="94"/>
      <c r="BB183" s="94"/>
      <c r="BC183" s="94"/>
      <c r="BD183" s="94"/>
      <c r="BE183" s="94"/>
      <c r="BF183" s="94"/>
      <c r="BG183" s="94"/>
      <c r="BH183" s="94"/>
      <c r="BI183" s="94"/>
      <c r="BJ183" s="94"/>
      <c r="BK183" s="94"/>
      <c r="BL183" s="94"/>
      <c r="BM183" s="94"/>
      <c r="BN183" s="94"/>
      <c r="BO183" s="94"/>
      <c r="BP183" s="94"/>
      <c r="BQ183" s="94"/>
      <c r="BR183" s="94"/>
      <c r="BS183" s="94"/>
      <c r="BT183" s="94"/>
      <c r="BU183" s="94"/>
      <c r="BV183" s="94"/>
      <c r="BW183" s="94"/>
      <c r="BX183" s="94"/>
      <c r="BY183" s="94"/>
      <c r="BZ183" s="94"/>
      <c r="CA183" s="94"/>
      <c r="CB183" s="94"/>
      <c r="CC183" s="94"/>
      <c r="CD183" s="94"/>
      <c r="CE183" s="94"/>
      <c r="CF183" s="94"/>
      <c r="CG183" s="94"/>
      <c r="CH183" s="94"/>
      <c r="CI183" s="94"/>
      <c r="CJ183" s="94"/>
      <c r="CK183" s="94"/>
      <c r="CL183" s="94"/>
      <c r="CM183" s="94"/>
      <c r="CN183" s="94"/>
      <c r="CO183" s="94"/>
      <c r="CP183" s="94"/>
      <c r="CQ183" s="94"/>
      <c r="CR183" s="94"/>
      <c r="CS183" s="94"/>
      <c r="CT183" s="94"/>
      <c r="CU183" s="94"/>
      <c r="CV183" s="94"/>
      <c r="CW183" s="94"/>
      <c r="CX183" s="94"/>
      <c r="CY183" s="94"/>
      <c r="CZ183" s="94"/>
      <c r="DA183" s="94"/>
      <c r="DB183" s="94"/>
      <c r="DC183" s="94"/>
    </row>
    <row r="184" spans="1:107" s="5" customFormat="1" ht="12.75" customHeight="1">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399"/>
      <c r="AP184" s="399"/>
      <c r="AQ184" s="94"/>
      <c r="AR184" s="94"/>
      <c r="AS184" s="94"/>
      <c r="AT184" s="94"/>
      <c r="AU184" s="94"/>
      <c r="AV184" s="98"/>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A184" s="94"/>
      <c r="CB184" s="94"/>
      <c r="CC184" s="94"/>
      <c r="CD184" s="94"/>
      <c r="CE184" s="94"/>
      <c r="CF184" s="94"/>
      <c r="CG184" s="94"/>
      <c r="CH184" s="94"/>
      <c r="CI184" s="94"/>
      <c r="CJ184" s="94"/>
      <c r="CK184" s="94"/>
      <c r="CL184" s="94"/>
      <c r="CM184" s="94"/>
      <c r="CN184" s="94"/>
      <c r="CO184" s="94"/>
      <c r="CP184" s="94"/>
      <c r="CQ184" s="94"/>
      <c r="CR184" s="94"/>
      <c r="CS184" s="94"/>
      <c r="CT184" s="94"/>
      <c r="CU184" s="94"/>
      <c r="CV184" s="94"/>
      <c r="CW184" s="94"/>
      <c r="CX184" s="94"/>
      <c r="CY184" s="94"/>
      <c r="CZ184" s="94"/>
      <c r="DA184" s="94"/>
      <c r="DB184" s="94"/>
      <c r="DC184" s="94"/>
    </row>
    <row r="185" spans="1:107" s="5" customFormat="1" ht="12.75" customHeight="1">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399"/>
      <c r="AP185" s="399"/>
      <c r="AQ185" s="94"/>
      <c r="AR185" s="94"/>
      <c r="AS185" s="94"/>
      <c r="AT185" s="94"/>
      <c r="AU185" s="94"/>
      <c r="AV185" s="98"/>
      <c r="AW185" s="94"/>
      <c r="AX185" s="94"/>
      <c r="AY185" s="94"/>
      <c r="AZ185" s="94"/>
      <c r="BA185" s="94"/>
      <c r="BB185" s="94"/>
      <c r="BC185" s="94"/>
      <c r="BD185" s="94"/>
      <c r="BE185" s="94"/>
      <c r="BF185" s="94"/>
      <c r="BG185" s="94"/>
      <c r="BH185" s="94"/>
      <c r="BI185" s="94"/>
      <c r="BJ185" s="94"/>
      <c r="BK185" s="94"/>
      <c r="BL185" s="94"/>
      <c r="BM185" s="94"/>
      <c r="BN185" s="94"/>
      <c r="BO185" s="94"/>
      <c r="BP185" s="94"/>
      <c r="BQ185" s="94"/>
      <c r="BR185" s="94"/>
      <c r="BS185" s="94"/>
      <c r="BT185" s="94"/>
      <c r="BU185" s="94"/>
      <c r="BV185" s="94"/>
      <c r="BW185" s="94"/>
      <c r="BX185" s="94"/>
      <c r="BY185" s="94"/>
      <c r="BZ185" s="94"/>
      <c r="CA185" s="94"/>
      <c r="CB185" s="94"/>
      <c r="CC185" s="94"/>
      <c r="CD185" s="94"/>
      <c r="CE185" s="94"/>
      <c r="CF185" s="94"/>
      <c r="CG185" s="94"/>
      <c r="CH185" s="94"/>
      <c r="CI185" s="94"/>
      <c r="CJ185" s="94"/>
      <c r="CK185" s="94"/>
      <c r="CL185" s="94"/>
      <c r="CM185" s="94"/>
      <c r="CN185" s="94"/>
      <c r="CO185" s="94"/>
      <c r="CP185" s="94"/>
      <c r="CQ185" s="94"/>
      <c r="CR185" s="94"/>
      <c r="CS185" s="94"/>
      <c r="CT185" s="94"/>
      <c r="CU185" s="94"/>
      <c r="CV185" s="94"/>
      <c r="CW185" s="94"/>
      <c r="CX185" s="94"/>
      <c r="CY185" s="94"/>
      <c r="CZ185" s="94"/>
      <c r="DA185" s="94"/>
      <c r="DB185" s="94"/>
      <c r="DC185" s="94"/>
    </row>
    <row r="186" spans="1:107" s="5" customFormat="1" ht="12.75" customHeight="1">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399"/>
      <c r="AP186" s="399"/>
      <c r="AQ186" s="94"/>
      <c r="AR186" s="94"/>
      <c r="AS186" s="94"/>
      <c r="AT186" s="94"/>
      <c r="AU186" s="94"/>
      <c r="AV186" s="98"/>
      <c r="AW186" s="94"/>
      <c r="AX186" s="94"/>
      <c r="AY186" s="94"/>
      <c r="AZ186" s="94"/>
      <c r="BA186" s="94"/>
      <c r="BB186" s="94"/>
      <c r="BC186" s="94"/>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94"/>
      <c r="CD186" s="94"/>
      <c r="CE186" s="94"/>
      <c r="CF186" s="94"/>
      <c r="CG186" s="94"/>
      <c r="CH186" s="94"/>
      <c r="CI186" s="94"/>
      <c r="CJ186" s="94"/>
      <c r="CK186" s="94"/>
      <c r="CL186" s="94"/>
      <c r="CM186" s="94"/>
      <c r="CN186" s="94"/>
      <c r="CO186" s="94"/>
      <c r="CP186" s="94"/>
      <c r="CQ186" s="94"/>
      <c r="CR186" s="94"/>
      <c r="CS186" s="94"/>
      <c r="CT186" s="94"/>
      <c r="CU186" s="94"/>
      <c r="CV186" s="94"/>
      <c r="CW186" s="94"/>
      <c r="CX186" s="94"/>
      <c r="CY186" s="94"/>
      <c r="CZ186" s="94"/>
      <c r="DA186" s="94"/>
      <c r="DB186" s="94"/>
      <c r="DC186" s="94"/>
    </row>
    <row r="187" spans="1:107" s="5" customFormat="1" ht="12.75" customHeight="1">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399"/>
      <c r="AP187" s="399"/>
      <c r="AQ187" s="94"/>
      <c r="AR187" s="94"/>
      <c r="AS187" s="94"/>
      <c r="AT187" s="94"/>
      <c r="AU187" s="94"/>
      <c r="AV187" s="98"/>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94"/>
      <c r="CD187" s="94"/>
      <c r="CE187" s="94"/>
      <c r="CF187" s="94"/>
      <c r="CG187" s="94"/>
      <c r="CH187" s="94"/>
      <c r="CI187" s="94"/>
      <c r="CJ187" s="94"/>
      <c r="CK187" s="94"/>
      <c r="CL187" s="94"/>
      <c r="CM187" s="94"/>
      <c r="CN187" s="94"/>
      <c r="CO187" s="94"/>
      <c r="CP187" s="94"/>
      <c r="CQ187" s="94"/>
      <c r="CR187" s="94"/>
      <c r="CS187" s="94"/>
      <c r="CT187" s="94"/>
      <c r="CU187" s="94"/>
      <c r="CV187" s="94"/>
      <c r="CW187" s="94"/>
      <c r="CX187" s="94"/>
      <c r="CY187" s="94"/>
      <c r="CZ187" s="94"/>
      <c r="DA187" s="94"/>
      <c r="DB187" s="94"/>
      <c r="DC187" s="94"/>
    </row>
    <row r="188" spans="1:107" s="5" customFormat="1" ht="12.75" customHeight="1">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399"/>
      <c r="AP188" s="399"/>
      <c r="AQ188" s="94"/>
      <c r="AR188" s="94"/>
      <c r="AS188" s="94"/>
      <c r="AT188" s="94"/>
      <c r="AU188" s="94"/>
      <c r="AV188" s="98"/>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94"/>
      <c r="CD188" s="94"/>
      <c r="CE188" s="94"/>
      <c r="CF188" s="94"/>
      <c r="CG188" s="94"/>
      <c r="CH188" s="94"/>
      <c r="CI188" s="94"/>
      <c r="CJ188" s="94"/>
      <c r="CK188" s="94"/>
      <c r="CL188" s="94"/>
      <c r="CM188" s="94"/>
      <c r="CN188" s="94"/>
      <c r="CO188" s="94"/>
      <c r="CP188" s="94"/>
      <c r="CQ188" s="94"/>
      <c r="CR188" s="94"/>
      <c r="CS188" s="94"/>
      <c r="CT188" s="94"/>
      <c r="CU188" s="94"/>
      <c r="CV188" s="94"/>
      <c r="CW188" s="94"/>
      <c r="CX188" s="94"/>
      <c r="CY188" s="94"/>
      <c r="CZ188" s="94"/>
      <c r="DA188" s="94"/>
      <c r="DB188" s="94"/>
      <c r="DC188" s="94"/>
    </row>
    <row r="189" spans="1:107" s="5" customFormat="1" ht="12.75" customHeight="1">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399"/>
      <c r="AP189" s="399"/>
      <c r="AQ189" s="94"/>
      <c r="AR189" s="94"/>
      <c r="AS189" s="94"/>
      <c r="AT189" s="94"/>
      <c r="AU189" s="94"/>
      <c r="AV189" s="98"/>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94"/>
      <c r="BU189" s="94"/>
      <c r="BV189" s="94"/>
      <c r="BW189" s="94"/>
      <c r="BX189" s="94"/>
      <c r="BY189" s="94"/>
      <c r="BZ189" s="94"/>
      <c r="CA189" s="94"/>
      <c r="CB189" s="94"/>
      <c r="CC189" s="94"/>
      <c r="CD189" s="94"/>
      <c r="CE189" s="94"/>
      <c r="CF189" s="94"/>
      <c r="CG189" s="94"/>
      <c r="CH189" s="94"/>
      <c r="CI189" s="94"/>
      <c r="CJ189" s="94"/>
      <c r="CK189" s="94"/>
      <c r="CL189" s="94"/>
      <c r="CM189" s="94"/>
      <c r="CN189" s="94"/>
      <c r="CO189" s="94"/>
      <c r="CP189" s="94"/>
      <c r="CQ189" s="94"/>
      <c r="CR189" s="94"/>
      <c r="CS189" s="94"/>
      <c r="CT189" s="94"/>
      <c r="CU189" s="94"/>
      <c r="CV189" s="94"/>
      <c r="CW189" s="94"/>
      <c r="CX189" s="94"/>
      <c r="CY189" s="94"/>
      <c r="CZ189" s="94"/>
      <c r="DA189" s="94"/>
      <c r="DB189" s="94"/>
      <c r="DC189" s="94"/>
    </row>
    <row r="190" spans="1:107" s="5" customFormat="1" ht="12.75" customHeight="1">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399"/>
      <c r="AP190" s="399"/>
      <c r="AQ190" s="94"/>
      <c r="AR190" s="94"/>
      <c r="AS190" s="94"/>
      <c r="AT190" s="94"/>
      <c r="AU190" s="94"/>
      <c r="AV190" s="98"/>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row>
    <row r="191" spans="1:107" s="5" customFormat="1" ht="12.75"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399"/>
      <c r="AP191" s="399"/>
      <c r="AQ191" s="94"/>
      <c r="AR191" s="94"/>
      <c r="AS191" s="94"/>
      <c r="AT191" s="94"/>
      <c r="AU191" s="94"/>
      <c r="AV191" s="98"/>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94"/>
      <c r="CD191" s="94"/>
      <c r="CE191" s="94"/>
      <c r="CF191" s="94"/>
      <c r="CG191" s="94"/>
      <c r="CH191" s="94"/>
      <c r="CI191" s="94"/>
      <c r="CJ191" s="94"/>
      <c r="CK191" s="94"/>
      <c r="CL191" s="94"/>
      <c r="CM191" s="94"/>
      <c r="CN191" s="94"/>
      <c r="CO191" s="94"/>
      <c r="CP191" s="94"/>
      <c r="CQ191" s="94"/>
      <c r="CR191" s="94"/>
      <c r="CS191" s="94"/>
      <c r="CT191" s="94"/>
      <c r="CU191" s="94"/>
      <c r="CV191" s="94"/>
      <c r="CW191" s="94"/>
      <c r="CX191" s="94"/>
      <c r="CY191" s="94"/>
      <c r="CZ191" s="94"/>
      <c r="DA191" s="94"/>
      <c r="DB191" s="94"/>
      <c r="DC191" s="94"/>
    </row>
    <row r="192" spans="1:107" s="5" customFormat="1" ht="12.75" customHeight="1">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399"/>
      <c r="AP192" s="399"/>
      <c r="AQ192" s="94"/>
      <c r="AR192" s="94"/>
      <c r="AS192" s="94"/>
      <c r="AT192" s="94"/>
      <c r="AU192" s="94"/>
      <c r="AV192" s="98"/>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94"/>
      <c r="CD192" s="94"/>
      <c r="CE192" s="94"/>
      <c r="CF192" s="94"/>
      <c r="CG192" s="94"/>
      <c r="CH192" s="94"/>
      <c r="CI192" s="94"/>
      <c r="CJ192" s="94"/>
      <c r="CK192" s="94"/>
      <c r="CL192" s="94"/>
      <c r="CM192" s="94"/>
      <c r="CN192" s="94"/>
      <c r="CO192" s="94"/>
      <c r="CP192" s="94"/>
      <c r="CQ192" s="94"/>
      <c r="CR192" s="94"/>
      <c r="CS192" s="94"/>
      <c r="CT192" s="94"/>
      <c r="CU192" s="94"/>
      <c r="CV192" s="94"/>
      <c r="CW192" s="94"/>
      <c r="CX192" s="94"/>
      <c r="CY192" s="94"/>
      <c r="CZ192" s="94"/>
      <c r="DA192" s="94"/>
      <c r="DB192" s="94"/>
      <c r="DC192" s="94"/>
    </row>
    <row r="193" spans="1:107" s="5" customFormat="1" ht="12.75" customHeight="1">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399"/>
      <c r="AP193" s="399"/>
      <c r="AQ193" s="94"/>
      <c r="AR193" s="94"/>
      <c r="AS193" s="94"/>
      <c r="AT193" s="94"/>
      <c r="AU193" s="94"/>
      <c r="AV193" s="98"/>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94"/>
      <c r="CD193" s="94"/>
      <c r="CE193" s="94"/>
      <c r="CF193" s="94"/>
      <c r="CG193" s="94"/>
      <c r="CH193" s="94"/>
      <c r="CI193" s="94"/>
      <c r="CJ193" s="94"/>
      <c r="CK193" s="94"/>
      <c r="CL193" s="94"/>
      <c r="CM193" s="94"/>
      <c r="CN193" s="94"/>
      <c r="CO193" s="94"/>
      <c r="CP193" s="94"/>
      <c r="CQ193" s="94"/>
      <c r="CR193" s="94"/>
      <c r="CS193" s="94"/>
      <c r="CT193" s="94"/>
      <c r="CU193" s="94"/>
      <c r="CV193" s="94"/>
      <c r="CW193" s="94"/>
      <c r="CX193" s="94"/>
      <c r="CY193" s="94"/>
      <c r="CZ193" s="94"/>
      <c r="DA193" s="94"/>
      <c r="DB193" s="94"/>
      <c r="DC193" s="94"/>
    </row>
    <row r="194" spans="1:107" s="5" customFormat="1" ht="12.75" customHeight="1">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399"/>
      <c r="AP194" s="399"/>
      <c r="AQ194" s="94"/>
      <c r="AR194" s="94"/>
      <c r="AS194" s="94"/>
      <c r="AT194" s="94"/>
      <c r="AU194" s="94"/>
      <c r="AV194" s="98"/>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94"/>
      <c r="CD194" s="94"/>
      <c r="CE194" s="94"/>
      <c r="CF194" s="94"/>
      <c r="CG194" s="94"/>
      <c r="CH194" s="94"/>
      <c r="CI194" s="94"/>
      <c r="CJ194" s="94"/>
      <c r="CK194" s="94"/>
      <c r="CL194" s="94"/>
      <c r="CM194" s="94"/>
      <c r="CN194" s="94"/>
      <c r="CO194" s="94"/>
      <c r="CP194" s="94"/>
      <c r="CQ194" s="94"/>
      <c r="CR194" s="94"/>
      <c r="CS194" s="94"/>
      <c r="CT194" s="94"/>
      <c r="CU194" s="94"/>
      <c r="CV194" s="94"/>
      <c r="CW194" s="94"/>
      <c r="CX194" s="94"/>
      <c r="CY194" s="94"/>
      <c r="CZ194" s="94"/>
      <c r="DA194" s="94"/>
      <c r="DB194" s="94"/>
      <c r="DC194" s="94"/>
    </row>
    <row r="195" spans="1:107" s="5" customFormat="1" ht="12.75"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399"/>
      <c r="AP195" s="399"/>
      <c r="AQ195" s="94"/>
      <c r="AR195" s="94"/>
      <c r="AS195" s="94"/>
      <c r="AT195" s="94"/>
      <c r="AU195" s="94"/>
      <c r="AV195" s="98"/>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94"/>
      <c r="CD195" s="94"/>
      <c r="CE195" s="94"/>
      <c r="CF195" s="94"/>
      <c r="CG195" s="94"/>
      <c r="CH195" s="94"/>
      <c r="CI195" s="94"/>
      <c r="CJ195" s="94"/>
      <c r="CK195" s="94"/>
      <c r="CL195" s="94"/>
      <c r="CM195" s="94"/>
      <c r="CN195" s="94"/>
      <c r="CO195" s="94"/>
      <c r="CP195" s="94"/>
      <c r="CQ195" s="94"/>
      <c r="CR195" s="94"/>
      <c r="CS195" s="94"/>
      <c r="CT195" s="94"/>
      <c r="CU195" s="94"/>
      <c r="CV195" s="94"/>
      <c r="CW195" s="94"/>
      <c r="CX195" s="94"/>
      <c r="CY195" s="94"/>
      <c r="CZ195" s="94"/>
      <c r="DA195" s="94"/>
      <c r="DB195" s="94"/>
      <c r="DC195" s="94"/>
    </row>
    <row r="196" spans="1:107" s="5" customFormat="1" ht="12.75" customHeight="1">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399"/>
      <c r="AP196" s="399"/>
      <c r="AQ196" s="94"/>
      <c r="AR196" s="94"/>
      <c r="AS196" s="94"/>
      <c r="AT196" s="94"/>
      <c r="AU196" s="94"/>
      <c r="AV196" s="98"/>
      <c r="AW196" s="94"/>
      <c r="AX196" s="94"/>
      <c r="AY196" s="94"/>
      <c r="AZ196" s="94"/>
      <c r="BA196" s="94"/>
      <c r="BB196" s="94"/>
      <c r="BC196" s="94"/>
      <c r="BD196" s="94"/>
      <c r="BE196" s="94"/>
      <c r="BF196" s="94"/>
      <c r="BG196" s="94"/>
      <c r="BH196" s="94"/>
      <c r="BI196" s="94"/>
      <c r="BJ196" s="94"/>
      <c r="BK196" s="94"/>
      <c r="BL196" s="94"/>
      <c r="BM196" s="94"/>
      <c r="BN196" s="94"/>
      <c r="BO196" s="94"/>
      <c r="BP196" s="94"/>
      <c r="BQ196" s="94"/>
      <c r="BR196" s="94"/>
      <c r="BS196" s="94"/>
      <c r="BT196" s="94"/>
      <c r="BU196" s="94"/>
      <c r="BV196" s="94"/>
      <c r="BW196" s="94"/>
      <c r="BX196" s="94"/>
      <c r="BY196" s="94"/>
      <c r="BZ196" s="94"/>
      <c r="CA196" s="94"/>
      <c r="CB196" s="94"/>
      <c r="CC196" s="94"/>
      <c r="CD196" s="94"/>
      <c r="CE196" s="94"/>
      <c r="CF196" s="94"/>
      <c r="CG196" s="94"/>
      <c r="CH196" s="94"/>
      <c r="CI196" s="94"/>
      <c r="CJ196" s="94"/>
      <c r="CK196" s="94"/>
      <c r="CL196" s="94"/>
      <c r="CM196" s="94"/>
      <c r="CN196" s="94"/>
      <c r="CO196" s="94"/>
      <c r="CP196" s="94"/>
      <c r="CQ196" s="94"/>
      <c r="CR196" s="94"/>
      <c r="CS196" s="94"/>
      <c r="CT196" s="94"/>
      <c r="CU196" s="94"/>
      <c r="CV196" s="94"/>
      <c r="CW196" s="94"/>
      <c r="CX196" s="94"/>
      <c r="CY196" s="94"/>
      <c r="CZ196" s="94"/>
      <c r="DA196" s="94"/>
      <c r="DB196" s="94"/>
      <c r="DC196" s="94"/>
    </row>
    <row r="197" spans="1:107" s="5" customFormat="1" ht="12.75" customHeight="1">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399"/>
      <c r="AP197" s="399"/>
      <c r="AQ197" s="94"/>
      <c r="AR197" s="94"/>
      <c r="AS197" s="94"/>
      <c r="AT197" s="94"/>
      <c r="AU197" s="94"/>
      <c r="AV197" s="98"/>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A197" s="94"/>
      <c r="CB197" s="94"/>
      <c r="CC197" s="94"/>
      <c r="CD197" s="94"/>
      <c r="CE197" s="94"/>
      <c r="CF197" s="94"/>
      <c r="CG197" s="94"/>
      <c r="CH197" s="94"/>
      <c r="CI197" s="94"/>
      <c r="CJ197" s="94"/>
      <c r="CK197" s="94"/>
      <c r="CL197" s="94"/>
      <c r="CM197" s="94"/>
      <c r="CN197" s="94"/>
      <c r="CO197" s="94"/>
      <c r="CP197" s="94"/>
      <c r="CQ197" s="94"/>
      <c r="CR197" s="94"/>
      <c r="CS197" s="94"/>
      <c r="CT197" s="94"/>
      <c r="CU197" s="94"/>
      <c r="CV197" s="94"/>
      <c r="CW197" s="94"/>
      <c r="CX197" s="94"/>
      <c r="CY197" s="94"/>
      <c r="CZ197" s="94"/>
      <c r="DA197" s="94"/>
      <c r="DB197" s="94"/>
      <c r="DC197" s="94"/>
    </row>
    <row r="198" spans="1:107" s="5" customFormat="1" ht="12.75"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399"/>
      <c r="AP198" s="399"/>
      <c r="AQ198" s="94"/>
      <c r="AR198" s="94"/>
      <c r="AS198" s="94"/>
      <c r="AT198" s="94"/>
      <c r="AU198" s="94"/>
      <c r="AV198" s="98"/>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94"/>
      <c r="CD198" s="94"/>
      <c r="CE198" s="94"/>
      <c r="CF198" s="94"/>
      <c r="CG198" s="94"/>
      <c r="CH198" s="94"/>
      <c r="CI198" s="94"/>
      <c r="CJ198" s="94"/>
      <c r="CK198" s="94"/>
      <c r="CL198" s="94"/>
      <c r="CM198" s="94"/>
      <c r="CN198" s="94"/>
      <c r="CO198" s="94"/>
      <c r="CP198" s="94"/>
      <c r="CQ198" s="94"/>
      <c r="CR198" s="94"/>
      <c r="CS198" s="94"/>
      <c r="CT198" s="94"/>
      <c r="CU198" s="94"/>
      <c r="CV198" s="94"/>
      <c r="CW198" s="94"/>
      <c r="CX198" s="94"/>
      <c r="CY198" s="94"/>
      <c r="CZ198" s="94"/>
      <c r="DA198" s="94"/>
      <c r="DB198" s="94"/>
      <c r="DC198" s="94"/>
    </row>
    <row r="199" spans="1:107" s="5" customFormat="1" ht="12.75" customHeight="1">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399"/>
      <c r="AP199" s="399"/>
      <c r="AQ199" s="94"/>
      <c r="AR199" s="94"/>
      <c r="AS199" s="94"/>
      <c r="AT199" s="94"/>
      <c r="AU199" s="94"/>
      <c r="AV199" s="98"/>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94"/>
      <c r="CD199" s="94"/>
      <c r="CE199" s="94"/>
      <c r="CF199" s="94"/>
      <c r="CG199" s="94"/>
      <c r="CH199" s="94"/>
      <c r="CI199" s="94"/>
      <c r="CJ199" s="94"/>
      <c r="CK199" s="94"/>
      <c r="CL199" s="94"/>
      <c r="CM199" s="94"/>
      <c r="CN199" s="94"/>
      <c r="CO199" s="94"/>
      <c r="CP199" s="94"/>
      <c r="CQ199" s="94"/>
      <c r="CR199" s="94"/>
      <c r="CS199" s="94"/>
      <c r="CT199" s="94"/>
      <c r="CU199" s="94"/>
      <c r="CV199" s="94"/>
      <c r="CW199" s="94"/>
      <c r="CX199" s="94"/>
      <c r="CY199" s="94"/>
      <c r="CZ199" s="94"/>
      <c r="DA199" s="94"/>
      <c r="DB199" s="94"/>
      <c r="DC199" s="94"/>
    </row>
    <row r="200" spans="1:107" s="5" customFormat="1" ht="12.75" customHeight="1">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399"/>
      <c r="AP200" s="399"/>
      <c r="AQ200" s="94"/>
      <c r="AR200" s="94"/>
      <c r="AS200" s="94"/>
      <c r="AT200" s="94"/>
      <c r="AU200" s="94"/>
      <c r="AV200" s="98"/>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94"/>
      <c r="CD200" s="94"/>
      <c r="CE200" s="94"/>
      <c r="CF200" s="94"/>
      <c r="CG200" s="94"/>
      <c r="CH200" s="94"/>
      <c r="CI200" s="94"/>
      <c r="CJ200" s="94"/>
      <c r="CK200" s="94"/>
      <c r="CL200" s="94"/>
      <c r="CM200" s="94"/>
      <c r="CN200" s="94"/>
      <c r="CO200" s="94"/>
      <c r="CP200" s="94"/>
      <c r="CQ200" s="94"/>
      <c r="CR200" s="94"/>
      <c r="CS200" s="94"/>
      <c r="CT200" s="94"/>
      <c r="CU200" s="94"/>
      <c r="CV200" s="94"/>
      <c r="CW200" s="94"/>
      <c r="CX200" s="94"/>
      <c r="CY200" s="94"/>
      <c r="CZ200" s="94"/>
      <c r="DA200" s="94"/>
      <c r="DB200" s="94"/>
      <c r="DC200" s="94"/>
    </row>
    <row r="201" spans="1:107" s="5" customFormat="1" ht="12.75"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399"/>
      <c r="AP201" s="399"/>
      <c r="AQ201" s="94"/>
      <c r="AR201" s="94"/>
      <c r="AS201" s="94"/>
      <c r="AT201" s="94"/>
      <c r="AU201" s="94"/>
      <c r="AV201" s="98"/>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94"/>
      <c r="CB201" s="94"/>
      <c r="CC201" s="94"/>
      <c r="CD201" s="94"/>
      <c r="CE201" s="94"/>
      <c r="CF201" s="94"/>
      <c r="CG201" s="94"/>
      <c r="CH201" s="94"/>
      <c r="CI201" s="94"/>
      <c r="CJ201" s="94"/>
      <c r="CK201" s="94"/>
      <c r="CL201" s="94"/>
      <c r="CM201" s="94"/>
      <c r="CN201" s="94"/>
      <c r="CO201" s="94"/>
      <c r="CP201" s="94"/>
      <c r="CQ201" s="94"/>
      <c r="CR201" s="94"/>
      <c r="CS201" s="94"/>
      <c r="CT201" s="94"/>
      <c r="CU201" s="94"/>
      <c r="CV201" s="94"/>
      <c r="CW201" s="94"/>
      <c r="CX201" s="94"/>
      <c r="CY201" s="94"/>
      <c r="CZ201" s="94"/>
      <c r="DA201" s="94"/>
      <c r="DB201" s="94"/>
      <c r="DC201" s="94"/>
    </row>
    <row r="202" spans="1:107" s="5" customFormat="1" ht="12.75" customHeight="1">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399"/>
      <c r="AP202" s="399"/>
      <c r="AQ202" s="94"/>
      <c r="AR202" s="94"/>
      <c r="AS202" s="94"/>
      <c r="AT202" s="94"/>
      <c r="AU202" s="94"/>
      <c r="AV202" s="98"/>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94"/>
      <c r="CD202" s="94"/>
      <c r="CE202" s="94"/>
      <c r="CF202" s="94"/>
      <c r="CG202" s="94"/>
      <c r="CH202" s="94"/>
      <c r="CI202" s="94"/>
      <c r="CJ202" s="94"/>
      <c r="CK202" s="94"/>
      <c r="CL202" s="94"/>
      <c r="CM202" s="94"/>
      <c r="CN202" s="94"/>
      <c r="CO202" s="94"/>
      <c r="CP202" s="94"/>
      <c r="CQ202" s="94"/>
      <c r="CR202" s="94"/>
      <c r="CS202" s="94"/>
      <c r="CT202" s="94"/>
      <c r="CU202" s="94"/>
      <c r="CV202" s="94"/>
      <c r="CW202" s="94"/>
      <c r="CX202" s="94"/>
      <c r="CY202" s="94"/>
      <c r="CZ202" s="94"/>
      <c r="DA202" s="94"/>
      <c r="DB202" s="94"/>
      <c r="DC202" s="94"/>
    </row>
    <row r="203" spans="1:107" s="5" customFormat="1" ht="12.75" customHeight="1">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399"/>
      <c r="AP203" s="399"/>
      <c r="AQ203" s="94"/>
      <c r="AR203" s="94"/>
      <c r="AS203" s="94"/>
      <c r="AT203" s="94"/>
      <c r="AU203" s="94"/>
      <c r="AV203" s="98"/>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94"/>
      <c r="CD203" s="94"/>
      <c r="CE203" s="94"/>
      <c r="CF203" s="94"/>
      <c r="CG203" s="94"/>
      <c r="CH203" s="94"/>
      <c r="CI203" s="94"/>
      <c r="CJ203" s="94"/>
      <c r="CK203" s="94"/>
      <c r="CL203" s="94"/>
      <c r="CM203" s="94"/>
      <c r="CN203" s="94"/>
      <c r="CO203" s="94"/>
      <c r="CP203" s="94"/>
      <c r="CQ203" s="94"/>
      <c r="CR203" s="94"/>
      <c r="CS203" s="94"/>
      <c r="CT203" s="94"/>
      <c r="CU203" s="94"/>
      <c r="CV203" s="94"/>
      <c r="CW203" s="94"/>
      <c r="CX203" s="94"/>
      <c r="CY203" s="94"/>
      <c r="CZ203" s="94"/>
      <c r="DA203" s="94"/>
      <c r="DB203" s="94"/>
      <c r="DC203" s="94"/>
    </row>
    <row r="204" spans="1:107" s="5" customFormat="1" ht="12.75"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399"/>
      <c r="AP204" s="399"/>
      <c r="AQ204" s="94"/>
      <c r="AR204" s="94"/>
      <c r="AS204" s="94"/>
      <c r="AT204" s="94"/>
      <c r="AU204" s="94"/>
      <c r="AV204" s="98"/>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94"/>
      <c r="CD204" s="94"/>
      <c r="CE204" s="94"/>
      <c r="CF204" s="94"/>
      <c r="CG204" s="94"/>
      <c r="CH204" s="94"/>
      <c r="CI204" s="94"/>
      <c r="CJ204" s="94"/>
      <c r="CK204" s="94"/>
      <c r="CL204" s="94"/>
      <c r="CM204" s="94"/>
      <c r="CN204" s="94"/>
      <c r="CO204" s="94"/>
      <c r="CP204" s="94"/>
      <c r="CQ204" s="94"/>
      <c r="CR204" s="94"/>
      <c r="CS204" s="94"/>
      <c r="CT204" s="94"/>
      <c r="CU204" s="94"/>
      <c r="CV204" s="94"/>
      <c r="CW204" s="94"/>
      <c r="CX204" s="94"/>
      <c r="CY204" s="94"/>
      <c r="CZ204" s="94"/>
      <c r="DA204" s="94"/>
      <c r="DB204" s="94"/>
      <c r="DC204" s="94"/>
    </row>
    <row r="205" spans="1:107" s="5" customFormat="1" ht="12.75" customHeight="1">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399"/>
      <c r="AP205" s="399"/>
      <c r="AQ205" s="94"/>
      <c r="AR205" s="94"/>
      <c r="AS205" s="94"/>
      <c r="AT205" s="94"/>
      <c r="AU205" s="94"/>
      <c r="AV205" s="98"/>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94"/>
      <c r="CD205" s="94"/>
      <c r="CE205" s="94"/>
      <c r="CF205" s="94"/>
      <c r="CG205" s="94"/>
      <c r="CH205" s="94"/>
      <c r="CI205" s="94"/>
      <c r="CJ205" s="94"/>
      <c r="CK205" s="94"/>
      <c r="CL205" s="94"/>
      <c r="CM205" s="94"/>
      <c r="CN205" s="94"/>
      <c r="CO205" s="94"/>
      <c r="CP205" s="94"/>
      <c r="CQ205" s="94"/>
      <c r="CR205" s="94"/>
      <c r="CS205" s="94"/>
      <c r="CT205" s="94"/>
      <c r="CU205" s="94"/>
      <c r="CV205" s="94"/>
      <c r="CW205" s="94"/>
      <c r="CX205" s="94"/>
      <c r="CY205" s="94"/>
      <c r="CZ205" s="94"/>
      <c r="DA205" s="94"/>
      <c r="DB205" s="94"/>
      <c r="DC205" s="94"/>
    </row>
    <row r="206" spans="1:107" s="5" customFormat="1" ht="12.75" customHeight="1">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399"/>
      <c r="AP206" s="399"/>
      <c r="AQ206" s="94"/>
      <c r="AR206" s="94"/>
      <c r="AS206" s="94"/>
      <c r="AT206" s="94"/>
      <c r="AU206" s="94"/>
      <c r="AV206" s="98"/>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94"/>
      <c r="BU206" s="94"/>
      <c r="BV206" s="94"/>
      <c r="BW206" s="94"/>
      <c r="BX206" s="94"/>
      <c r="BY206" s="94"/>
      <c r="BZ206" s="94"/>
      <c r="CA206" s="94"/>
      <c r="CB206" s="94"/>
      <c r="CC206" s="94"/>
      <c r="CD206" s="94"/>
      <c r="CE206" s="94"/>
      <c r="CF206" s="94"/>
      <c r="CG206" s="94"/>
      <c r="CH206" s="94"/>
      <c r="CI206" s="94"/>
      <c r="CJ206" s="94"/>
      <c r="CK206" s="94"/>
      <c r="CL206" s="94"/>
      <c r="CM206" s="94"/>
      <c r="CN206" s="94"/>
      <c r="CO206" s="94"/>
      <c r="CP206" s="94"/>
      <c r="CQ206" s="94"/>
      <c r="CR206" s="94"/>
      <c r="CS206" s="94"/>
      <c r="CT206" s="94"/>
      <c r="CU206" s="94"/>
      <c r="CV206" s="94"/>
      <c r="CW206" s="94"/>
      <c r="CX206" s="94"/>
      <c r="CY206" s="94"/>
      <c r="CZ206" s="94"/>
      <c r="DA206" s="94"/>
      <c r="DB206" s="94"/>
      <c r="DC206" s="94"/>
    </row>
    <row r="207" spans="1:107" s="5" customFormat="1" ht="12.75"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399"/>
      <c r="AP207" s="399"/>
      <c r="AQ207" s="94"/>
      <c r="AR207" s="94"/>
      <c r="AS207" s="94"/>
      <c r="AT207" s="94"/>
      <c r="AU207" s="94"/>
      <c r="AV207" s="98"/>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A207" s="94"/>
      <c r="CB207" s="94"/>
      <c r="CC207" s="94"/>
      <c r="CD207" s="94"/>
      <c r="CE207" s="94"/>
      <c r="CF207" s="94"/>
      <c r="CG207" s="94"/>
      <c r="CH207" s="94"/>
      <c r="CI207" s="94"/>
      <c r="CJ207" s="94"/>
      <c r="CK207" s="94"/>
      <c r="CL207" s="94"/>
      <c r="CM207" s="94"/>
      <c r="CN207" s="94"/>
      <c r="CO207" s="94"/>
      <c r="CP207" s="94"/>
      <c r="CQ207" s="94"/>
      <c r="CR207" s="94"/>
      <c r="CS207" s="94"/>
      <c r="CT207" s="94"/>
      <c r="CU207" s="94"/>
      <c r="CV207" s="94"/>
      <c r="CW207" s="94"/>
      <c r="CX207" s="94"/>
      <c r="CY207" s="94"/>
      <c r="CZ207" s="94"/>
      <c r="DA207" s="94"/>
      <c r="DB207" s="94"/>
      <c r="DC207" s="94"/>
    </row>
    <row r="208" spans="1:107" s="5" customFormat="1" ht="12.75" customHeight="1">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399"/>
      <c r="AP208" s="399"/>
      <c r="AQ208" s="94"/>
      <c r="AR208" s="94"/>
      <c r="AS208" s="94"/>
      <c r="AT208" s="94"/>
      <c r="AU208" s="94"/>
      <c r="AV208" s="98"/>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94"/>
      <c r="CD208" s="94"/>
      <c r="CE208" s="94"/>
      <c r="CF208" s="94"/>
      <c r="CG208" s="94"/>
      <c r="CH208" s="94"/>
      <c r="CI208" s="94"/>
      <c r="CJ208" s="94"/>
      <c r="CK208" s="94"/>
      <c r="CL208" s="94"/>
      <c r="CM208" s="94"/>
      <c r="CN208" s="94"/>
      <c r="CO208" s="94"/>
      <c r="CP208" s="94"/>
      <c r="CQ208" s="94"/>
      <c r="CR208" s="94"/>
      <c r="CS208" s="94"/>
      <c r="CT208" s="94"/>
      <c r="CU208" s="94"/>
      <c r="CV208" s="94"/>
      <c r="CW208" s="94"/>
      <c r="CX208" s="94"/>
      <c r="CY208" s="94"/>
      <c r="CZ208" s="94"/>
      <c r="DA208" s="94"/>
      <c r="DB208" s="94"/>
      <c r="DC208" s="94"/>
    </row>
    <row r="209" spans="1:107" s="5" customFormat="1" ht="12.75" customHeight="1">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399"/>
      <c r="AP209" s="399"/>
      <c r="AQ209" s="94"/>
      <c r="AR209" s="94"/>
      <c r="AS209" s="94"/>
      <c r="AT209" s="94"/>
      <c r="AU209" s="94"/>
      <c r="AV209" s="98"/>
      <c r="AW209" s="94"/>
      <c r="AX209" s="94"/>
      <c r="AY209" s="94"/>
      <c r="AZ209" s="94"/>
      <c r="BA209" s="94"/>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94"/>
      <c r="CD209" s="94"/>
      <c r="CE209" s="94"/>
      <c r="CF209" s="94"/>
      <c r="CG209" s="94"/>
      <c r="CH209" s="94"/>
      <c r="CI209" s="94"/>
      <c r="CJ209" s="94"/>
      <c r="CK209" s="94"/>
      <c r="CL209" s="94"/>
      <c r="CM209" s="94"/>
      <c r="CN209" s="94"/>
      <c r="CO209" s="94"/>
      <c r="CP209" s="94"/>
      <c r="CQ209" s="94"/>
      <c r="CR209" s="94"/>
      <c r="CS209" s="94"/>
      <c r="CT209" s="94"/>
      <c r="CU209" s="94"/>
      <c r="CV209" s="94"/>
      <c r="CW209" s="94"/>
      <c r="CX209" s="94"/>
      <c r="CY209" s="94"/>
      <c r="CZ209" s="94"/>
      <c r="DA209" s="94"/>
      <c r="DB209" s="94"/>
      <c r="DC209" s="94"/>
    </row>
    <row r="210" spans="1:107" s="5" customFormat="1" ht="12.75" customHeight="1">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399"/>
      <c r="AP210" s="399"/>
      <c r="AQ210" s="94"/>
      <c r="AR210" s="94"/>
      <c r="AS210" s="94"/>
      <c r="AT210" s="94"/>
      <c r="AU210" s="94"/>
      <c r="AV210" s="98"/>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c r="CA210" s="94"/>
      <c r="CB210" s="94"/>
      <c r="CC210" s="94"/>
      <c r="CD210" s="94"/>
      <c r="CE210" s="94"/>
      <c r="CF210" s="94"/>
      <c r="CG210" s="94"/>
      <c r="CH210" s="94"/>
      <c r="CI210" s="94"/>
      <c r="CJ210" s="94"/>
      <c r="CK210" s="94"/>
      <c r="CL210" s="94"/>
      <c r="CM210" s="94"/>
      <c r="CN210" s="94"/>
      <c r="CO210" s="94"/>
      <c r="CP210" s="94"/>
      <c r="CQ210" s="94"/>
      <c r="CR210" s="94"/>
      <c r="CS210" s="94"/>
      <c r="CT210" s="94"/>
      <c r="CU210" s="94"/>
      <c r="CV210" s="94"/>
      <c r="CW210" s="94"/>
      <c r="CX210" s="94"/>
      <c r="CY210" s="94"/>
      <c r="CZ210" s="94"/>
      <c r="DA210" s="94"/>
      <c r="DB210" s="94"/>
      <c r="DC210" s="94"/>
    </row>
    <row r="211" spans="1:107" s="5" customFormat="1" ht="12.75" customHeight="1">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399"/>
      <c r="AP211" s="399"/>
      <c r="AQ211" s="94"/>
      <c r="AR211" s="94"/>
      <c r="AS211" s="94"/>
      <c r="AT211" s="94"/>
      <c r="AU211" s="94"/>
      <c r="AV211" s="98"/>
      <c r="AW211" s="94"/>
      <c r="AX211" s="94"/>
      <c r="AY211" s="94"/>
      <c r="AZ211" s="94"/>
      <c r="BA211" s="94"/>
      <c r="BB211" s="94"/>
      <c r="BC211" s="94"/>
      <c r="BD211" s="94"/>
      <c r="BE211" s="94"/>
      <c r="BF211" s="94"/>
      <c r="BG211" s="94"/>
      <c r="BH211" s="94"/>
      <c r="BI211" s="94"/>
      <c r="BJ211" s="94"/>
      <c r="BK211" s="94"/>
      <c r="BL211" s="94"/>
      <c r="BM211" s="94"/>
      <c r="BN211" s="94"/>
      <c r="BO211" s="94"/>
      <c r="BP211" s="94"/>
      <c r="BQ211" s="94"/>
      <c r="BR211" s="94"/>
      <c r="BS211" s="94"/>
      <c r="BT211" s="94"/>
      <c r="BU211" s="94"/>
      <c r="BV211" s="94"/>
      <c r="BW211" s="94"/>
      <c r="BX211" s="94"/>
      <c r="BY211" s="94"/>
      <c r="BZ211" s="94"/>
      <c r="CA211" s="94"/>
      <c r="CB211" s="94"/>
      <c r="CC211" s="94"/>
      <c r="CD211" s="94"/>
      <c r="CE211" s="94"/>
      <c r="CF211" s="94"/>
      <c r="CG211" s="94"/>
      <c r="CH211" s="94"/>
      <c r="CI211" s="94"/>
      <c r="CJ211" s="94"/>
      <c r="CK211" s="94"/>
      <c r="CL211" s="94"/>
      <c r="CM211" s="94"/>
      <c r="CN211" s="94"/>
      <c r="CO211" s="94"/>
      <c r="CP211" s="94"/>
      <c r="CQ211" s="94"/>
      <c r="CR211" s="94"/>
      <c r="CS211" s="94"/>
      <c r="CT211" s="94"/>
      <c r="CU211" s="94"/>
      <c r="CV211" s="94"/>
      <c r="CW211" s="94"/>
      <c r="CX211" s="94"/>
      <c r="CY211" s="94"/>
      <c r="CZ211" s="94"/>
      <c r="DA211" s="94"/>
      <c r="DB211" s="94"/>
      <c r="DC211" s="94"/>
    </row>
    <row r="212" spans="1:107" s="5" customFormat="1" ht="12.75" customHeight="1">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399"/>
      <c r="AP212" s="399"/>
      <c r="AQ212" s="94"/>
      <c r="AR212" s="94"/>
      <c r="AS212" s="94"/>
      <c r="AT212" s="94"/>
      <c r="AU212" s="94"/>
      <c r="AV212" s="98"/>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row>
    <row r="213" spans="1:107" s="5" customFormat="1" ht="12.75" customHeight="1">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399"/>
      <c r="AP213" s="399"/>
      <c r="AQ213" s="94"/>
      <c r="AR213" s="94"/>
      <c r="AS213" s="94"/>
      <c r="AT213" s="94"/>
      <c r="AU213" s="94"/>
      <c r="AV213" s="98"/>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row>
    <row r="214" spans="1:107" s="5" customFormat="1" ht="12.75" customHeight="1">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399"/>
      <c r="AP214" s="399"/>
      <c r="AQ214" s="94"/>
      <c r="AR214" s="94"/>
      <c r="AS214" s="94"/>
      <c r="AT214" s="94"/>
      <c r="AU214" s="94"/>
      <c r="AV214" s="98"/>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row>
    <row r="215" spans="1:107" s="5" customFormat="1" ht="12.75" customHeight="1">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399"/>
      <c r="AP215" s="399"/>
      <c r="AQ215" s="94"/>
      <c r="AR215" s="94"/>
      <c r="AS215" s="94"/>
      <c r="AT215" s="94"/>
      <c r="AU215" s="94"/>
      <c r="AV215" s="98"/>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row>
    <row r="216" spans="1:107" s="5" customFormat="1" ht="12.75" customHeight="1">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399"/>
      <c r="AP216" s="399"/>
      <c r="AQ216" s="94"/>
      <c r="AR216" s="94"/>
      <c r="AS216" s="94"/>
      <c r="AT216" s="94"/>
      <c r="AU216" s="94"/>
      <c r="AV216" s="98"/>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row>
    <row r="217" spans="1:107" s="5" customFormat="1" ht="12.75" customHeight="1">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399"/>
      <c r="AP217" s="399"/>
      <c r="AQ217" s="94"/>
      <c r="AR217" s="94"/>
      <c r="AS217" s="94"/>
      <c r="AT217" s="94"/>
      <c r="AU217" s="94"/>
      <c r="AV217" s="98"/>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row>
    <row r="218" spans="1:107" s="5" customFormat="1" ht="12.75" customHeight="1">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399"/>
      <c r="AP218" s="399"/>
      <c r="AQ218" s="94"/>
      <c r="AR218" s="94"/>
      <c r="AS218" s="94"/>
      <c r="AT218" s="94"/>
      <c r="AU218" s="94"/>
      <c r="AV218" s="98"/>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row>
    <row r="219" spans="1:107" s="5" customFormat="1" ht="12.75" customHeight="1">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399"/>
      <c r="AP219" s="399"/>
      <c r="AQ219" s="94"/>
      <c r="AR219" s="94"/>
      <c r="AS219" s="94"/>
      <c r="AT219" s="94"/>
      <c r="AU219" s="94"/>
      <c r="AV219" s="98"/>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row>
    <row r="220" spans="1:107" s="5" customFormat="1" ht="12.75" customHeight="1">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399"/>
      <c r="AP220" s="399"/>
      <c r="AQ220" s="94"/>
      <c r="AR220" s="94"/>
      <c r="AS220" s="94"/>
      <c r="AT220" s="94"/>
      <c r="AU220" s="94"/>
      <c r="AV220" s="98"/>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row>
    <row r="221" spans="1:107" s="5" customFormat="1" ht="12.75" customHeight="1">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399"/>
      <c r="AP221" s="399"/>
      <c r="AQ221" s="94"/>
      <c r="AR221" s="94"/>
      <c r="AS221" s="94"/>
      <c r="AT221" s="94"/>
      <c r="AU221" s="94"/>
      <c r="AV221" s="98"/>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row>
    <row r="222" spans="1:107" s="5" customFormat="1" ht="12.75" customHeight="1">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399"/>
      <c r="AP222" s="399"/>
      <c r="AQ222" s="94"/>
      <c r="AR222" s="94"/>
      <c r="AS222" s="94"/>
      <c r="AT222" s="94"/>
      <c r="AU222" s="94"/>
      <c r="AV222" s="98"/>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row>
    <row r="223" spans="1:107" s="5" customFormat="1" ht="12.75" customHeight="1">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399"/>
      <c r="AP223" s="399"/>
      <c r="AQ223" s="94"/>
      <c r="AR223" s="94"/>
      <c r="AS223" s="94"/>
      <c r="AT223" s="94"/>
      <c r="AU223" s="94"/>
      <c r="AV223" s="98"/>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row>
    <row r="224" spans="1:107" s="5" customFormat="1" ht="12.75" customHeight="1">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399"/>
      <c r="AP224" s="399"/>
      <c r="AQ224" s="94"/>
      <c r="AR224" s="94"/>
      <c r="AS224" s="94"/>
      <c r="AT224" s="94"/>
      <c r="AU224" s="94"/>
      <c r="AV224" s="98"/>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row>
    <row r="225" spans="1:107" s="5" customFormat="1" ht="12.75" customHeight="1">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399"/>
      <c r="AP225" s="399"/>
      <c r="AQ225" s="94"/>
      <c r="AR225" s="94"/>
      <c r="AS225" s="94"/>
      <c r="AT225" s="94"/>
      <c r="AU225" s="94"/>
      <c r="AV225" s="98"/>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row>
    <row r="226" spans="1:107" s="5" customFormat="1" ht="26.45" customHeight="1">
      <c r="A226" s="1"/>
      <c r="B226" s="16" t="str">
        <f>B1</f>
        <v>Multifamily (5 units or more per  building)</v>
      </c>
      <c r="C226" s="16"/>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7" t="s">
        <v>102</v>
      </c>
      <c r="AJ226" s="1"/>
      <c r="AK226" s="94"/>
      <c r="AL226" s="94"/>
      <c r="AM226" s="94"/>
      <c r="AN226" s="94"/>
      <c r="AO226" s="399"/>
      <c r="AP226" s="399"/>
      <c r="AQ226" s="94"/>
      <c r="AR226" s="94"/>
      <c r="AS226" s="94"/>
      <c r="AT226" s="94"/>
      <c r="AU226" s="94"/>
      <c r="AV226" s="98"/>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row>
    <row r="227" spans="1:107" s="5" customFormat="1" ht="18">
      <c r="A227" s="1"/>
      <c r="B227" s="18" t="str">
        <f>B2</f>
        <v>Energy Efficiency Incentives</v>
      </c>
      <c r="C227" s="18"/>
      <c r="D227" s="3"/>
      <c r="E227" s="3"/>
      <c r="F227" s="3"/>
      <c r="G227" s="3"/>
      <c r="H227" s="3"/>
      <c r="I227" s="3"/>
      <c r="J227" s="3"/>
      <c r="K227" s="3"/>
      <c r="L227" s="3"/>
      <c r="M227" s="3"/>
      <c r="N227" s="3"/>
      <c r="O227" s="3"/>
      <c r="P227" s="3"/>
      <c r="Q227" s="3"/>
      <c r="R227" s="3"/>
      <c r="S227" s="3"/>
      <c r="T227" s="3"/>
      <c r="U227" s="3"/>
      <c r="V227" s="3"/>
      <c r="W227" s="3"/>
      <c r="X227" s="3"/>
      <c r="Y227" s="1"/>
      <c r="Z227" s="1"/>
      <c r="AA227" s="1"/>
      <c r="AB227" s="1"/>
      <c r="AC227" s="1"/>
      <c r="AD227" s="1"/>
      <c r="AE227" s="1"/>
      <c r="AF227" s="1"/>
      <c r="AG227" s="1"/>
      <c r="AH227" s="1"/>
      <c r="AI227" s="141" t="str">
        <f>AI1</f>
        <v>Effective November 1, 2023</v>
      </c>
      <c r="AJ227" s="1"/>
      <c r="AK227" s="94"/>
      <c r="AL227" s="94"/>
      <c r="AM227" s="94"/>
      <c r="AN227" s="94"/>
      <c r="AO227" s="399"/>
      <c r="AP227" s="399"/>
      <c r="AQ227" s="94"/>
      <c r="AR227" s="94"/>
      <c r="AS227" s="94"/>
      <c r="AT227" s="94"/>
      <c r="AU227" s="94"/>
      <c r="AV227" s="98"/>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row>
    <row r="228" spans="1:107" s="5" customFormat="1" ht="18">
      <c r="A228" s="1"/>
      <c r="B228" s="18" t="str">
        <f>B3</f>
        <v>Final Application and Signature</v>
      </c>
      <c r="C228" s="18"/>
      <c r="D228" s="3"/>
      <c r="E228" s="3"/>
      <c r="F228" s="3"/>
      <c r="G228" s="3"/>
      <c r="H228" s="3"/>
      <c r="I228" s="3"/>
      <c r="J228" s="3"/>
      <c r="K228" s="3"/>
      <c r="L228" s="3"/>
      <c r="M228" s="3"/>
      <c r="N228" s="3"/>
      <c r="O228" s="3"/>
      <c r="P228" s="3"/>
      <c r="Q228" s="3"/>
      <c r="R228" s="3"/>
      <c r="S228" s="3"/>
      <c r="T228" s="3"/>
      <c r="U228" s="3"/>
      <c r="V228" s="3"/>
      <c r="W228" s="3"/>
      <c r="X228" s="3"/>
      <c r="Y228" s="3"/>
      <c r="Z228" s="1"/>
      <c r="AA228" s="1"/>
      <c r="AB228" s="1"/>
      <c r="AC228" s="1"/>
      <c r="AD228" s="1"/>
      <c r="AE228" s="1"/>
      <c r="AF228" s="1"/>
      <c r="AG228" s="1"/>
      <c r="AH228" s="1"/>
      <c r="AI228" s="1"/>
      <c r="AJ228" s="1"/>
      <c r="AK228" s="94"/>
      <c r="AL228" s="94"/>
      <c r="AM228" s="94"/>
      <c r="AN228" s="94"/>
      <c r="AO228" s="399"/>
      <c r="AP228" s="399"/>
      <c r="AQ228" s="94"/>
      <c r="AR228" s="94"/>
      <c r="AS228" s="94"/>
      <c r="AT228" s="94"/>
      <c r="AU228" s="94"/>
      <c r="AV228" s="98"/>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row>
    <row r="229" spans="1:107" s="5" customFormat="1" ht="12.75" customHeight="1">
      <c r="A229" s="1"/>
      <c r="B229" s="1"/>
      <c r="C229" s="20"/>
      <c r="D229" s="20"/>
      <c r="E229" s="20"/>
      <c r="F229" s="20"/>
      <c r="G229" s="20"/>
      <c r="H229" s="20"/>
      <c r="I229" s="20"/>
      <c r="J229" s="20"/>
      <c r="K229" s="20"/>
      <c r="L229" s="20"/>
      <c r="M229" s="20"/>
      <c r="N229" s="20"/>
      <c r="O229" s="20"/>
      <c r="P229" s="20"/>
      <c r="Q229" s="20"/>
      <c r="R229" s="20"/>
      <c r="S229" s="20"/>
      <c r="T229" s="9"/>
      <c r="U229" s="20"/>
      <c r="V229" s="20"/>
      <c r="W229" s="20"/>
      <c r="X229" s="20"/>
      <c r="Y229" s="20"/>
      <c r="Z229" s="1"/>
      <c r="AA229" s="1"/>
      <c r="AB229" s="1"/>
      <c r="AC229" s="1"/>
      <c r="AD229" s="1"/>
      <c r="AE229" s="1"/>
      <c r="AF229" s="1"/>
      <c r="AG229" s="1"/>
      <c r="AH229" s="1"/>
      <c r="AI229" s="9"/>
      <c r="AJ229" s="1"/>
      <c r="AK229" s="94"/>
      <c r="AL229" s="94"/>
      <c r="AM229" s="94"/>
      <c r="AN229" s="94"/>
      <c r="AO229" s="399"/>
      <c r="AP229" s="399"/>
      <c r="AQ229" s="94"/>
      <c r="AR229" s="94"/>
      <c r="AS229" s="94"/>
      <c r="AT229" s="94"/>
      <c r="AU229" s="94"/>
      <c r="AV229" s="98"/>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row>
    <row r="230" spans="1:107" s="5" customFormat="1" ht="12.75" customHeight="1">
      <c r="A230" s="1"/>
      <c r="B230" s="233" t="str">
        <f t="shared" ref="B230:B246" si="0">IF(B5="","",B5)</f>
        <v>Customer Information</v>
      </c>
      <c r="C230" s="24"/>
      <c r="D230" s="24"/>
      <c r="E230" s="4"/>
      <c r="F230" s="4"/>
      <c r="G230" s="4"/>
      <c r="H230" s="4"/>
      <c r="I230" s="4"/>
      <c r="J230" s="4"/>
      <c r="K230" s="4"/>
      <c r="L230" s="4"/>
      <c r="M230" s="4"/>
      <c r="N230" s="4"/>
      <c r="O230" s="4"/>
      <c r="P230" s="4"/>
      <c r="Q230" s="4"/>
      <c r="R230" s="1"/>
      <c r="S230" s="1"/>
      <c r="T230" s="1"/>
      <c r="U230" s="1"/>
      <c r="V230" s="1"/>
      <c r="W230" s="1"/>
      <c r="X230" s="1"/>
      <c r="Y230" s="142"/>
      <c r="Z230" s="1"/>
      <c r="AA230" s="1"/>
      <c r="AB230" s="1"/>
      <c r="AC230" s="1"/>
      <c r="AD230" s="1"/>
      <c r="AE230" s="1"/>
      <c r="AF230" s="1"/>
      <c r="AG230" s="1"/>
      <c r="AH230" s="1"/>
      <c r="AI230" s="641" t="str">
        <f>IF(AI5="","",AI5)</f>
        <v>*Indicates required field - if left blank your project will not be reviewed</v>
      </c>
      <c r="AJ230" s="1"/>
      <c r="AK230" s="94"/>
      <c r="AL230" s="94"/>
      <c r="AM230" s="94"/>
      <c r="AN230" s="94"/>
      <c r="AO230" s="399"/>
      <c r="AP230" s="399"/>
      <c r="AQ230" s="94"/>
      <c r="AR230" s="94"/>
      <c r="AS230" s="94"/>
      <c r="AT230" s="94"/>
      <c r="AU230" s="94"/>
      <c r="AV230" s="98"/>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row>
    <row r="231" spans="1:107" s="5" customFormat="1" ht="12.75" customHeight="1">
      <c r="A231" s="1"/>
      <c r="B231" s="240" t="str">
        <f t="shared" si="0"/>
        <v>Applicant Name* (Project Owner)</v>
      </c>
      <c r="C231" s="241"/>
      <c r="D231" s="241"/>
      <c r="E231" s="241"/>
      <c r="F231" s="241"/>
      <c r="G231" s="241"/>
      <c r="H231" s="241"/>
      <c r="I231" s="241"/>
      <c r="J231" s="241"/>
      <c r="K231" s="241"/>
      <c r="L231" s="241"/>
      <c r="M231" s="241"/>
      <c r="N231" s="241"/>
      <c r="O231" s="241"/>
      <c r="P231" s="241"/>
      <c r="Q231" s="241"/>
      <c r="R231" s="241"/>
      <c r="S231" s="242"/>
      <c r="T231" s="240" t="str">
        <f t="shared" ref="T231:T242" si="1">IF(T6="","",T6)</f>
        <v>Account Number* (Required)</v>
      </c>
      <c r="U231" s="241"/>
      <c r="V231" s="241"/>
      <c r="W231" s="241"/>
      <c r="X231" s="241"/>
      <c r="Y231" s="241"/>
      <c r="Z231" s="241"/>
      <c r="AA231" s="241"/>
      <c r="AB231" s="241"/>
      <c r="AC231" s="241"/>
      <c r="AD231" s="241"/>
      <c r="AE231" s="242"/>
      <c r="AF231" s="240" t="str">
        <f>IF(AF6="","",AF6)</f>
        <v>Date*</v>
      </c>
      <c r="AG231" s="241"/>
      <c r="AH231" s="241"/>
      <c r="AI231" s="242"/>
      <c r="AJ231" s="1"/>
      <c r="AK231" s="94"/>
      <c r="AL231" s="94"/>
      <c r="AM231" s="94"/>
      <c r="AN231" s="94"/>
      <c r="AO231" s="399"/>
      <c r="AP231" s="399"/>
      <c r="AQ231" s="94"/>
      <c r="AR231" s="94"/>
      <c r="AS231" s="94"/>
      <c r="AT231" s="94"/>
      <c r="AU231" s="94"/>
      <c r="AV231" s="98"/>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row>
    <row r="232" spans="1:107" s="5" customFormat="1" ht="12.75" customHeight="1">
      <c r="A232" s="1"/>
      <c r="B232" s="743" t="str">
        <f t="shared" si="0"/>
        <v/>
      </c>
      <c r="C232" s="744"/>
      <c r="D232" s="744"/>
      <c r="E232" s="744"/>
      <c r="F232" s="744"/>
      <c r="G232" s="744"/>
      <c r="H232" s="744"/>
      <c r="I232" s="744"/>
      <c r="J232" s="744"/>
      <c r="K232" s="744"/>
      <c r="L232" s="744"/>
      <c r="M232" s="744"/>
      <c r="N232" s="744"/>
      <c r="O232" s="744"/>
      <c r="P232" s="744"/>
      <c r="Q232" s="744"/>
      <c r="R232" s="744"/>
      <c r="S232" s="745"/>
      <c r="T232" s="743" t="str">
        <f t="shared" si="1"/>
        <v/>
      </c>
      <c r="U232" s="744"/>
      <c r="V232" s="744"/>
      <c r="W232" s="744"/>
      <c r="X232" s="744"/>
      <c r="Y232" s="744"/>
      <c r="Z232" s="744"/>
      <c r="AA232" s="744"/>
      <c r="AB232" s="744"/>
      <c r="AC232" s="744"/>
      <c r="AD232" s="744"/>
      <c r="AE232" s="745"/>
      <c r="AF232" s="752" t="str">
        <f t="shared" ref="AF232:AI232" si="2">IF(AF7="","",AF7)</f>
        <v/>
      </c>
      <c r="AG232" s="753" t="str">
        <f t="shared" si="2"/>
        <v/>
      </c>
      <c r="AH232" s="753" t="str">
        <f t="shared" si="2"/>
        <v/>
      </c>
      <c r="AI232" s="754" t="str">
        <f t="shared" si="2"/>
        <v/>
      </c>
      <c r="AJ232" s="1"/>
      <c r="AK232" s="94"/>
      <c r="AL232" s="94"/>
      <c r="AM232" s="94"/>
      <c r="AN232" s="94"/>
      <c r="AO232" s="399"/>
      <c r="AP232" s="399"/>
      <c r="AQ232" s="94"/>
      <c r="AR232" s="94"/>
      <c r="AS232" s="94"/>
      <c r="AT232" s="94"/>
      <c r="AU232" s="94"/>
      <c r="AV232" s="98"/>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row>
    <row r="233" spans="1:107" s="5" customFormat="1" ht="12.75" customHeight="1">
      <c r="A233" s="1"/>
      <c r="B233" s="240" t="str">
        <f t="shared" si="0"/>
        <v>Project / Facility Name</v>
      </c>
      <c r="C233" s="241"/>
      <c r="D233" s="241"/>
      <c r="E233" s="241"/>
      <c r="F233" s="241"/>
      <c r="G233" s="241"/>
      <c r="H233" s="241"/>
      <c r="I233" s="241"/>
      <c r="J233" s="241"/>
      <c r="K233" s="241"/>
      <c r="L233" s="241"/>
      <c r="M233" s="241"/>
      <c r="N233" s="241"/>
      <c r="O233" s="241"/>
      <c r="P233" s="241"/>
      <c r="Q233" s="241"/>
      <c r="R233" s="241"/>
      <c r="S233" s="242"/>
      <c r="T233" s="234" t="str">
        <f t="shared" si="1"/>
        <v>Total Area [sq ft]</v>
      </c>
      <c r="U233" s="235"/>
      <c r="V233" s="235"/>
      <c r="W233" s="235"/>
      <c r="X233" s="235"/>
      <c r="Y233" s="235"/>
      <c r="Z233" s="234" t="str">
        <f t="shared" ref="Z233" si="3">IF(Z8="","",Z8)</f>
        <v>Number of stories</v>
      </c>
      <c r="AA233" s="235"/>
      <c r="AB233" s="235" t="str">
        <f>IF(AB8="","",AB8)</f>
        <v/>
      </c>
      <c r="AC233" s="235"/>
      <c r="AD233" s="714" t="str">
        <f t="shared" ref="AD233" si="4">IF(AD8="","",AD8)</f>
        <v>Number of Residential Units</v>
      </c>
      <c r="AE233" s="715"/>
      <c r="AF233" s="715"/>
      <c r="AG233" s="715"/>
      <c r="AH233" s="715"/>
      <c r="AI233" s="716"/>
      <c r="AJ233" s="1"/>
      <c r="AK233" s="94"/>
      <c r="AL233" s="94"/>
      <c r="AM233" s="94"/>
      <c r="AN233" s="94"/>
      <c r="AO233" s="399"/>
      <c r="AP233" s="399"/>
      <c r="AQ233" s="94"/>
      <c r="AR233" s="94"/>
      <c r="AS233" s="94"/>
      <c r="AT233" s="94"/>
      <c r="AU233" s="94"/>
      <c r="AV233" s="98"/>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row>
    <row r="234" spans="1:107" s="5" customFormat="1" ht="12.75" customHeight="1">
      <c r="A234" s="1"/>
      <c r="B234" s="743" t="str">
        <f t="shared" si="0"/>
        <v/>
      </c>
      <c r="C234" s="744"/>
      <c r="D234" s="744"/>
      <c r="E234" s="744"/>
      <c r="F234" s="744"/>
      <c r="G234" s="744"/>
      <c r="H234" s="744"/>
      <c r="I234" s="744"/>
      <c r="J234" s="744"/>
      <c r="K234" s="744"/>
      <c r="L234" s="744"/>
      <c r="M234" s="744"/>
      <c r="N234" s="744"/>
      <c r="O234" s="744"/>
      <c r="P234" s="744"/>
      <c r="Q234" s="744"/>
      <c r="R234" s="744"/>
      <c r="S234" s="745"/>
      <c r="T234" s="838" t="str">
        <f t="shared" si="1"/>
        <v/>
      </c>
      <c r="U234" s="838"/>
      <c r="V234" s="838"/>
      <c r="W234" s="838"/>
      <c r="X234" s="838"/>
      <c r="Y234" s="838"/>
      <c r="Z234" s="838" t="str">
        <f>IF(Z9="","",Z9)</f>
        <v/>
      </c>
      <c r="AA234" s="838"/>
      <c r="AB234" s="838"/>
      <c r="AC234" s="838"/>
      <c r="AD234" s="838" t="str">
        <f t="shared" ref="AD234" si="5">IF(AD9="","",AD9)</f>
        <v/>
      </c>
      <c r="AE234" s="838"/>
      <c r="AF234" s="838"/>
      <c r="AG234" s="838"/>
      <c r="AH234" s="838"/>
      <c r="AI234" s="838"/>
      <c r="AJ234" s="1"/>
      <c r="AK234" s="94"/>
      <c r="AL234" s="94"/>
      <c r="AM234" s="94"/>
      <c r="AN234" s="94"/>
      <c r="AO234" s="399"/>
      <c r="AP234" s="399"/>
      <c r="AQ234" s="94"/>
      <c r="AR234" s="94"/>
      <c r="AS234" s="94"/>
      <c r="AT234" s="94"/>
      <c r="AU234" s="94"/>
      <c r="AV234" s="98"/>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row>
    <row r="235" spans="1:107" s="5" customFormat="1" ht="12.75" customHeight="1">
      <c r="A235" s="1"/>
      <c r="B235" s="240" t="str">
        <f t="shared" si="0"/>
        <v>Project Site Address*</v>
      </c>
      <c r="C235" s="241"/>
      <c r="D235" s="241"/>
      <c r="E235" s="241"/>
      <c r="F235" s="241"/>
      <c r="G235" s="241"/>
      <c r="H235" s="241"/>
      <c r="I235" s="241"/>
      <c r="J235" s="241"/>
      <c r="K235" s="241"/>
      <c r="L235" s="241"/>
      <c r="M235" s="241"/>
      <c r="N235" s="241"/>
      <c r="O235" s="241"/>
      <c r="P235" s="241"/>
      <c r="Q235" s="241"/>
      <c r="R235" s="241"/>
      <c r="S235" s="242"/>
      <c r="T235" s="240" t="str">
        <f t="shared" si="1"/>
        <v>City*</v>
      </c>
      <c r="U235" s="241"/>
      <c r="V235" s="241"/>
      <c r="W235" s="241"/>
      <c r="X235" s="241"/>
      <c r="Y235" s="241"/>
      <c r="Z235" s="241"/>
      <c r="AA235" s="241"/>
      <c r="AB235" s="241"/>
      <c r="AC235" s="242"/>
      <c r="AD235" s="240" t="str">
        <f>IF(AD10="","",AD10)</f>
        <v>State*</v>
      </c>
      <c r="AE235" s="242"/>
      <c r="AF235" s="240" t="str">
        <f>IF(AF10="","",AF10)</f>
        <v>Zip*</v>
      </c>
      <c r="AG235" s="241"/>
      <c r="AH235" s="241"/>
      <c r="AI235" s="242"/>
      <c r="AJ235" s="1"/>
      <c r="AK235" s="94"/>
      <c r="AL235" s="94"/>
      <c r="AM235" s="94"/>
      <c r="AN235" s="94"/>
      <c r="AO235" s="399"/>
      <c r="AP235" s="399"/>
      <c r="AQ235" s="94"/>
      <c r="AR235" s="94"/>
      <c r="AS235" s="94"/>
      <c r="AT235" s="94"/>
      <c r="AU235" s="94"/>
      <c r="AV235" s="98"/>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row>
    <row r="236" spans="1:107" s="5" customFormat="1" ht="12.75" customHeight="1">
      <c r="A236" s="1"/>
      <c r="B236" s="743" t="str">
        <f t="shared" si="0"/>
        <v/>
      </c>
      <c r="C236" s="744"/>
      <c r="D236" s="744"/>
      <c r="E236" s="744"/>
      <c r="F236" s="744"/>
      <c r="G236" s="744"/>
      <c r="H236" s="744"/>
      <c r="I236" s="744"/>
      <c r="J236" s="744"/>
      <c r="K236" s="744"/>
      <c r="L236" s="744"/>
      <c r="M236" s="744"/>
      <c r="N236" s="744"/>
      <c r="O236" s="744"/>
      <c r="P236" s="744"/>
      <c r="Q236" s="744"/>
      <c r="R236" s="744"/>
      <c r="S236" s="745"/>
      <c r="T236" s="743" t="str">
        <f t="shared" si="1"/>
        <v/>
      </c>
      <c r="U236" s="744"/>
      <c r="V236" s="744"/>
      <c r="W236" s="744"/>
      <c r="X236" s="744"/>
      <c r="Y236" s="744"/>
      <c r="Z236" s="744"/>
      <c r="AA236" s="744"/>
      <c r="AB236" s="744"/>
      <c r="AC236" s="745"/>
      <c r="AD236" s="743" t="str">
        <f>IF(AD11="","",AD11)</f>
        <v/>
      </c>
      <c r="AE236" s="745"/>
      <c r="AF236" s="743" t="str">
        <f>IF(AF11="","",AF11)</f>
        <v/>
      </c>
      <c r="AG236" s="744"/>
      <c r="AH236" s="744"/>
      <c r="AI236" s="745"/>
      <c r="AJ236" s="1"/>
      <c r="AK236" s="94"/>
      <c r="AL236" s="94"/>
      <c r="AM236" s="94"/>
      <c r="AN236" s="94"/>
      <c r="AO236" s="399"/>
      <c r="AP236" s="399"/>
      <c r="AQ236" s="94"/>
      <c r="AR236" s="94"/>
      <c r="AS236" s="94"/>
      <c r="AT236" s="94"/>
      <c r="AU236" s="94"/>
      <c r="AV236" s="98"/>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row>
    <row r="237" spans="1:107" s="5" customFormat="1" ht="12.75" customHeight="1">
      <c r="A237" s="1"/>
      <c r="B237" s="240" t="str">
        <f t="shared" si="0"/>
        <v>Mailing Address (If different)</v>
      </c>
      <c r="C237" s="241"/>
      <c r="D237" s="241"/>
      <c r="E237" s="241"/>
      <c r="F237" s="241"/>
      <c r="G237" s="241"/>
      <c r="H237" s="241"/>
      <c r="I237" s="241"/>
      <c r="J237" s="241"/>
      <c r="K237" s="241"/>
      <c r="L237" s="241"/>
      <c r="M237" s="241"/>
      <c r="N237" s="241"/>
      <c r="O237" s="241"/>
      <c r="P237" s="241"/>
      <c r="Q237" s="241"/>
      <c r="R237" s="241"/>
      <c r="S237" s="242"/>
      <c r="T237" s="240" t="str">
        <f t="shared" si="1"/>
        <v>City</v>
      </c>
      <c r="U237" s="241"/>
      <c r="V237" s="241"/>
      <c r="W237" s="241"/>
      <c r="X237" s="241"/>
      <c r="Y237" s="241"/>
      <c r="Z237" s="241"/>
      <c r="AA237" s="241"/>
      <c r="AB237" s="241"/>
      <c r="AC237" s="242"/>
      <c r="AD237" s="234" t="str">
        <f>IF(AD12="","",AD12)</f>
        <v>State</v>
      </c>
      <c r="AE237" s="236"/>
      <c r="AF237" s="240" t="str">
        <f>IF(AF12="","",AF12)</f>
        <v>Zip</v>
      </c>
      <c r="AG237" s="241"/>
      <c r="AH237" s="241"/>
      <c r="AI237" s="242"/>
      <c r="AJ237" s="1"/>
      <c r="AK237" s="94"/>
      <c r="AL237" s="94"/>
      <c r="AM237" s="94"/>
      <c r="AN237" s="94"/>
      <c r="AO237" s="399"/>
      <c r="AP237" s="399"/>
      <c r="AQ237" s="94"/>
      <c r="AR237" s="94"/>
      <c r="AS237" s="94"/>
      <c r="AT237" s="94"/>
      <c r="AU237" s="94"/>
      <c r="AV237" s="98"/>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row>
    <row r="238" spans="1:107" s="5" customFormat="1" ht="12.75" customHeight="1">
      <c r="A238" s="1"/>
      <c r="B238" s="743" t="str">
        <f t="shared" si="0"/>
        <v/>
      </c>
      <c r="C238" s="744"/>
      <c r="D238" s="744"/>
      <c r="E238" s="744"/>
      <c r="F238" s="744"/>
      <c r="G238" s="744"/>
      <c r="H238" s="744"/>
      <c r="I238" s="744"/>
      <c r="J238" s="744"/>
      <c r="K238" s="744"/>
      <c r="L238" s="744"/>
      <c r="M238" s="744"/>
      <c r="N238" s="744"/>
      <c r="O238" s="744"/>
      <c r="P238" s="744"/>
      <c r="Q238" s="744"/>
      <c r="R238" s="744"/>
      <c r="S238" s="745"/>
      <c r="T238" s="743" t="str">
        <f t="shared" si="1"/>
        <v/>
      </c>
      <c r="U238" s="744"/>
      <c r="V238" s="744"/>
      <c r="W238" s="744"/>
      <c r="X238" s="744"/>
      <c r="Y238" s="744"/>
      <c r="Z238" s="744"/>
      <c r="AA238" s="744"/>
      <c r="AB238" s="744"/>
      <c r="AC238" s="745"/>
      <c r="AD238" s="743" t="str">
        <f>IF(AD13="","",AD13)</f>
        <v/>
      </c>
      <c r="AE238" s="745"/>
      <c r="AF238" s="743" t="str">
        <f>IF(AF13="","",AF13)</f>
        <v/>
      </c>
      <c r="AG238" s="744"/>
      <c r="AH238" s="744"/>
      <c r="AI238" s="745"/>
      <c r="AJ238" s="1"/>
      <c r="AK238" s="94"/>
      <c r="AL238" s="94"/>
      <c r="AM238" s="94"/>
      <c r="AN238" s="94"/>
      <c r="AO238" s="399"/>
      <c r="AP238" s="399"/>
      <c r="AQ238" s="94"/>
      <c r="AR238" s="94"/>
      <c r="AS238" s="94"/>
      <c r="AT238" s="94"/>
      <c r="AU238" s="94"/>
      <c r="AV238" s="98"/>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row>
    <row r="239" spans="1:107" s="5" customFormat="1" ht="12.75" customHeight="1">
      <c r="A239" s="1"/>
      <c r="B239" s="240" t="str">
        <f t="shared" si="0"/>
        <v>Primary Contact Name*</v>
      </c>
      <c r="C239" s="241"/>
      <c r="D239" s="241"/>
      <c r="E239" s="241"/>
      <c r="F239" s="241"/>
      <c r="G239" s="241"/>
      <c r="H239" s="241"/>
      <c r="I239" s="241"/>
      <c r="J239" s="241"/>
      <c r="K239" s="241"/>
      <c r="L239" s="241"/>
      <c r="M239" s="241"/>
      <c r="N239" s="241"/>
      <c r="O239" s="241"/>
      <c r="P239" s="241"/>
      <c r="Q239" s="241"/>
      <c r="R239" s="241"/>
      <c r="S239" s="242"/>
      <c r="T239" s="234" t="str">
        <f t="shared" si="1"/>
        <v>Phone*</v>
      </c>
      <c r="U239" s="235"/>
      <c r="V239" s="235"/>
      <c r="W239" s="235"/>
      <c r="X239" s="235"/>
      <c r="Y239" s="236"/>
      <c r="Z239" s="237" t="str">
        <f>IF(Z14="","",Z14)</f>
        <v>E-mail*</v>
      </c>
      <c r="AA239" s="238"/>
      <c r="AB239" s="238"/>
      <c r="AC239" s="238"/>
      <c r="AD239" s="238"/>
      <c r="AE239" s="238"/>
      <c r="AF239" s="238"/>
      <c r="AG239" s="238"/>
      <c r="AH239" s="238"/>
      <c r="AI239" s="239"/>
      <c r="AJ239" s="1"/>
      <c r="AK239" s="94"/>
      <c r="AL239" s="94"/>
      <c r="AM239" s="94"/>
      <c r="AN239" s="94"/>
      <c r="AO239" s="399"/>
      <c r="AP239" s="399"/>
      <c r="AQ239" s="94"/>
      <c r="AR239" s="94"/>
      <c r="AS239" s="94"/>
      <c r="AT239" s="94"/>
      <c r="AU239" s="94"/>
      <c r="AV239" s="98"/>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row>
    <row r="240" spans="1:107" s="5" customFormat="1" ht="12.75" customHeight="1">
      <c r="A240" s="1"/>
      <c r="B240" s="743" t="str">
        <f t="shared" si="0"/>
        <v/>
      </c>
      <c r="C240" s="744"/>
      <c r="D240" s="744"/>
      <c r="E240" s="744"/>
      <c r="F240" s="744"/>
      <c r="G240" s="744"/>
      <c r="H240" s="744"/>
      <c r="I240" s="744"/>
      <c r="J240" s="744"/>
      <c r="K240" s="744"/>
      <c r="L240" s="744"/>
      <c r="M240" s="744"/>
      <c r="N240" s="744"/>
      <c r="O240" s="744"/>
      <c r="P240" s="744"/>
      <c r="Q240" s="744"/>
      <c r="R240" s="744"/>
      <c r="S240" s="745"/>
      <c r="T240" s="770" t="str">
        <f t="shared" si="1"/>
        <v/>
      </c>
      <c r="U240" s="771"/>
      <c r="V240" s="771"/>
      <c r="W240" s="771"/>
      <c r="X240" s="771"/>
      <c r="Y240" s="772"/>
      <c r="Z240" s="743" t="str">
        <f>IF(Z15="","",Z15)</f>
        <v/>
      </c>
      <c r="AA240" s="744"/>
      <c r="AB240" s="744"/>
      <c r="AC240" s="744"/>
      <c r="AD240" s="744"/>
      <c r="AE240" s="744"/>
      <c r="AF240" s="744"/>
      <c r="AG240" s="744"/>
      <c r="AH240" s="744"/>
      <c r="AI240" s="745"/>
      <c r="AJ240" s="1"/>
      <c r="AK240" s="94"/>
      <c r="AL240" s="94"/>
      <c r="AM240" s="94"/>
      <c r="AN240" s="94"/>
      <c r="AO240" s="399"/>
      <c r="AP240" s="399"/>
      <c r="AQ240" s="94"/>
      <c r="AR240" s="94"/>
      <c r="AS240" s="94"/>
      <c r="AT240" s="94"/>
      <c r="AU240" s="94"/>
      <c r="AV240" s="98"/>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row>
    <row r="241" spans="1:107" s="5" customFormat="1" ht="12.75" customHeight="1">
      <c r="A241" s="1"/>
      <c r="B241" s="237" t="str">
        <f t="shared" si="0"/>
        <v>Secondary Contact Name</v>
      </c>
      <c r="C241" s="238"/>
      <c r="D241" s="238"/>
      <c r="E241" s="238"/>
      <c r="F241" s="238"/>
      <c r="G241" s="238"/>
      <c r="H241" s="238"/>
      <c r="I241" s="238"/>
      <c r="J241" s="238"/>
      <c r="K241" s="238"/>
      <c r="L241" s="239"/>
      <c r="M241" s="237" t="str">
        <f>IF(M16="","",M16)</f>
        <v xml:space="preserve">Title </v>
      </c>
      <c r="N241" s="238"/>
      <c r="O241" s="238"/>
      <c r="P241" s="238"/>
      <c r="Q241" s="238"/>
      <c r="R241" s="238"/>
      <c r="S241" s="239"/>
      <c r="T241" s="234" t="str">
        <f t="shared" si="1"/>
        <v>Phone</v>
      </c>
      <c r="U241" s="235"/>
      <c r="V241" s="235"/>
      <c r="W241" s="235"/>
      <c r="X241" s="235"/>
      <c r="Y241" s="236"/>
      <c r="Z241" s="237" t="str">
        <f>IF(Z16="","",Z16)</f>
        <v>E-mail</v>
      </c>
      <c r="AA241" s="238"/>
      <c r="AB241" s="238"/>
      <c r="AC241" s="238"/>
      <c r="AD241" s="238"/>
      <c r="AE241" s="238"/>
      <c r="AF241" s="238"/>
      <c r="AG241" s="238"/>
      <c r="AH241" s="238"/>
      <c r="AI241" s="239"/>
      <c r="AJ241" s="1"/>
      <c r="AK241" s="94"/>
      <c r="AL241" s="94"/>
      <c r="AM241" s="94"/>
      <c r="AN241" s="94"/>
      <c r="AO241" s="399"/>
      <c r="AP241" s="399"/>
      <c r="AQ241" s="94"/>
      <c r="AR241" s="94"/>
      <c r="AS241" s="94"/>
      <c r="AT241" s="94"/>
      <c r="AU241" s="94"/>
      <c r="AV241" s="98"/>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row>
    <row r="242" spans="1:107" s="5" customFormat="1" ht="12.75" customHeight="1">
      <c r="A242" s="259"/>
      <c r="B242" s="770" t="str">
        <f t="shared" si="0"/>
        <v/>
      </c>
      <c r="C242" s="771"/>
      <c r="D242" s="771"/>
      <c r="E242" s="771"/>
      <c r="F242" s="771"/>
      <c r="G242" s="771"/>
      <c r="H242" s="771"/>
      <c r="I242" s="771"/>
      <c r="J242" s="771"/>
      <c r="K242" s="771"/>
      <c r="L242" s="772"/>
      <c r="M242" s="770" t="str">
        <f>IF(M17="","",M17)</f>
        <v/>
      </c>
      <c r="N242" s="771"/>
      <c r="O242" s="771"/>
      <c r="P242" s="771"/>
      <c r="Q242" s="771"/>
      <c r="R242" s="771"/>
      <c r="S242" s="772"/>
      <c r="T242" s="770" t="str">
        <f t="shared" si="1"/>
        <v/>
      </c>
      <c r="U242" s="771"/>
      <c r="V242" s="771"/>
      <c r="W242" s="771"/>
      <c r="X242" s="771"/>
      <c r="Y242" s="772"/>
      <c r="Z242" s="743" t="str">
        <f>IF(Z17="","",Z17)</f>
        <v/>
      </c>
      <c r="AA242" s="744"/>
      <c r="AB242" s="744"/>
      <c r="AC242" s="744"/>
      <c r="AD242" s="744"/>
      <c r="AE242" s="744"/>
      <c r="AF242" s="744"/>
      <c r="AG242" s="744"/>
      <c r="AH242" s="744"/>
      <c r="AI242" s="745"/>
      <c r="AJ242" s="1"/>
      <c r="AK242" s="94"/>
      <c r="AL242" s="94"/>
      <c r="AM242" s="94"/>
      <c r="AN242" s="94"/>
      <c r="AO242" s="399"/>
      <c r="AP242" s="399"/>
      <c r="AQ242" s="94"/>
      <c r="AR242" s="94"/>
      <c r="AS242" s="94"/>
      <c r="AT242" s="94"/>
      <c r="AU242" s="94"/>
      <c r="AV242" s="98"/>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row>
    <row r="243" spans="1:107" s="5" customFormat="1" ht="12.75" customHeight="1">
      <c r="A243" s="1"/>
      <c r="B243" s="240" t="str">
        <f t="shared" si="0"/>
        <v>Project Description*</v>
      </c>
      <c r="C243" s="241"/>
      <c r="D243" s="241"/>
      <c r="E243" s="241"/>
      <c r="F243" s="241"/>
      <c r="G243" s="241"/>
      <c r="H243" s="241"/>
      <c r="I243" s="241"/>
      <c r="J243" s="241"/>
      <c r="K243" s="241"/>
      <c r="L243" s="241"/>
      <c r="M243" s="241"/>
      <c r="N243" s="241"/>
      <c r="O243" s="241"/>
      <c r="P243" s="241"/>
      <c r="Q243" s="241"/>
      <c r="R243" s="241"/>
      <c r="S243" s="241"/>
      <c r="T243" s="235"/>
      <c r="U243" s="235"/>
      <c r="V243" s="235"/>
      <c r="W243" s="235"/>
      <c r="X243" s="235"/>
      <c r="Y243" s="235"/>
      <c r="Z243" s="235"/>
      <c r="AA243" s="235"/>
      <c r="AB243" s="235"/>
      <c r="AC243" s="235"/>
      <c r="AD243" s="235"/>
      <c r="AE243" s="235"/>
      <c r="AF243" s="235"/>
      <c r="AG243" s="235"/>
      <c r="AH243" s="235"/>
      <c r="AI243" s="236"/>
      <c r="AJ243" s="1"/>
      <c r="AK243" s="94"/>
      <c r="AL243" s="94"/>
      <c r="AM243" s="94"/>
      <c r="AN243" s="94"/>
      <c r="AO243" s="399"/>
      <c r="AP243" s="399"/>
      <c r="AQ243" s="94"/>
      <c r="AR243" s="94"/>
      <c r="AS243" s="94"/>
      <c r="AT243" s="94"/>
      <c r="AU243" s="94"/>
      <c r="AV243" s="98"/>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row>
    <row r="244" spans="1:107" s="5" customFormat="1" ht="12.75" customHeight="1">
      <c r="A244" s="259"/>
      <c r="B244" s="743" t="str">
        <f t="shared" si="0"/>
        <v/>
      </c>
      <c r="C244" s="744"/>
      <c r="D244" s="744"/>
      <c r="E244" s="744"/>
      <c r="F244" s="744"/>
      <c r="G244" s="744"/>
      <c r="H244" s="744"/>
      <c r="I244" s="744"/>
      <c r="J244" s="744"/>
      <c r="K244" s="744"/>
      <c r="L244" s="744"/>
      <c r="M244" s="744"/>
      <c r="N244" s="744"/>
      <c r="O244" s="744"/>
      <c r="P244" s="744"/>
      <c r="Q244" s="744"/>
      <c r="R244" s="744"/>
      <c r="S244" s="744"/>
      <c r="T244" s="744"/>
      <c r="U244" s="744"/>
      <c r="V244" s="744"/>
      <c r="W244" s="744"/>
      <c r="X244" s="744"/>
      <c r="Y244" s="744"/>
      <c r="Z244" s="744"/>
      <c r="AA244" s="744"/>
      <c r="AB244" s="744"/>
      <c r="AC244" s="744"/>
      <c r="AD244" s="744"/>
      <c r="AE244" s="744"/>
      <c r="AF244" s="744"/>
      <c r="AG244" s="744"/>
      <c r="AH244" s="744"/>
      <c r="AI244" s="745"/>
      <c r="AJ244" s="1"/>
      <c r="AK244" s="94"/>
      <c r="AL244" s="94"/>
      <c r="AM244" s="94"/>
      <c r="AN244" s="94"/>
      <c r="AO244" s="399"/>
      <c r="AP244" s="399"/>
      <c r="AQ244" s="94"/>
      <c r="AR244" s="94"/>
      <c r="AS244" s="94"/>
      <c r="AT244" s="94"/>
      <c r="AU244" s="94"/>
      <c r="AV244" s="98"/>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row>
    <row r="245" spans="1:107" s="5" customFormat="1" ht="12.75" customHeight="1">
      <c r="A245" s="1"/>
      <c r="B245" s="253" t="str">
        <f t="shared" si="0"/>
        <v>Project Start Date*</v>
      </c>
      <c r="C245" s="961"/>
      <c r="D245" s="961"/>
      <c r="E245" s="961"/>
      <c r="F245" s="961"/>
      <c r="G245" s="961"/>
      <c r="H245" s="961"/>
      <c r="I245" s="961"/>
      <c r="J245" s="961"/>
      <c r="K245" s="961"/>
      <c r="L245" s="633"/>
      <c r="M245" s="962" t="str">
        <f>IF(M20="","",M20)</f>
        <v>Project Completion Date*</v>
      </c>
      <c r="N245" s="961"/>
      <c r="O245" s="961"/>
      <c r="P245" s="961"/>
      <c r="Q245" s="961"/>
      <c r="R245" s="961"/>
      <c r="S245" s="633"/>
      <c r="T245" s="253"/>
      <c r="U245" s="9"/>
      <c r="V245" s="9"/>
      <c r="W245" s="9"/>
      <c r="X245" s="9"/>
      <c r="Y245" s="9"/>
      <c r="Z245" s="9"/>
      <c r="AA245" s="9"/>
      <c r="AB245" s="9"/>
      <c r="AC245" s="9"/>
      <c r="AD245" s="9"/>
      <c r="AE245" s="9"/>
      <c r="AF245" s="9"/>
      <c r="AG245" s="9"/>
      <c r="AH245" s="9"/>
      <c r="AI245" s="9"/>
      <c r="AJ245" s="1"/>
      <c r="AK245" s="94"/>
      <c r="AL245" s="94"/>
      <c r="AM245" s="94"/>
      <c r="AN245" s="94"/>
      <c r="AO245" s="399"/>
      <c r="AP245" s="399"/>
      <c r="AQ245" s="94"/>
      <c r="AR245" s="94"/>
      <c r="AS245" s="94"/>
      <c r="AT245" s="94"/>
      <c r="AU245" s="94"/>
      <c r="AV245" s="98"/>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row>
    <row r="246" spans="1:107" s="5" customFormat="1" ht="12.75" customHeight="1">
      <c r="A246" s="259"/>
      <c r="B246" s="752" t="str">
        <f t="shared" si="0"/>
        <v/>
      </c>
      <c r="C246" s="753"/>
      <c r="D246" s="753"/>
      <c r="E246" s="753"/>
      <c r="F246" s="753"/>
      <c r="G246" s="753"/>
      <c r="H246" s="753"/>
      <c r="I246" s="753"/>
      <c r="J246" s="753"/>
      <c r="K246" s="753"/>
      <c r="L246" s="754"/>
      <c r="M246" s="752" t="str">
        <f>IF(M21="","",M21)</f>
        <v/>
      </c>
      <c r="N246" s="753"/>
      <c r="O246" s="753"/>
      <c r="P246" s="753"/>
      <c r="Q246" s="753"/>
      <c r="R246" s="753"/>
      <c r="S246" s="754"/>
      <c r="T246" s="642"/>
      <c r="U246" s="529"/>
      <c r="V246" s="529"/>
      <c r="W246" s="529"/>
      <c r="X246" s="529"/>
      <c r="Y246" s="529"/>
      <c r="Z246" s="527"/>
      <c r="AA246" s="527"/>
      <c r="AB246" s="527"/>
      <c r="AC246" s="527"/>
      <c r="AD246" s="527"/>
      <c r="AE246" s="527"/>
      <c r="AF246" s="527"/>
      <c r="AG246" s="527"/>
      <c r="AH246" s="527"/>
      <c r="AI246" s="527"/>
      <c r="AJ246" s="1"/>
      <c r="AK246" s="94"/>
      <c r="AL246" s="94"/>
      <c r="AM246" s="94"/>
      <c r="AN246" s="94"/>
      <c r="AO246" s="399"/>
      <c r="AP246" s="399"/>
      <c r="AQ246" s="94"/>
      <c r="AR246" s="94"/>
      <c r="AS246" s="94"/>
      <c r="AT246" s="94"/>
      <c r="AU246" s="94"/>
      <c r="AV246" s="98"/>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row>
    <row r="247" spans="1:107" s="5" customFormat="1"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94"/>
      <c r="AL247" s="94"/>
      <c r="AM247" s="94"/>
      <c r="AN247" s="94"/>
      <c r="AO247" s="399"/>
      <c r="AP247" s="399"/>
      <c r="AQ247" s="94"/>
      <c r="AR247" s="94"/>
      <c r="AS247" s="94"/>
      <c r="AT247" s="94"/>
      <c r="AU247" s="94"/>
      <c r="AV247" s="98"/>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row>
    <row r="248" spans="1:107" s="5" customFormat="1" ht="12.75" customHeight="1">
      <c r="A248" s="259"/>
      <c r="B248" s="233" t="str">
        <f t="shared" ref="B248:B256" si="6">IF(B23="","",B23)</f>
        <v>Contractor Information</v>
      </c>
      <c r="C248" s="1"/>
      <c r="D248" s="1"/>
      <c r="E248" s="1"/>
      <c r="F248" s="6"/>
      <c r="G248" s="6"/>
      <c r="H248" s="6"/>
      <c r="I248" s="6"/>
      <c r="J248" s="1"/>
      <c r="K248" s="1"/>
      <c r="L248" s="1"/>
      <c r="M248" s="6"/>
      <c r="N248" s="1"/>
      <c r="O248" s="1"/>
      <c r="P248" s="1"/>
      <c r="Q248" s="1"/>
      <c r="R248" s="1"/>
      <c r="S248" s="1"/>
      <c r="T248" s="1"/>
      <c r="U248" s="1"/>
      <c r="V248" s="1"/>
      <c r="W248" s="1"/>
      <c r="X248" s="1"/>
      <c r="Y248" s="1"/>
      <c r="Z248" s="1"/>
      <c r="AA248" s="1"/>
      <c r="AB248" s="1"/>
      <c r="AC248" s="1"/>
      <c r="AD248" s="1"/>
      <c r="AE248" s="1"/>
      <c r="AF248" s="1"/>
      <c r="AG248" s="1"/>
      <c r="AH248" s="1"/>
      <c r="AI248" s="1"/>
      <c r="AJ248" s="1"/>
      <c r="AK248" s="94"/>
      <c r="AL248" s="94"/>
      <c r="AM248" s="94"/>
      <c r="AN248" s="94"/>
      <c r="AO248" s="399"/>
      <c r="AP248" s="399"/>
      <c r="AQ248" s="94"/>
      <c r="AR248" s="94"/>
      <c r="AS248" s="94"/>
      <c r="AT248" s="94"/>
      <c r="AU248" s="94"/>
      <c r="AV248" s="98"/>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row>
    <row r="249" spans="1:107" s="5" customFormat="1" ht="12.75" customHeight="1">
      <c r="A249" s="1"/>
      <c r="B249" s="234" t="str">
        <f t="shared" si="6"/>
        <v>Architect Company Name</v>
      </c>
      <c r="C249" s="235"/>
      <c r="D249" s="235"/>
      <c r="E249" s="235"/>
      <c r="F249" s="235"/>
      <c r="G249" s="235"/>
      <c r="H249" s="235"/>
      <c r="I249" s="235"/>
      <c r="J249" s="235"/>
      <c r="K249" s="235"/>
      <c r="L249" s="236"/>
      <c r="M249" s="240" t="str">
        <f t="shared" ref="M249:M256" si="7">IF(M24="","",M24)</f>
        <v>Contact Name</v>
      </c>
      <c r="N249" s="241"/>
      <c r="O249" s="241"/>
      <c r="P249" s="241"/>
      <c r="Q249" s="241"/>
      <c r="R249" s="241"/>
      <c r="S249" s="242"/>
      <c r="T249" s="234" t="str">
        <f t="shared" ref="T249:T256" si="8">IF(T24="","",T24)</f>
        <v>Phone</v>
      </c>
      <c r="U249" s="235"/>
      <c r="V249" s="235"/>
      <c r="W249" s="235"/>
      <c r="X249" s="235"/>
      <c r="Y249" s="236"/>
      <c r="Z249" s="240" t="str">
        <f t="shared" ref="Z249:Z256" si="9">IF(Z24="","",Z24)</f>
        <v>E-mail</v>
      </c>
      <c r="AA249" s="241"/>
      <c r="AB249" s="241"/>
      <c r="AC249" s="241"/>
      <c r="AD249" s="241"/>
      <c r="AE249" s="241"/>
      <c r="AF249" s="241"/>
      <c r="AG249" s="241"/>
      <c r="AH249" s="241"/>
      <c r="AI249" s="242"/>
      <c r="AJ249" s="1"/>
      <c r="AK249" s="94"/>
      <c r="AL249" s="94"/>
      <c r="AM249" s="94"/>
      <c r="AN249" s="94"/>
      <c r="AO249" s="399"/>
      <c r="AP249" s="399"/>
      <c r="AQ249" s="94"/>
      <c r="AR249" s="94"/>
      <c r="AS249" s="94"/>
      <c r="AT249" s="94"/>
      <c r="AU249" s="94"/>
      <c r="AV249" s="98"/>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row>
    <row r="250" spans="1:107" s="5" customFormat="1" ht="12.75" customHeight="1">
      <c r="A250" s="259"/>
      <c r="B250" s="770" t="str">
        <f t="shared" si="6"/>
        <v/>
      </c>
      <c r="C250" s="771"/>
      <c r="D250" s="771"/>
      <c r="E250" s="771"/>
      <c r="F250" s="771"/>
      <c r="G250" s="771"/>
      <c r="H250" s="771"/>
      <c r="I250" s="771"/>
      <c r="J250" s="771"/>
      <c r="K250" s="771"/>
      <c r="L250" s="772"/>
      <c r="M250" s="770" t="str">
        <f t="shared" si="7"/>
        <v/>
      </c>
      <c r="N250" s="771"/>
      <c r="O250" s="771"/>
      <c r="P250" s="771"/>
      <c r="Q250" s="771"/>
      <c r="R250" s="771"/>
      <c r="S250" s="772"/>
      <c r="T250" s="770" t="str">
        <f t="shared" si="8"/>
        <v/>
      </c>
      <c r="U250" s="771"/>
      <c r="V250" s="771"/>
      <c r="W250" s="771"/>
      <c r="X250" s="771"/>
      <c r="Y250" s="772"/>
      <c r="Z250" s="743" t="str">
        <f t="shared" si="9"/>
        <v/>
      </c>
      <c r="AA250" s="744"/>
      <c r="AB250" s="744"/>
      <c r="AC250" s="744"/>
      <c r="AD250" s="744"/>
      <c r="AE250" s="744"/>
      <c r="AF250" s="744"/>
      <c r="AG250" s="744"/>
      <c r="AH250" s="744"/>
      <c r="AI250" s="745"/>
      <c r="AJ250" s="1"/>
      <c r="AK250" s="94"/>
      <c r="AL250" s="94"/>
      <c r="AM250" s="94"/>
      <c r="AN250" s="94"/>
      <c r="AO250" s="399"/>
      <c r="AP250" s="399"/>
      <c r="AQ250" s="94"/>
      <c r="AR250" s="94"/>
      <c r="AS250" s="94"/>
      <c r="AT250" s="94"/>
      <c r="AU250" s="94"/>
      <c r="AV250" s="98"/>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row>
    <row r="251" spans="1:107" s="5" customFormat="1" ht="12.75" customHeight="1">
      <c r="A251" s="1"/>
      <c r="B251" s="234" t="str">
        <f t="shared" si="6"/>
        <v>Mechanical Engineer Company Name</v>
      </c>
      <c r="C251" s="235"/>
      <c r="D251" s="235"/>
      <c r="E251" s="235"/>
      <c r="F251" s="235"/>
      <c r="G251" s="235"/>
      <c r="H251" s="235"/>
      <c r="I251" s="235"/>
      <c r="J251" s="235"/>
      <c r="K251" s="235"/>
      <c r="L251" s="236"/>
      <c r="M251" s="240" t="str">
        <f t="shared" si="7"/>
        <v>Contact Name</v>
      </c>
      <c r="N251" s="241"/>
      <c r="O251" s="241"/>
      <c r="P251" s="241"/>
      <c r="Q251" s="241"/>
      <c r="R251" s="241"/>
      <c r="S251" s="242"/>
      <c r="T251" s="234" t="str">
        <f t="shared" si="8"/>
        <v>Phone</v>
      </c>
      <c r="U251" s="235"/>
      <c r="V251" s="235"/>
      <c r="W251" s="235"/>
      <c r="X251" s="235"/>
      <c r="Y251" s="236"/>
      <c r="Z251" s="240" t="str">
        <f t="shared" si="9"/>
        <v>E-mail</v>
      </c>
      <c r="AA251" s="241"/>
      <c r="AB251" s="241"/>
      <c r="AC251" s="241"/>
      <c r="AD251" s="241"/>
      <c r="AE251" s="241"/>
      <c r="AF251" s="241"/>
      <c r="AG251" s="241"/>
      <c r="AH251" s="241"/>
      <c r="AI251" s="242"/>
      <c r="AJ251" s="1"/>
      <c r="AK251" s="94"/>
      <c r="AL251" s="94"/>
      <c r="AM251" s="94"/>
      <c r="AN251" s="94"/>
      <c r="AO251" s="399"/>
      <c r="AP251" s="399"/>
      <c r="AQ251" s="94"/>
      <c r="AR251" s="94"/>
      <c r="AS251" s="94"/>
      <c r="AT251" s="94"/>
      <c r="AU251" s="94"/>
      <c r="AV251" s="98"/>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row>
    <row r="252" spans="1:107" s="5" customFormat="1" ht="12.75" customHeight="1">
      <c r="A252" s="259"/>
      <c r="B252" s="770" t="str">
        <f t="shared" si="6"/>
        <v/>
      </c>
      <c r="C252" s="771"/>
      <c r="D252" s="771"/>
      <c r="E252" s="771"/>
      <c r="F252" s="771"/>
      <c r="G252" s="771"/>
      <c r="H252" s="771"/>
      <c r="I252" s="771"/>
      <c r="J252" s="771"/>
      <c r="K252" s="771"/>
      <c r="L252" s="772"/>
      <c r="M252" s="770" t="str">
        <f t="shared" si="7"/>
        <v/>
      </c>
      <c r="N252" s="771"/>
      <c r="O252" s="771"/>
      <c r="P252" s="771"/>
      <c r="Q252" s="771"/>
      <c r="R252" s="771"/>
      <c r="S252" s="772"/>
      <c r="T252" s="770" t="str">
        <f t="shared" si="8"/>
        <v/>
      </c>
      <c r="U252" s="771"/>
      <c r="V252" s="771"/>
      <c r="W252" s="771"/>
      <c r="X252" s="771"/>
      <c r="Y252" s="772"/>
      <c r="Z252" s="743" t="str">
        <f t="shared" si="9"/>
        <v/>
      </c>
      <c r="AA252" s="744"/>
      <c r="AB252" s="744"/>
      <c r="AC252" s="744"/>
      <c r="AD252" s="744"/>
      <c r="AE252" s="744"/>
      <c r="AF252" s="744"/>
      <c r="AG252" s="744"/>
      <c r="AH252" s="744"/>
      <c r="AI252" s="745"/>
      <c r="AJ252" s="1"/>
      <c r="AK252" s="94"/>
      <c r="AL252" s="94"/>
      <c r="AM252" s="94"/>
      <c r="AN252" s="94"/>
      <c r="AO252" s="399"/>
      <c r="AP252" s="399"/>
      <c r="AQ252" s="94"/>
      <c r="AR252" s="94"/>
      <c r="AS252" s="94"/>
      <c r="AT252" s="94"/>
      <c r="AU252" s="94"/>
      <c r="AV252" s="98"/>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row>
    <row r="253" spans="1:107" s="5" customFormat="1" ht="12.75" customHeight="1">
      <c r="A253" s="1"/>
      <c r="B253" s="234" t="str">
        <f t="shared" si="6"/>
        <v>Electrical Engineer Company Name</v>
      </c>
      <c r="C253" s="235"/>
      <c r="D253" s="235"/>
      <c r="E253" s="235"/>
      <c r="F253" s="235"/>
      <c r="G253" s="235"/>
      <c r="H253" s="235"/>
      <c r="I253" s="235"/>
      <c r="J253" s="235"/>
      <c r="K253" s="235"/>
      <c r="L253" s="236"/>
      <c r="M253" s="240" t="str">
        <f t="shared" si="7"/>
        <v>Contact Name</v>
      </c>
      <c r="N253" s="241"/>
      <c r="O253" s="241"/>
      <c r="P253" s="241"/>
      <c r="Q253" s="241"/>
      <c r="R253" s="241"/>
      <c r="S253" s="242"/>
      <c r="T253" s="234" t="str">
        <f t="shared" si="8"/>
        <v>Phone</v>
      </c>
      <c r="U253" s="235"/>
      <c r="V253" s="235"/>
      <c r="W253" s="235"/>
      <c r="X253" s="235"/>
      <c r="Y253" s="236"/>
      <c r="Z253" s="240" t="str">
        <f t="shared" si="9"/>
        <v>E-mail</v>
      </c>
      <c r="AA253" s="241"/>
      <c r="AB253" s="241"/>
      <c r="AC253" s="241"/>
      <c r="AD253" s="241"/>
      <c r="AE253" s="241"/>
      <c r="AF253" s="241"/>
      <c r="AG253" s="241"/>
      <c r="AH253" s="241"/>
      <c r="AI253" s="242"/>
      <c r="AJ253" s="1"/>
      <c r="AK253" s="94"/>
      <c r="AL253" s="94"/>
      <c r="AM253" s="94"/>
      <c r="AN253" s="94"/>
      <c r="AO253" s="399"/>
      <c r="AP253" s="399"/>
      <c r="AQ253" s="94"/>
      <c r="AR253" s="94"/>
      <c r="AS253" s="94"/>
      <c r="AT253" s="94"/>
      <c r="AU253" s="94"/>
      <c r="AV253" s="98"/>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row>
    <row r="254" spans="1:107">
      <c r="A254" s="259"/>
      <c r="B254" s="770" t="str">
        <f t="shared" si="6"/>
        <v/>
      </c>
      <c r="C254" s="771"/>
      <c r="D254" s="771"/>
      <c r="E254" s="771"/>
      <c r="F254" s="771"/>
      <c r="G254" s="771"/>
      <c r="H254" s="771"/>
      <c r="I254" s="771"/>
      <c r="J254" s="771"/>
      <c r="K254" s="771"/>
      <c r="L254" s="772"/>
      <c r="M254" s="770" t="str">
        <f t="shared" si="7"/>
        <v/>
      </c>
      <c r="N254" s="771"/>
      <c r="O254" s="771"/>
      <c r="P254" s="771"/>
      <c r="Q254" s="771"/>
      <c r="R254" s="771"/>
      <c r="S254" s="772"/>
      <c r="T254" s="770" t="str">
        <f t="shared" si="8"/>
        <v/>
      </c>
      <c r="U254" s="771"/>
      <c r="V254" s="771"/>
      <c r="W254" s="771"/>
      <c r="X254" s="771"/>
      <c r="Y254" s="772"/>
      <c r="Z254" s="743" t="str">
        <f t="shared" si="9"/>
        <v/>
      </c>
      <c r="AA254" s="744"/>
      <c r="AB254" s="744"/>
      <c r="AC254" s="744"/>
      <c r="AD254" s="744"/>
      <c r="AE254" s="744"/>
      <c r="AF254" s="744"/>
      <c r="AG254" s="744"/>
      <c r="AH254" s="744"/>
      <c r="AI254" s="745"/>
      <c r="AK254" s="94"/>
      <c r="AL254" s="94"/>
      <c r="AM254" s="94"/>
      <c r="AN254" s="94"/>
      <c r="AO254" s="399"/>
      <c r="AP254" s="399"/>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row>
    <row r="255" spans="1:107">
      <c r="B255" s="234" t="str">
        <f t="shared" si="6"/>
        <v>General Contractor Company Name</v>
      </c>
      <c r="C255" s="235"/>
      <c r="D255" s="235"/>
      <c r="E255" s="235"/>
      <c r="F255" s="235"/>
      <c r="G255" s="235"/>
      <c r="H255" s="235"/>
      <c r="I255" s="235"/>
      <c r="J255" s="235"/>
      <c r="K255" s="235"/>
      <c r="L255" s="236"/>
      <c r="M255" s="240" t="str">
        <f t="shared" si="7"/>
        <v>Contact Name</v>
      </c>
      <c r="N255" s="241"/>
      <c r="O255" s="241"/>
      <c r="P255" s="241"/>
      <c r="Q255" s="241"/>
      <c r="R255" s="241"/>
      <c r="S255" s="242"/>
      <c r="T255" s="234" t="str">
        <f t="shared" si="8"/>
        <v>Phone</v>
      </c>
      <c r="U255" s="235"/>
      <c r="V255" s="235"/>
      <c r="W255" s="235"/>
      <c r="X255" s="235"/>
      <c r="Y255" s="236"/>
      <c r="Z255" s="240" t="str">
        <f t="shared" si="9"/>
        <v>E-mail</v>
      </c>
      <c r="AA255" s="241"/>
      <c r="AB255" s="241"/>
      <c r="AC255" s="241"/>
      <c r="AD255" s="241"/>
      <c r="AE255" s="241"/>
      <c r="AF255" s="241"/>
      <c r="AG255" s="241"/>
      <c r="AH255" s="241"/>
      <c r="AI255" s="242"/>
      <c r="AK255" s="94"/>
      <c r="AL255" s="94"/>
      <c r="AM255" s="94"/>
      <c r="AN255" s="94"/>
      <c r="AO255" s="399"/>
      <c r="AP255" s="399"/>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row>
    <row r="256" spans="1:107">
      <c r="A256" s="259"/>
      <c r="B256" s="770" t="str">
        <f t="shared" si="6"/>
        <v/>
      </c>
      <c r="C256" s="771"/>
      <c r="D256" s="771"/>
      <c r="E256" s="771"/>
      <c r="F256" s="771"/>
      <c r="G256" s="771"/>
      <c r="H256" s="771"/>
      <c r="I256" s="771"/>
      <c r="J256" s="771"/>
      <c r="K256" s="771"/>
      <c r="L256" s="772"/>
      <c r="M256" s="770" t="str">
        <f t="shared" si="7"/>
        <v/>
      </c>
      <c r="N256" s="771"/>
      <c r="O256" s="771"/>
      <c r="P256" s="771"/>
      <c r="Q256" s="771"/>
      <c r="R256" s="771"/>
      <c r="S256" s="772"/>
      <c r="T256" s="770" t="str">
        <f t="shared" si="8"/>
        <v/>
      </c>
      <c r="U256" s="771"/>
      <c r="V256" s="771"/>
      <c r="W256" s="771"/>
      <c r="X256" s="771"/>
      <c r="Y256" s="772"/>
      <c r="Z256" s="743" t="str">
        <f t="shared" si="9"/>
        <v/>
      </c>
      <c r="AA256" s="744"/>
      <c r="AB256" s="744"/>
      <c r="AC256" s="744"/>
      <c r="AD256" s="744"/>
      <c r="AE256" s="744"/>
      <c r="AF256" s="744"/>
      <c r="AG256" s="744"/>
      <c r="AH256" s="744"/>
      <c r="AI256" s="745"/>
      <c r="AK256" s="94"/>
      <c r="AL256" s="94"/>
      <c r="AM256" s="94"/>
      <c r="AN256" s="94"/>
      <c r="AO256" s="399"/>
      <c r="AP256" s="399"/>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row>
    <row r="257" spans="1:107" ht="4.5" customHeight="1">
      <c r="B257" s="255"/>
      <c r="C257" s="255"/>
      <c r="D257" s="255"/>
      <c r="E257" s="255"/>
      <c r="F257" s="255"/>
      <c r="G257" s="255"/>
      <c r="H257" s="255"/>
      <c r="I257" s="255"/>
      <c r="J257" s="255"/>
      <c r="K257" s="255"/>
      <c r="L257" s="255"/>
      <c r="M257" s="255"/>
      <c r="N257" s="255"/>
      <c r="O257" s="255"/>
      <c r="P257" s="255"/>
      <c r="Q257" s="255"/>
      <c r="R257" s="255"/>
      <c r="S257" s="255"/>
      <c r="T257" s="255"/>
      <c r="U257" s="255"/>
      <c r="V257" s="255"/>
      <c r="W257" s="255"/>
      <c r="X257" s="255"/>
      <c r="Y257" s="255"/>
      <c r="Z257" s="194"/>
      <c r="AA257" s="194"/>
      <c r="AC257" s="194"/>
      <c r="AD257" s="194"/>
      <c r="AE257" s="194"/>
      <c r="AF257" s="194"/>
      <c r="AG257" s="194"/>
      <c r="AH257" s="194"/>
      <c r="AI257" s="194"/>
      <c r="AK257" s="94"/>
      <c r="AL257" s="94"/>
      <c r="AM257" s="94"/>
      <c r="AN257" s="94"/>
      <c r="AO257" s="399"/>
      <c r="AP257" s="399"/>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row>
    <row r="258" spans="1:107" ht="15" customHeight="1">
      <c r="B258" s="6" t="str">
        <f>IF(B33="","",B33)</f>
        <v>Payment Information</v>
      </c>
      <c r="E258" s="247"/>
      <c r="F258" s="247"/>
      <c r="G258" s="247"/>
      <c r="H258" s="247"/>
      <c r="I258" s="247"/>
      <c r="N258" s="243"/>
      <c r="O258" s="243"/>
      <c r="P258" s="327" t="s">
        <v>119</v>
      </c>
      <c r="Q258" s="328" t="str">
        <f>IF(AK33=TRUE,"X","")</f>
        <v/>
      </c>
      <c r="R258" s="326" t="s">
        <v>154</v>
      </c>
      <c r="T258" s="247"/>
      <c r="U258" s="328" t="str">
        <f>IF(AL33=TRUE,"X","")</f>
        <v/>
      </c>
      <c r="V258" s="247" t="s">
        <v>6</v>
      </c>
      <c r="W258" s="247"/>
      <c r="X258" s="247"/>
      <c r="Y258" s="37"/>
      <c r="Z258" s="37"/>
      <c r="AB258" s="327" t="s">
        <v>121</v>
      </c>
      <c r="AC258" s="328" t="str">
        <f>IF(AK34=TRUE,"X","")</f>
        <v/>
      </c>
      <c r="AD258" s="326" t="s">
        <v>154</v>
      </c>
      <c r="AF258" s="247"/>
      <c r="AG258" s="328" t="str">
        <f>IF(AL34=TRUE,"X","")</f>
        <v/>
      </c>
      <c r="AH258" s="247" t="s">
        <v>6</v>
      </c>
      <c r="AK258" s="94"/>
      <c r="AL258" s="94"/>
      <c r="AM258" s="94"/>
      <c r="AN258" s="94"/>
      <c r="AO258" s="399"/>
      <c r="AP258" s="399"/>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row>
    <row r="259" spans="1:107" ht="12.75" customHeight="1">
      <c r="B259" s="6"/>
      <c r="E259" s="247"/>
      <c r="F259" s="247"/>
      <c r="G259" s="247"/>
      <c r="H259" s="247"/>
      <c r="I259" s="247"/>
      <c r="N259" s="243"/>
      <c r="O259" s="243"/>
      <c r="P259" s="244"/>
      <c r="Q259" s="243"/>
      <c r="R259" s="326"/>
      <c r="T259" s="247"/>
      <c r="U259" s="247"/>
      <c r="V259" s="247"/>
      <c r="W259" s="247"/>
      <c r="X259" s="247"/>
      <c r="Y259" s="37"/>
      <c r="Z259" s="37"/>
      <c r="AB259" s="258"/>
      <c r="AC259" s="6"/>
      <c r="AK259" s="94"/>
      <c r="AL259" s="94"/>
      <c r="AM259" s="94"/>
      <c r="AN259" s="94"/>
      <c r="AO259" s="399"/>
      <c r="AP259" s="399"/>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row>
    <row r="260" spans="1:107" s="259" customFormat="1" ht="15" customHeight="1">
      <c r="B260" s="240" t="str">
        <f t="shared" ref="B260:B267" si="10">IF(B35="","",B35)</f>
        <v>Legal Name (Incentive check will be made payable to:)*</v>
      </c>
      <c r="C260" s="241"/>
      <c r="D260" s="241"/>
      <c r="E260" s="241"/>
      <c r="F260" s="241"/>
      <c r="G260" s="241"/>
      <c r="H260" s="241"/>
      <c r="I260" s="241"/>
      <c r="J260" s="241"/>
      <c r="K260" s="241"/>
      <c r="L260" s="241"/>
      <c r="M260" s="241"/>
      <c r="N260" s="241"/>
      <c r="O260" s="241"/>
      <c r="P260" s="241"/>
      <c r="Q260" s="241"/>
      <c r="R260" s="241"/>
      <c r="S260" s="283"/>
      <c r="T260" s="240" t="str">
        <f t="shared" ref="T260:T267" si="11">IF(T35="","",T35)</f>
        <v>Attn:</v>
      </c>
      <c r="U260" s="241"/>
      <c r="V260" s="241"/>
      <c r="W260" s="241"/>
      <c r="X260" s="241"/>
      <c r="Y260" s="241"/>
      <c r="Z260" s="241"/>
      <c r="AA260" s="249"/>
      <c r="AB260" s="1"/>
      <c r="AC260" s="256"/>
      <c r="AD260" s="251"/>
      <c r="AE260" s="241"/>
      <c r="AF260" s="241"/>
      <c r="AG260" s="241"/>
      <c r="AH260" s="250"/>
      <c r="AI260" s="576"/>
      <c r="AJ260" s="1"/>
      <c r="AK260" s="94"/>
      <c r="AL260" s="94"/>
      <c r="AM260" s="94"/>
      <c r="AN260" s="94"/>
      <c r="AO260" s="399"/>
      <c r="AP260" s="399"/>
      <c r="AQ260" s="94"/>
      <c r="AR260" s="94"/>
      <c r="AS260" s="94"/>
      <c r="AT260" s="94"/>
      <c r="AU260" s="94"/>
      <c r="AV260" s="260"/>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row>
    <row r="261" spans="1:107" ht="12.75" customHeight="1">
      <c r="B261" s="795" t="str">
        <f t="shared" si="10"/>
        <v/>
      </c>
      <c r="C261" s="796"/>
      <c r="D261" s="796"/>
      <c r="E261" s="796"/>
      <c r="F261" s="796"/>
      <c r="G261" s="796"/>
      <c r="H261" s="796"/>
      <c r="I261" s="796"/>
      <c r="J261" s="796"/>
      <c r="K261" s="796"/>
      <c r="L261" s="796"/>
      <c r="M261" s="796"/>
      <c r="N261" s="796"/>
      <c r="O261" s="796"/>
      <c r="P261" s="796"/>
      <c r="Q261" s="796"/>
      <c r="R261" s="796"/>
      <c r="S261" s="797"/>
      <c r="T261" s="795" t="str">
        <f t="shared" si="11"/>
        <v/>
      </c>
      <c r="U261" s="796"/>
      <c r="V261" s="796"/>
      <c r="W261" s="796"/>
      <c r="X261" s="796"/>
      <c r="Y261" s="796"/>
      <c r="Z261" s="796"/>
      <c r="AA261" s="796"/>
      <c r="AB261" s="796"/>
      <c r="AC261" s="796"/>
      <c r="AD261" s="796"/>
      <c r="AE261" s="796"/>
      <c r="AF261" s="796"/>
      <c r="AG261" s="796"/>
      <c r="AH261" s="796"/>
      <c r="AI261" s="797"/>
      <c r="AK261" s="94"/>
      <c r="AL261" s="94"/>
      <c r="AM261" s="94"/>
      <c r="AN261" s="94"/>
      <c r="AO261" s="399"/>
      <c r="AP261" s="399"/>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row>
    <row r="262" spans="1:107" s="259" customFormat="1" ht="15" customHeight="1">
      <c r="B262" s="240" t="str">
        <f t="shared" si="10"/>
        <v>Mailing Address ("Same" if same as customer mailing address.)</v>
      </c>
      <c r="C262" s="241"/>
      <c r="D262" s="241"/>
      <c r="E262" s="241"/>
      <c r="F262" s="241"/>
      <c r="G262" s="241"/>
      <c r="H262" s="241"/>
      <c r="I262" s="241"/>
      <c r="J262" s="241"/>
      <c r="K262" s="241"/>
      <c r="L262" s="241"/>
      <c r="M262" s="241"/>
      <c r="N262" s="241"/>
      <c r="O262" s="241"/>
      <c r="P262" s="241"/>
      <c r="Q262" s="241"/>
      <c r="R262" s="241"/>
      <c r="S262" s="242"/>
      <c r="T262" s="240" t="str">
        <f t="shared" si="11"/>
        <v>City</v>
      </c>
      <c r="U262" s="19"/>
      <c r="V262" s="249"/>
      <c r="W262" s="249"/>
      <c r="X262" s="249"/>
      <c r="Y262" s="249"/>
      <c r="Z262" s="249"/>
      <c r="AA262" s="249"/>
      <c r="AB262" s="249"/>
      <c r="AC262" s="252"/>
      <c r="AD262" s="240" t="str">
        <f>IF(AD37="","",AD37)</f>
        <v>State</v>
      </c>
      <c r="AE262" s="242"/>
      <c r="AF262" s="240" t="str">
        <f>IF(AF37="","",AF37)</f>
        <v>Zip</v>
      </c>
      <c r="AG262" s="241"/>
      <c r="AH262" s="251"/>
      <c r="AI262" s="242"/>
      <c r="AJ262" s="1"/>
      <c r="AK262" s="94"/>
      <c r="AL262" s="94"/>
      <c r="AM262" s="94"/>
      <c r="AN262" s="94"/>
      <c r="AO262" s="399"/>
      <c r="AP262" s="399"/>
      <c r="AQ262" s="94"/>
      <c r="AR262" s="94"/>
      <c r="AS262" s="94"/>
      <c r="AT262" s="94"/>
      <c r="AU262" s="94"/>
      <c r="AV262" s="260"/>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row>
    <row r="263" spans="1:107" ht="12.75" customHeight="1">
      <c r="B263" s="795" t="str">
        <f t="shared" si="10"/>
        <v/>
      </c>
      <c r="C263" s="796"/>
      <c r="D263" s="796"/>
      <c r="E263" s="796"/>
      <c r="F263" s="796"/>
      <c r="G263" s="796"/>
      <c r="H263" s="796"/>
      <c r="I263" s="796"/>
      <c r="J263" s="796"/>
      <c r="K263" s="796"/>
      <c r="L263" s="796"/>
      <c r="M263" s="796"/>
      <c r="N263" s="796"/>
      <c r="O263" s="796"/>
      <c r="P263" s="796"/>
      <c r="Q263" s="796"/>
      <c r="R263" s="796"/>
      <c r="S263" s="797"/>
      <c r="T263" s="795" t="str">
        <f t="shared" si="11"/>
        <v/>
      </c>
      <c r="U263" s="796"/>
      <c r="V263" s="796"/>
      <c r="W263" s="796"/>
      <c r="X263" s="796"/>
      <c r="Y263" s="796"/>
      <c r="Z263" s="796"/>
      <c r="AA263" s="796"/>
      <c r="AB263" s="796"/>
      <c r="AC263" s="797"/>
      <c r="AD263" s="743" t="str">
        <f>IF(AD38="","",AD38)</f>
        <v/>
      </c>
      <c r="AE263" s="745"/>
      <c r="AF263" s="743" t="str">
        <f>IF(AF38="","",AF38)</f>
        <v/>
      </c>
      <c r="AG263" s="744"/>
      <c r="AH263" s="744"/>
      <c r="AI263" s="745"/>
      <c r="AK263" s="94"/>
      <c r="AL263" s="94"/>
      <c r="AM263" s="94"/>
      <c r="AN263" s="94"/>
      <c r="AO263" s="399"/>
      <c r="AP263" s="399"/>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row>
    <row r="264" spans="1:107" s="259" customFormat="1" ht="15" customHeight="1">
      <c r="B264" s="240" t="str">
        <f t="shared" si="10"/>
        <v>Contact Name</v>
      </c>
      <c r="C264" s="19"/>
      <c r="D264" s="19"/>
      <c r="E264" s="19"/>
      <c r="F264" s="19"/>
      <c r="G264" s="19"/>
      <c r="H264" s="19"/>
      <c r="I264" s="19"/>
      <c r="J264" s="19"/>
      <c r="K264" s="19"/>
      <c r="L264" s="283"/>
      <c r="M264" s="240" t="str">
        <f>IF(M39="","",M39)</f>
        <v>Title</v>
      </c>
      <c r="N264" s="241"/>
      <c r="O264" s="241"/>
      <c r="P264" s="241"/>
      <c r="Q264" s="19"/>
      <c r="R264" s="19"/>
      <c r="S264" s="283"/>
      <c r="T264" s="240" t="str">
        <f t="shared" si="11"/>
        <v>Phone</v>
      </c>
      <c r="U264" s="241"/>
      <c r="V264" s="241"/>
      <c r="W264" s="241"/>
      <c r="X264" s="241"/>
      <c r="Y264" s="242"/>
      <c r="Z264" s="240" t="str">
        <f>IF(Z39="","",Z39)</f>
        <v>E-mail</v>
      </c>
      <c r="AA264" s="241"/>
      <c r="AB264" s="241"/>
      <c r="AC264" s="241"/>
      <c r="AD264" s="241"/>
      <c r="AE264" s="241"/>
      <c r="AF264" s="241"/>
      <c r="AG264" s="241"/>
      <c r="AH264" s="251"/>
      <c r="AI264" s="242"/>
      <c r="AJ264" s="1"/>
      <c r="AK264" s="94"/>
      <c r="AL264" s="94"/>
      <c r="AM264" s="94"/>
      <c r="AN264" s="94"/>
      <c r="AO264" s="399"/>
      <c r="AP264" s="399"/>
      <c r="AQ264" s="94"/>
      <c r="AR264" s="94"/>
      <c r="AS264" s="94"/>
      <c r="AT264" s="94"/>
      <c r="AU264" s="94"/>
      <c r="AV264" s="260"/>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row>
    <row r="265" spans="1:107" ht="12.75" customHeight="1">
      <c r="B265" s="795" t="str">
        <f t="shared" si="10"/>
        <v/>
      </c>
      <c r="C265" s="796"/>
      <c r="D265" s="796"/>
      <c r="E265" s="796"/>
      <c r="F265" s="796"/>
      <c r="G265" s="796"/>
      <c r="H265" s="796"/>
      <c r="I265" s="796"/>
      <c r="J265" s="796"/>
      <c r="K265" s="796"/>
      <c r="L265" s="797"/>
      <c r="M265" s="823" t="str">
        <f>IF(M40="","",M40)</f>
        <v/>
      </c>
      <c r="N265" s="824"/>
      <c r="O265" s="824"/>
      <c r="P265" s="824"/>
      <c r="Q265" s="824"/>
      <c r="R265" s="824"/>
      <c r="S265" s="825"/>
      <c r="T265" s="820" t="str">
        <f t="shared" si="11"/>
        <v/>
      </c>
      <c r="U265" s="821"/>
      <c r="V265" s="821"/>
      <c r="W265" s="821"/>
      <c r="X265" s="821"/>
      <c r="Y265" s="822"/>
      <c r="Z265" s="743" t="str">
        <f>IF(Z40="","",Z40)</f>
        <v/>
      </c>
      <c r="AA265" s="744"/>
      <c r="AB265" s="744"/>
      <c r="AC265" s="744"/>
      <c r="AD265" s="744"/>
      <c r="AE265" s="744"/>
      <c r="AF265" s="744"/>
      <c r="AG265" s="744"/>
      <c r="AH265" s="744"/>
      <c r="AI265" s="745"/>
      <c r="AK265" s="94"/>
      <c r="AL265" s="94"/>
      <c r="AM265" s="94"/>
      <c r="AN265" s="94"/>
      <c r="AO265" s="399"/>
      <c r="AP265" s="399"/>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row>
    <row r="266" spans="1:107" s="259" customFormat="1" ht="15" customHeight="1">
      <c r="B266" s="240" t="str">
        <f t="shared" si="10"/>
        <v>Federal Tax ID Number (EIN or SSN)*</v>
      </c>
      <c r="C266" s="19"/>
      <c r="D266" s="19"/>
      <c r="E266" s="19"/>
      <c r="F266" s="19"/>
      <c r="G266" s="19"/>
      <c r="H266" s="19"/>
      <c r="I266" s="19"/>
      <c r="J266" s="19"/>
      <c r="K266" s="19"/>
      <c r="L266" s="19"/>
      <c r="M266" s="19"/>
      <c r="N266" s="19"/>
      <c r="O266" s="19"/>
      <c r="P266" s="19"/>
      <c r="Q266" s="19"/>
      <c r="R266" s="19"/>
      <c r="S266" s="283"/>
      <c r="T266" s="240" t="str">
        <f t="shared" si="11"/>
        <v>Official Tax Name (Associated with Tax ID Number)*</v>
      </c>
      <c r="U266" s="241"/>
      <c r="V266" s="245"/>
      <c r="W266" s="245"/>
      <c r="X266" s="245"/>
      <c r="Y266" s="245"/>
      <c r="Z266" s="245"/>
      <c r="AA266" s="245"/>
      <c r="AB266" s="245"/>
      <c r="AC266" s="245"/>
      <c r="AD266" s="245"/>
      <c r="AE266" s="241"/>
      <c r="AF266" s="241"/>
      <c r="AG266" s="249"/>
      <c r="AH266" s="251"/>
      <c r="AI266" s="242"/>
      <c r="AJ266" s="1"/>
      <c r="AK266" s="94"/>
      <c r="AL266" s="94"/>
      <c r="AM266" s="94"/>
      <c r="AN266" s="94"/>
      <c r="AO266" s="399"/>
      <c r="AP266" s="399"/>
      <c r="AQ266" s="94"/>
      <c r="AR266" s="94"/>
      <c r="AS266" s="94"/>
      <c r="AT266" s="94"/>
      <c r="AU266" s="94"/>
      <c r="AV266" s="260"/>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row>
    <row r="267" spans="1:107" ht="12.75" customHeight="1">
      <c r="B267" s="795" t="str">
        <f t="shared" si="10"/>
        <v/>
      </c>
      <c r="C267" s="796"/>
      <c r="D267" s="796"/>
      <c r="E267" s="796"/>
      <c r="F267" s="796"/>
      <c r="G267" s="796"/>
      <c r="H267" s="796"/>
      <c r="I267" s="796"/>
      <c r="J267" s="796"/>
      <c r="K267" s="796"/>
      <c r="L267" s="796"/>
      <c r="M267" s="796"/>
      <c r="N267" s="796"/>
      <c r="O267" s="796"/>
      <c r="P267" s="796"/>
      <c r="Q267" s="796"/>
      <c r="R267" s="796"/>
      <c r="S267" s="797"/>
      <c r="T267" s="817" t="str">
        <f t="shared" si="11"/>
        <v/>
      </c>
      <c r="U267" s="818"/>
      <c r="V267" s="818"/>
      <c r="W267" s="818"/>
      <c r="X267" s="818"/>
      <c r="Y267" s="818"/>
      <c r="Z267" s="818"/>
      <c r="AA267" s="818"/>
      <c r="AB267" s="818"/>
      <c r="AC267" s="818"/>
      <c r="AD267" s="818"/>
      <c r="AE267" s="818"/>
      <c r="AF267" s="818"/>
      <c r="AG267" s="818"/>
      <c r="AH267" s="818"/>
      <c r="AI267" s="819"/>
      <c r="AK267" s="94"/>
      <c r="AL267" s="94"/>
      <c r="AM267" s="94"/>
      <c r="AN267" s="94"/>
      <c r="AO267" s="399"/>
      <c r="AP267" s="399"/>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row>
    <row r="268" spans="1:107" s="259" customFormat="1" ht="15" customHeight="1">
      <c r="A268" s="1"/>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c r="AF268" s="170"/>
      <c r="AG268" s="170"/>
      <c r="AH268" s="170"/>
      <c r="AI268" s="9"/>
      <c r="AJ268" s="1"/>
      <c r="AK268" s="94"/>
      <c r="AL268" s="94"/>
      <c r="AM268" s="94"/>
      <c r="AN268" s="94"/>
      <c r="AO268" s="399"/>
      <c r="AP268" s="399"/>
      <c r="AQ268" s="94"/>
      <c r="AR268" s="94"/>
      <c r="AS268" s="94"/>
      <c r="AT268" s="94"/>
      <c r="AU268" s="94"/>
      <c r="AV268" s="260"/>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row>
    <row r="269" spans="1:107" ht="12.75" customHeight="1">
      <c r="B269" s="6" t="str">
        <f>IF(B44="","",B44)</f>
        <v>Professional Assistance Incentive</v>
      </c>
      <c r="C269" s="213"/>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13"/>
      <c r="AD269" s="213"/>
      <c r="AE269" s="213"/>
      <c r="AF269" s="213"/>
      <c r="AG269" s="213"/>
      <c r="AH269" s="213"/>
      <c r="AI269" s="213"/>
      <c r="AK269" s="94"/>
      <c r="AL269" s="94"/>
      <c r="AM269" s="94"/>
      <c r="AN269" s="94"/>
      <c r="AO269" s="399"/>
      <c r="AP269" s="399"/>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c r="CA269" s="94"/>
      <c r="CB269" s="94"/>
      <c r="CC269" s="94"/>
      <c r="CD269" s="94"/>
      <c r="CE269" s="94"/>
      <c r="CF269" s="94"/>
      <c r="CG269" s="94"/>
      <c r="CH269" s="94"/>
      <c r="CI269" s="94"/>
      <c r="CJ269" s="94"/>
      <c r="CK269" s="94"/>
      <c r="CL269" s="94"/>
      <c r="CM269" s="94"/>
      <c r="CN269" s="94"/>
      <c r="CO269" s="94"/>
      <c r="CP269" s="94"/>
      <c r="CQ269" s="94"/>
      <c r="CR269" s="94"/>
      <c r="CS269" s="94"/>
      <c r="CT269" s="94"/>
      <c r="CU269" s="94"/>
      <c r="CV269" s="94"/>
      <c r="CW269" s="94"/>
      <c r="CX269" s="94"/>
      <c r="CY269" s="94"/>
      <c r="CZ269" s="94"/>
      <c r="DA269" s="94"/>
      <c r="DB269" s="94"/>
      <c r="DC269" s="94"/>
    </row>
    <row r="270" spans="1:107" s="259" customFormat="1" ht="15" customHeight="1">
      <c r="A270" s="1"/>
      <c r="B270" s="213" t="str">
        <f>IF(B45="","",B45)</f>
        <v xml:space="preserve">Is a professional architect or engineer providing the information necessary for this application? </v>
      </c>
      <c r="C270" s="213"/>
      <c r="D270" s="213"/>
      <c r="E270" s="213"/>
      <c r="F270" s="213"/>
      <c r="G270" s="213"/>
      <c r="H270" s="213"/>
      <c r="I270" s="213"/>
      <c r="J270" s="213"/>
      <c r="K270" s="213"/>
      <c r="L270" s="213"/>
      <c r="M270" s="213"/>
      <c r="N270" s="213"/>
      <c r="O270" s="213"/>
      <c r="P270" s="213"/>
      <c r="Q270" s="213"/>
      <c r="R270" s="213"/>
      <c r="S270" s="213"/>
      <c r="T270" s="213"/>
      <c r="U270" s="213"/>
      <c r="V270" s="213"/>
      <c r="W270" s="213"/>
      <c r="X270" s="213"/>
      <c r="Y270" s="213"/>
      <c r="Z270" s="1"/>
      <c r="AA270" s="328" t="str">
        <f>IF(AK45=TRUE,"X","")</f>
        <v/>
      </c>
      <c r="AB270" s="326" t="s">
        <v>98</v>
      </c>
      <c r="AC270" s="247"/>
      <c r="AD270" s="328" t="str">
        <f>IF(AL45=TRUE,"X","")</f>
        <v/>
      </c>
      <c r="AE270" s="247" t="s">
        <v>155</v>
      </c>
      <c r="AF270" s="213"/>
      <c r="AG270" s="213"/>
      <c r="AH270" s="213"/>
      <c r="AI270" s="213"/>
      <c r="AJ270" s="1"/>
      <c r="AK270" s="94"/>
      <c r="AL270" s="94"/>
      <c r="AM270" s="94"/>
      <c r="AN270" s="94"/>
      <c r="AO270" s="399"/>
      <c r="AP270" s="399"/>
      <c r="AQ270" s="94"/>
      <c r="AR270" s="94"/>
      <c r="AS270" s="94"/>
      <c r="AT270" s="94"/>
      <c r="AU270" s="94"/>
      <c r="AV270" s="260"/>
      <c r="AW270" s="94"/>
      <c r="AX270" s="94"/>
      <c r="AY270" s="94"/>
      <c r="AZ270" s="94"/>
      <c r="BA270" s="94"/>
      <c r="BB270" s="94"/>
      <c r="BC270" s="94"/>
      <c r="BD270" s="94"/>
      <c r="BE270" s="94"/>
      <c r="BF270" s="94"/>
      <c r="BG270" s="94"/>
      <c r="BH270" s="94"/>
      <c r="BI270" s="94"/>
      <c r="BJ270" s="94"/>
      <c r="BK270" s="94"/>
      <c r="BL270" s="94"/>
      <c r="BM270" s="94"/>
      <c r="BN270" s="94"/>
      <c r="BO270" s="94"/>
      <c r="BP270" s="94"/>
      <c r="BQ270" s="94"/>
      <c r="BR270" s="94"/>
      <c r="BS270" s="94"/>
      <c r="BT270" s="94"/>
      <c r="BU270" s="94"/>
      <c r="BV270" s="94"/>
      <c r="BW270" s="94"/>
      <c r="BX270" s="94"/>
      <c r="BY270" s="94"/>
      <c r="BZ270" s="94"/>
      <c r="CA270" s="94"/>
      <c r="CB270" s="94"/>
      <c r="CC270" s="94"/>
      <c r="CD270" s="94"/>
      <c r="CE270" s="94"/>
      <c r="CF270" s="94"/>
      <c r="CG270" s="94"/>
      <c r="CH270" s="94"/>
      <c r="CI270" s="94"/>
      <c r="CJ270" s="94"/>
      <c r="CK270" s="94"/>
      <c r="CL270" s="94"/>
      <c r="CM270" s="94"/>
      <c r="CN270" s="94"/>
      <c r="CO270" s="94"/>
      <c r="CP270" s="94"/>
      <c r="CQ270" s="94"/>
      <c r="CR270" s="94"/>
      <c r="CS270" s="94"/>
      <c r="CT270" s="94"/>
      <c r="CU270" s="94"/>
      <c r="CV270" s="94"/>
      <c r="CW270" s="94"/>
      <c r="CX270" s="94"/>
      <c r="CY270" s="94"/>
      <c r="CZ270" s="94"/>
      <c r="DA270" s="94"/>
      <c r="DB270" s="94"/>
      <c r="DC270" s="94"/>
    </row>
    <row r="271" spans="1:107" ht="12.75" customHeight="1">
      <c r="A271" s="259"/>
      <c r="B271" s="213"/>
      <c r="C271" s="213"/>
      <c r="D271" s="213"/>
      <c r="E271" s="213"/>
      <c r="F271" s="213"/>
      <c r="G271" s="213"/>
      <c r="H271" s="213"/>
      <c r="I271" s="213"/>
      <c r="J271" s="213"/>
      <c r="K271" s="213"/>
      <c r="L271" s="213"/>
      <c r="M271" s="213"/>
      <c r="N271" s="213"/>
      <c r="O271" s="213"/>
      <c r="P271" s="213"/>
      <c r="Q271" s="213"/>
      <c r="R271" s="213"/>
      <c r="S271" s="213"/>
      <c r="T271" s="213"/>
      <c r="U271" s="213"/>
      <c r="V271" s="213"/>
      <c r="W271" s="213"/>
      <c r="X271" s="213"/>
      <c r="Y271" s="213"/>
      <c r="Z271" s="213"/>
      <c r="AA271" s="213"/>
      <c r="AB271" s="213"/>
      <c r="AC271" s="213"/>
      <c r="AD271" s="213"/>
      <c r="AE271" s="213"/>
      <c r="AF271" s="213"/>
      <c r="AG271" s="213"/>
      <c r="AH271" s="213"/>
      <c r="AI271" s="213"/>
      <c r="AK271" s="94"/>
      <c r="AL271" s="94"/>
      <c r="AM271" s="94"/>
      <c r="AN271" s="94"/>
      <c r="AO271" s="399"/>
      <c r="AP271" s="399"/>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row>
    <row r="272" spans="1:107" s="259" customFormat="1" ht="15" customHeight="1">
      <c r="A272" s="1"/>
      <c r="B272" s="6" t="str">
        <f>IF(B47="","",B47)</f>
        <v>Professional Assistance Incentive Payment Information</v>
      </c>
      <c r="C272" s="1"/>
      <c r="D272" s="1"/>
      <c r="E272" s="247"/>
      <c r="F272" s="247"/>
      <c r="G272" s="247"/>
      <c r="H272" s="247"/>
      <c r="I272" s="247"/>
      <c r="J272" s="1"/>
      <c r="K272" s="1"/>
      <c r="L272" s="1"/>
      <c r="M272" s="575"/>
      <c r="N272" s="246"/>
      <c r="O272" s="7"/>
      <c r="P272" s="9"/>
      <c r="Q272" s="246"/>
      <c r="R272" s="243"/>
      <c r="S272" s="1"/>
      <c r="T272" s="247"/>
      <c r="U272" s="247"/>
      <c r="V272" s="247"/>
      <c r="W272" s="247"/>
      <c r="X272" s="247"/>
      <c r="Y272" s="37"/>
      <c r="Z272" s="37"/>
      <c r="AA272" s="1"/>
      <c r="AB272" s="254"/>
      <c r="AC272" s="7"/>
      <c r="AD272" s="170"/>
      <c r="AE272" s="9"/>
      <c r="AF272" s="9"/>
      <c r="AG272" s="9"/>
      <c r="AH272" s="13"/>
      <c r="AI272" s="13"/>
      <c r="AJ272" s="1"/>
      <c r="AK272" s="94"/>
      <c r="AL272" s="94"/>
      <c r="AM272" s="94"/>
      <c r="AN272" s="94"/>
      <c r="AO272" s="399"/>
      <c r="AP272" s="399"/>
      <c r="AQ272" s="94"/>
      <c r="AR272" s="94"/>
      <c r="AS272" s="94"/>
      <c r="AT272" s="94"/>
      <c r="AU272" s="94"/>
      <c r="AV272" s="260"/>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row>
    <row r="273" spans="1:107" ht="12.75" customHeight="1">
      <c r="A273" s="259"/>
      <c r="B273" s="240" t="str">
        <f>IF(B48="","",B48)</f>
        <v>Legal Name (Professional Assistance Incentive check will be made payable to:)*</v>
      </c>
      <c r="C273" s="245"/>
      <c r="D273" s="245"/>
      <c r="E273" s="245"/>
      <c r="F273" s="245"/>
      <c r="G273" s="245"/>
      <c r="H273" s="245"/>
      <c r="I273" s="245"/>
      <c r="J273" s="245"/>
      <c r="K273" s="245"/>
      <c r="L273" s="245"/>
      <c r="M273" s="245"/>
      <c r="N273" s="245"/>
      <c r="O273" s="245"/>
      <c r="P273" s="245"/>
      <c r="Q273" s="245"/>
      <c r="R273" s="245"/>
      <c r="S273" s="252"/>
      <c r="T273" s="240" t="str">
        <f>IF(T48="","",T48)</f>
        <v>Attn:</v>
      </c>
      <c r="U273" s="241"/>
      <c r="V273" s="241"/>
      <c r="W273" s="241"/>
      <c r="X273" s="241"/>
      <c r="Y273" s="241"/>
      <c r="Z273" s="241"/>
      <c r="AA273" s="249"/>
      <c r="AC273" s="256"/>
      <c r="AD273" s="251"/>
      <c r="AE273" s="241"/>
      <c r="AF273" s="241"/>
      <c r="AG273" s="241"/>
      <c r="AH273" s="250"/>
      <c r="AI273" s="576"/>
      <c r="AK273" s="94"/>
      <c r="AL273" s="94"/>
      <c r="AM273" s="94"/>
      <c r="AN273" s="94"/>
      <c r="AO273" s="399"/>
      <c r="AP273" s="399"/>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row>
    <row r="274" spans="1:107" s="259" customFormat="1" ht="15" customHeight="1">
      <c r="A274" s="1"/>
      <c r="B274" s="743" t="str">
        <f>IF($AK$45=FALSE,"N/A",IF(B49="","",B49))</f>
        <v>N/A</v>
      </c>
      <c r="C274" s="744"/>
      <c r="D274" s="744"/>
      <c r="E274" s="744"/>
      <c r="F274" s="744"/>
      <c r="G274" s="744"/>
      <c r="H274" s="744"/>
      <c r="I274" s="744"/>
      <c r="J274" s="744"/>
      <c r="K274" s="744"/>
      <c r="L274" s="744"/>
      <c r="M274" s="744"/>
      <c r="N274" s="744"/>
      <c r="O274" s="744"/>
      <c r="P274" s="744"/>
      <c r="Q274" s="744"/>
      <c r="R274" s="744"/>
      <c r="S274" s="745"/>
      <c r="T274" s="743" t="str">
        <f>IF($AK$45=FALSE,"N/A",IF(T49="","",T49))</f>
        <v>N/A</v>
      </c>
      <c r="U274" s="744"/>
      <c r="V274" s="744"/>
      <c r="W274" s="744"/>
      <c r="X274" s="744"/>
      <c r="Y274" s="744"/>
      <c r="Z274" s="744"/>
      <c r="AA274" s="744"/>
      <c r="AB274" s="744"/>
      <c r="AC274" s="744"/>
      <c r="AD274" s="744"/>
      <c r="AE274" s="744"/>
      <c r="AF274" s="744"/>
      <c r="AG274" s="744"/>
      <c r="AH274" s="744"/>
      <c r="AI274" s="745"/>
      <c r="AJ274" s="1"/>
      <c r="AK274" s="94"/>
      <c r="AL274" s="94"/>
      <c r="AM274" s="94"/>
      <c r="AN274" s="94"/>
      <c r="AO274" s="399"/>
      <c r="AP274" s="399"/>
      <c r="AQ274" s="94"/>
      <c r="AR274" s="94"/>
      <c r="AS274" s="94"/>
      <c r="AT274" s="94"/>
      <c r="AU274" s="94"/>
      <c r="AV274" s="260"/>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row>
    <row r="275" spans="1:107">
      <c r="A275" s="259"/>
      <c r="B275" s="240" t="str">
        <f>IF(B50="","",B50)</f>
        <v xml:space="preserve">Mailing Address </v>
      </c>
      <c r="C275" s="241"/>
      <c r="D275" s="241"/>
      <c r="E275" s="241"/>
      <c r="F275" s="241"/>
      <c r="G275" s="241"/>
      <c r="H275" s="241"/>
      <c r="I275" s="241"/>
      <c r="J275" s="241"/>
      <c r="K275" s="241"/>
      <c r="L275" s="241"/>
      <c r="M275" s="241"/>
      <c r="N275" s="241"/>
      <c r="O275" s="241"/>
      <c r="P275" s="241"/>
      <c r="Q275" s="241"/>
      <c r="R275" s="241"/>
      <c r="S275" s="242"/>
      <c r="T275" s="240" t="str">
        <f>IF(T50="","",T50)</f>
        <v>City</v>
      </c>
      <c r="U275" s="249"/>
      <c r="V275" s="249"/>
      <c r="W275" s="249"/>
      <c r="X275" s="249"/>
      <c r="Y275" s="249"/>
      <c r="Z275" s="249"/>
      <c r="AA275" s="249"/>
      <c r="AB275" s="249"/>
      <c r="AC275" s="252"/>
      <c r="AD275" s="240" t="str">
        <f>IF(AD50="","",AD50)</f>
        <v>State</v>
      </c>
      <c r="AE275" s="242"/>
      <c r="AF275" s="240" t="str">
        <f>IF(AF50="","",AF50)</f>
        <v>Zip</v>
      </c>
      <c r="AG275" s="241"/>
      <c r="AH275" s="251"/>
      <c r="AI275" s="242"/>
      <c r="AK275" s="94"/>
      <c r="AL275" s="94"/>
      <c r="AM275" s="94"/>
      <c r="AN275" s="94"/>
      <c r="AO275" s="399"/>
      <c r="AP275" s="399"/>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row>
    <row r="276" spans="1:107">
      <c r="B276" s="743" t="str">
        <f>IF($AK$45=FALSE,"N/A",IF(B51="","",B51))</f>
        <v>N/A</v>
      </c>
      <c r="C276" s="744"/>
      <c r="D276" s="744"/>
      <c r="E276" s="744"/>
      <c r="F276" s="744"/>
      <c r="G276" s="744"/>
      <c r="H276" s="744"/>
      <c r="I276" s="744"/>
      <c r="J276" s="744"/>
      <c r="K276" s="744"/>
      <c r="L276" s="744"/>
      <c r="M276" s="744"/>
      <c r="N276" s="744"/>
      <c r="O276" s="744"/>
      <c r="P276" s="744"/>
      <c r="Q276" s="744"/>
      <c r="R276" s="744"/>
      <c r="S276" s="745"/>
      <c r="T276" s="743" t="str">
        <f>IF($AK$45=FALSE,"N/A",IF(T51="","",T51))</f>
        <v>N/A</v>
      </c>
      <c r="U276" s="744"/>
      <c r="V276" s="744"/>
      <c r="W276" s="744"/>
      <c r="X276" s="744"/>
      <c r="Y276" s="744"/>
      <c r="Z276" s="744"/>
      <c r="AA276" s="744"/>
      <c r="AB276" s="744"/>
      <c r="AC276" s="745"/>
      <c r="AD276" s="743" t="str">
        <f>IF($AK$45=FALSE,"N/A",IF(AD51="","",AD51))</f>
        <v>N/A</v>
      </c>
      <c r="AE276" s="745"/>
      <c r="AF276" s="743" t="str">
        <f>IF($AK$45=FALSE,"N/A",IF(AF51="","",AF51))</f>
        <v>N/A</v>
      </c>
      <c r="AG276" s="744"/>
      <c r="AH276" s="744"/>
      <c r="AI276" s="745"/>
      <c r="AK276" s="94"/>
      <c r="AL276" s="94"/>
      <c r="AM276" s="94"/>
      <c r="AN276" s="94"/>
      <c r="AO276" s="399"/>
      <c r="AP276" s="399"/>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row>
    <row r="277" spans="1:107" ht="12.75" customHeight="1">
      <c r="A277" s="259"/>
      <c r="B277" s="240" t="str">
        <f>IF(B52="","",B52)</f>
        <v>Contact Name</v>
      </c>
      <c r="C277" s="249"/>
      <c r="D277" s="249"/>
      <c r="E277" s="249"/>
      <c r="F277" s="249"/>
      <c r="G277" s="249"/>
      <c r="H277" s="249"/>
      <c r="I277" s="249"/>
      <c r="J277" s="249"/>
      <c r="K277" s="249"/>
      <c r="L277" s="252"/>
      <c r="M277" s="240" t="str">
        <f>IF(M52="","",M52)</f>
        <v>Title</v>
      </c>
      <c r="N277" s="241"/>
      <c r="O277" s="241"/>
      <c r="P277" s="241"/>
      <c r="Q277" s="249"/>
      <c r="R277" s="249"/>
      <c r="S277" s="252"/>
      <c r="T277" s="240" t="str">
        <f>IF(T52="","",T52)</f>
        <v>Phone</v>
      </c>
      <c r="U277" s="241"/>
      <c r="V277" s="241"/>
      <c r="W277" s="241"/>
      <c r="X277" s="241"/>
      <c r="Y277" s="242"/>
      <c r="Z277" s="240" t="str">
        <f>IF(Z52="","",Z52)</f>
        <v>E-mail</v>
      </c>
      <c r="AA277" s="241"/>
      <c r="AB277" s="241"/>
      <c r="AC277" s="241"/>
      <c r="AD277" s="241"/>
      <c r="AE277" s="241"/>
      <c r="AF277" s="241"/>
      <c r="AG277" s="241"/>
      <c r="AH277" s="251"/>
      <c r="AI277" s="242"/>
      <c r="AK277" s="94"/>
      <c r="AL277" s="94"/>
      <c r="AM277" s="94"/>
      <c r="AN277" s="94"/>
      <c r="AO277" s="399"/>
      <c r="AP277" s="399"/>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row>
    <row r="278" spans="1:107" s="259" customFormat="1" ht="15" customHeight="1">
      <c r="A278" s="1"/>
      <c r="B278" s="743" t="str">
        <f>IF($AK$45=FALSE,"N/A",IF(B53="","",B53))</f>
        <v>N/A</v>
      </c>
      <c r="C278" s="744"/>
      <c r="D278" s="744"/>
      <c r="E278" s="744"/>
      <c r="F278" s="744"/>
      <c r="G278" s="744"/>
      <c r="H278" s="744"/>
      <c r="I278" s="744"/>
      <c r="J278" s="744"/>
      <c r="K278" s="744"/>
      <c r="L278" s="745"/>
      <c r="M278" s="743" t="str">
        <f>IF($AK$45=FALSE,"N/A",IF(M53="","",M53))</f>
        <v>N/A</v>
      </c>
      <c r="N278" s="744"/>
      <c r="O278" s="744"/>
      <c r="P278" s="744"/>
      <c r="Q278" s="744"/>
      <c r="R278" s="744"/>
      <c r="S278" s="745"/>
      <c r="T278" s="770" t="str">
        <f>IF($AK$45=FALSE,"N/A",IF(T53="","",T53))</f>
        <v>N/A</v>
      </c>
      <c r="U278" s="771"/>
      <c r="V278" s="771"/>
      <c r="W278" s="771"/>
      <c r="X278" s="771"/>
      <c r="Y278" s="772"/>
      <c r="Z278" s="743" t="str">
        <f>IF($AK$45=FALSE,"N/A",IF(Z53="","",Z53))</f>
        <v>N/A</v>
      </c>
      <c r="AA278" s="744"/>
      <c r="AB278" s="744"/>
      <c r="AC278" s="744"/>
      <c r="AD278" s="744"/>
      <c r="AE278" s="744"/>
      <c r="AF278" s="744"/>
      <c r="AG278" s="744"/>
      <c r="AH278" s="744"/>
      <c r="AI278" s="745"/>
      <c r="AJ278" s="1"/>
      <c r="AK278" s="94"/>
      <c r="AL278" s="94"/>
      <c r="AM278" s="94"/>
      <c r="AN278" s="94"/>
      <c r="AO278" s="399"/>
      <c r="AP278" s="399"/>
      <c r="AQ278" s="94"/>
      <c r="AR278" s="94"/>
      <c r="AS278" s="94"/>
      <c r="AT278" s="94"/>
      <c r="AU278" s="94"/>
      <c r="AV278" s="260"/>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row>
    <row r="279" spans="1:107" ht="12.75" customHeight="1">
      <c r="B279" s="240" t="str">
        <f>IF(B54="","",B54)</f>
        <v>Federal Tax ID Number (EIN or SSN)*</v>
      </c>
      <c r="C279" s="257"/>
      <c r="D279" s="249"/>
      <c r="E279" s="249"/>
      <c r="F279" s="249"/>
      <c r="G279" s="249"/>
      <c r="H279" s="249"/>
      <c r="I279" s="249"/>
      <c r="J279" s="249"/>
      <c r="K279" s="249"/>
      <c r="L279" s="249"/>
      <c r="M279" s="249"/>
      <c r="N279" s="249"/>
      <c r="O279" s="249"/>
      <c r="P279" s="249"/>
      <c r="Q279" s="249"/>
      <c r="R279" s="249"/>
      <c r="S279" s="252"/>
      <c r="T279" s="240" t="str">
        <f>IF(T54="","",T54)</f>
        <v>Official Tax Name (Associated with Tax ID Number)*</v>
      </c>
      <c r="U279" s="245"/>
      <c r="V279" s="245"/>
      <c r="W279" s="245"/>
      <c r="X279" s="245"/>
      <c r="Y279" s="245"/>
      <c r="Z279" s="245"/>
      <c r="AA279" s="245"/>
      <c r="AB279" s="245"/>
      <c r="AC279" s="245"/>
      <c r="AD279" s="245"/>
      <c r="AE279" s="241"/>
      <c r="AF279" s="241"/>
      <c r="AG279" s="249"/>
      <c r="AH279" s="251"/>
      <c r="AI279" s="242"/>
      <c r="AK279" s="94"/>
      <c r="AL279" s="94"/>
      <c r="AM279" s="94"/>
      <c r="AN279" s="94"/>
      <c r="AO279" s="399"/>
      <c r="AP279" s="399"/>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row>
    <row r="280" spans="1:107" s="259" customFormat="1" ht="15" customHeight="1">
      <c r="A280" s="1"/>
      <c r="B280" s="743" t="str">
        <f>IF($AK$45=FALSE,"N/A",IF(B55="","",B55))</f>
        <v>N/A</v>
      </c>
      <c r="C280" s="744"/>
      <c r="D280" s="744"/>
      <c r="E280" s="744"/>
      <c r="F280" s="744"/>
      <c r="G280" s="744"/>
      <c r="H280" s="744"/>
      <c r="I280" s="744"/>
      <c r="J280" s="744"/>
      <c r="K280" s="744"/>
      <c r="L280" s="744"/>
      <c r="M280" s="744"/>
      <c r="N280" s="744"/>
      <c r="O280" s="744"/>
      <c r="P280" s="744"/>
      <c r="Q280" s="744"/>
      <c r="R280" s="744"/>
      <c r="S280" s="745"/>
      <c r="T280" s="743" t="str">
        <f>IF($AK$45=FALSE,"N/A",IF(T55="","",T55))</f>
        <v>N/A</v>
      </c>
      <c r="U280" s="744"/>
      <c r="V280" s="744"/>
      <c r="W280" s="744"/>
      <c r="X280" s="744"/>
      <c r="Y280" s="744"/>
      <c r="Z280" s="744"/>
      <c r="AA280" s="744"/>
      <c r="AB280" s="744"/>
      <c r="AC280" s="744"/>
      <c r="AD280" s="744"/>
      <c r="AE280" s="744"/>
      <c r="AF280" s="744"/>
      <c r="AG280" s="744"/>
      <c r="AH280" s="744"/>
      <c r="AI280" s="745"/>
      <c r="AJ280" s="1"/>
      <c r="AK280" s="94"/>
      <c r="AL280" s="94"/>
      <c r="AM280" s="94"/>
      <c r="AN280" s="94"/>
      <c r="AO280" s="399"/>
      <c r="AP280" s="399"/>
      <c r="AQ280" s="94"/>
      <c r="AR280" s="94"/>
      <c r="AS280" s="94"/>
      <c r="AT280" s="94"/>
      <c r="AU280" s="94"/>
      <c r="AV280" s="260"/>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row>
    <row r="281" spans="1:107" ht="12.75" customHeight="1">
      <c r="B281" s="246"/>
      <c r="C281" s="246"/>
      <c r="D281" s="246"/>
      <c r="E281" s="247"/>
      <c r="F281" s="247"/>
      <c r="G281" s="247"/>
      <c r="H281" s="247"/>
      <c r="P281" s="247"/>
      <c r="Q281" s="247"/>
      <c r="R281" s="247"/>
      <c r="S281" s="247"/>
      <c r="Y281" s="170"/>
      <c r="Z281" s="170"/>
      <c r="AA281" s="170"/>
      <c r="AB281" s="170"/>
      <c r="AC281" s="170"/>
      <c r="AD281" s="170"/>
      <c r="AE281" s="170"/>
      <c r="AF281" s="170"/>
      <c r="AG281" s="170"/>
      <c r="AH281" s="170"/>
      <c r="AI281" s="9"/>
      <c r="AK281" s="94"/>
      <c r="AL281" s="94"/>
      <c r="AM281" s="94"/>
      <c r="AN281" s="94"/>
      <c r="AO281" s="399"/>
      <c r="AP281" s="399"/>
      <c r="AQ281" s="94"/>
      <c r="AR281" s="94"/>
      <c r="AS281" s="94"/>
      <c r="AT281" s="94"/>
      <c r="AU281" s="94"/>
      <c r="AV281" s="94"/>
      <c r="AW281" s="94"/>
      <c r="AX281" s="94"/>
      <c r="AY281" s="94"/>
      <c r="AZ281" s="94"/>
      <c r="BA281" s="94"/>
      <c r="BB281" s="94"/>
      <c r="BC281" s="94"/>
      <c r="BD281" s="94"/>
      <c r="BE281" s="94"/>
      <c r="BF281" s="94"/>
      <c r="BG281" s="94"/>
      <c r="BH281" s="94"/>
      <c r="BI281" s="94"/>
      <c r="BJ281" s="94"/>
      <c r="BK281" s="94"/>
      <c r="BL281" s="94"/>
      <c r="BM281" s="94"/>
      <c r="BN281" s="94"/>
      <c r="BO281" s="94"/>
      <c r="BP281" s="94"/>
      <c r="BQ281" s="94"/>
      <c r="BR281" s="94"/>
      <c r="BS281" s="94"/>
      <c r="BT281" s="94"/>
      <c r="BU281" s="94"/>
      <c r="BV281" s="94"/>
      <c r="BW281" s="94"/>
      <c r="BX281" s="94"/>
      <c r="BY281" s="94"/>
      <c r="BZ281" s="94"/>
      <c r="CA281" s="94"/>
      <c r="CB281" s="94"/>
      <c r="CC281" s="94"/>
      <c r="CD281" s="94"/>
      <c r="CE281" s="94"/>
      <c r="CF281" s="94"/>
      <c r="CG281" s="94"/>
      <c r="CH281" s="94"/>
      <c r="CI281" s="94"/>
      <c r="CJ281" s="94"/>
      <c r="CK281" s="94"/>
      <c r="CL281" s="94"/>
      <c r="CM281" s="94"/>
      <c r="CN281" s="94"/>
      <c r="CO281" s="94"/>
      <c r="CP281" s="94"/>
      <c r="CQ281" s="94"/>
      <c r="CR281" s="94"/>
      <c r="CS281" s="94"/>
      <c r="CT281" s="94"/>
      <c r="CU281" s="94"/>
      <c r="CV281" s="94"/>
      <c r="CW281" s="94"/>
      <c r="CX281" s="94"/>
      <c r="CY281" s="94"/>
      <c r="CZ281" s="94"/>
      <c r="DA281" s="94"/>
      <c r="DB281" s="94"/>
      <c r="DC281" s="94"/>
    </row>
    <row r="282" spans="1:107" ht="12.75" customHeight="1">
      <c r="B282" s="213" t="str">
        <f>IF(B57="","",B57)</f>
        <v>For question regarding this application, please contact Idaho Power by emailing multifamily@idahopower.com</v>
      </c>
      <c r="C282" s="246"/>
      <c r="D282" s="246"/>
      <c r="E282" s="247"/>
      <c r="F282" s="247"/>
      <c r="G282" s="247"/>
      <c r="H282" s="247"/>
      <c r="P282" s="247"/>
      <c r="Q282" s="247"/>
      <c r="R282" s="247"/>
      <c r="S282" s="247"/>
      <c r="Y282" s="170"/>
      <c r="Z282" s="170"/>
      <c r="AA282" s="170"/>
      <c r="AB282" s="170"/>
      <c r="AC282" s="170"/>
      <c r="AD282" s="170"/>
      <c r="AE282" s="170"/>
      <c r="AF282" s="170"/>
      <c r="AG282" s="170"/>
      <c r="AH282" s="170"/>
      <c r="AI282" s="9"/>
      <c r="AK282" s="94"/>
      <c r="AL282" s="94"/>
      <c r="AM282" s="94"/>
      <c r="AN282" s="94"/>
      <c r="AO282" s="399"/>
      <c r="AP282" s="399"/>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94"/>
      <c r="CD282" s="94"/>
      <c r="CE282" s="94"/>
      <c r="CF282" s="94"/>
      <c r="CG282" s="94"/>
      <c r="CH282" s="94"/>
      <c r="CI282" s="94"/>
      <c r="CJ282" s="94"/>
      <c r="CK282" s="94"/>
      <c r="CL282" s="94"/>
      <c r="CM282" s="94"/>
      <c r="CN282" s="94"/>
      <c r="CO282" s="94"/>
      <c r="CP282" s="94"/>
      <c r="CQ282" s="94"/>
      <c r="CR282" s="94"/>
      <c r="CS282" s="94"/>
      <c r="CT282" s="94"/>
      <c r="CU282" s="94"/>
      <c r="CV282" s="94"/>
      <c r="CW282" s="94"/>
      <c r="CX282" s="94"/>
      <c r="CY282" s="94"/>
      <c r="CZ282" s="94"/>
      <c r="DA282" s="94"/>
      <c r="DB282" s="94"/>
      <c r="DC282" s="94"/>
    </row>
    <row r="283" spans="1:107" ht="12.75" customHeight="1">
      <c r="B283" s="246"/>
      <c r="C283" s="246"/>
      <c r="D283" s="246"/>
      <c r="E283" s="247"/>
      <c r="F283" s="247"/>
      <c r="G283" s="247"/>
      <c r="H283" s="247"/>
      <c r="P283" s="247"/>
      <c r="Q283" s="247"/>
      <c r="R283" s="247"/>
      <c r="S283" s="247"/>
      <c r="Y283" s="170"/>
      <c r="Z283" s="170"/>
      <c r="AA283" s="170"/>
      <c r="AB283" s="170"/>
      <c r="AC283" s="170"/>
      <c r="AD283" s="170"/>
      <c r="AE283" s="170"/>
      <c r="AF283" s="170"/>
      <c r="AG283" s="170"/>
      <c r="AH283" s="170"/>
      <c r="AI283" s="9"/>
      <c r="AK283" s="94"/>
      <c r="AL283" s="94"/>
      <c r="AM283" s="94"/>
      <c r="AN283" s="94"/>
      <c r="AO283" s="399"/>
      <c r="AP283" s="399"/>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row>
    <row r="284" spans="1:107" ht="12.75" customHeight="1">
      <c r="B284" s="645" t="str">
        <f>IF(B59="","",B59)</f>
        <v>Heating Fuel Type of New Equipment Installed</v>
      </c>
      <c r="C284" s="246"/>
      <c r="D284" s="246"/>
      <c r="E284" s="247"/>
      <c r="F284" s="247"/>
      <c r="G284" s="247"/>
      <c r="H284" s="247"/>
      <c r="P284" s="247"/>
      <c r="Q284" s="247"/>
      <c r="R284" s="247"/>
      <c r="S284" s="247"/>
      <c r="Y284" s="170"/>
      <c r="Z284" s="170"/>
      <c r="AA284" s="170"/>
      <c r="AB284" s="170"/>
      <c r="AC284" s="170"/>
      <c r="AD284" s="170"/>
      <c r="AE284" s="170"/>
      <c r="AF284" s="170"/>
      <c r="AG284" s="170"/>
      <c r="AH284" s="170"/>
      <c r="AI284" s="9"/>
      <c r="AK284" s="94"/>
      <c r="AL284" s="94"/>
      <c r="AM284" s="94"/>
      <c r="AN284" s="94"/>
      <c r="AO284" s="399"/>
      <c r="AP284" s="399"/>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row>
    <row r="285" spans="1:107" ht="12.75" customHeight="1">
      <c r="B285" s="213" t="str">
        <f>IF(B60="","",B60)</f>
        <v>Primary heating type in dwelling units?*</v>
      </c>
      <c r="C285" s="246"/>
      <c r="D285" s="246"/>
      <c r="E285" s="247"/>
      <c r="F285" s="247"/>
      <c r="G285" s="247"/>
      <c r="H285" s="247"/>
      <c r="L285" s="807" t="str">
        <f t="shared" ref="L285:L287" si="12">IF(L60="","",L60)</f>
        <v>(Please Select)</v>
      </c>
      <c r="M285" s="808"/>
      <c r="N285" s="808"/>
      <c r="O285" s="808"/>
      <c r="P285" s="809"/>
      <c r="Q285" s="247"/>
      <c r="R285" s="247"/>
      <c r="S285" s="247"/>
      <c r="Y285" s="170"/>
      <c r="Z285" s="170"/>
      <c r="AA285" s="170"/>
      <c r="AB285" s="170"/>
      <c r="AC285" s="170"/>
      <c r="AD285" s="170"/>
      <c r="AE285" s="170"/>
      <c r="AF285" s="170"/>
      <c r="AG285" s="170"/>
      <c r="AH285" s="170"/>
      <c r="AI285" s="9"/>
      <c r="AK285" s="94"/>
      <c r="AL285" s="94"/>
      <c r="AM285" s="94"/>
      <c r="AN285" s="94"/>
      <c r="AO285" s="399"/>
      <c r="AP285" s="399"/>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row>
    <row r="286" spans="1:107" ht="12.75" customHeight="1">
      <c r="B286" s="246"/>
      <c r="C286" s="246"/>
      <c r="D286" s="246"/>
      <c r="E286" s="247"/>
      <c r="F286" s="247"/>
      <c r="G286" s="247"/>
      <c r="H286" s="247"/>
      <c r="P286" s="247"/>
      <c r="Q286" s="247"/>
      <c r="R286" s="247"/>
      <c r="S286" s="247"/>
      <c r="Y286" s="170"/>
      <c r="Z286" s="170"/>
      <c r="AA286" s="170"/>
      <c r="AB286" s="170"/>
      <c r="AC286" s="170"/>
      <c r="AD286" s="170"/>
      <c r="AE286" s="170"/>
      <c r="AF286" s="170"/>
      <c r="AG286" s="170"/>
      <c r="AH286" s="170"/>
      <c r="AI286" s="9"/>
      <c r="AK286" s="94"/>
      <c r="AL286" s="94"/>
      <c r="AM286" s="94"/>
      <c r="AN286" s="94"/>
      <c r="AO286" s="399"/>
      <c r="AP286" s="399"/>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row>
    <row r="287" spans="1:107" ht="12.75" customHeight="1">
      <c r="B287" s="213" t="str">
        <f>IF(B62="","",B62)</f>
        <v>Primary heating type in common areas?*</v>
      </c>
      <c r="C287" s="246"/>
      <c r="D287" s="246"/>
      <c r="E287" s="247"/>
      <c r="F287" s="247"/>
      <c r="G287" s="247"/>
      <c r="H287" s="247"/>
      <c r="L287" s="807" t="str">
        <f t="shared" si="12"/>
        <v>(Please Select)</v>
      </c>
      <c r="M287" s="808"/>
      <c r="N287" s="808"/>
      <c r="O287" s="808"/>
      <c r="P287" s="809"/>
      <c r="Q287" s="247"/>
      <c r="R287" s="247"/>
      <c r="S287" s="247"/>
      <c r="Y287" s="170"/>
      <c r="Z287" s="170"/>
      <c r="AA287" s="170"/>
      <c r="AB287" s="170"/>
      <c r="AC287" s="170"/>
      <c r="AD287" s="170"/>
      <c r="AE287" s="170"/>
      <c r="AF287" s="170"/>
      <c r="AG287" s="170"/>
      <c r="AH287" s="170"/>
      <c r="AI287" s="9"/>
      <c r="AK287" s="94"/>
      <c r="AL287" s="94"/>
      <c r="AM287" s="94"/>
      <c r="AN287" s="94"/>
      <c r="AO287" s="399"/>
      <c r="AP287" s="399"/>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row>
    <row r="288" spans="1:107" ht="12.75" customHeight="1">
      <c r="B288" s="246"/>
      <c r="C288" s="246"/>
      <c r="D288" s="246"/>
      <c r="E288" s="247"/>
      <c r="F288" s="247"/>
      <c r="G288" s="247"/>
      <c r="H288" s="247"/>
      <c r="P288" s="247"/>
      <c r="Q288" s="247"/>
      <c r="R288" s="247"/>
      <c r="S288" s="247"/>
      <c r="Y288" s="170"/>
      <c r="Z288" s="170"/>
      <c r="AA288" s="170"/>
      <c r="AB288" s="170"/>
      <c r="AC288" s="170"/>
      <c r="AD288" s="170"/>
      <c r="AE288" s="170"/>
      <c r="AF288" s="170"/>
      <c r="AG288" s="170"/>
      <c r="AH288" s="170"/>
      <c r="AI288" s="9"/>
      <c r="AK288" s="94"/>
      <c r="AL288" s="94"/>
      <c r="AM288" s="94"/>
      <c r="AN288" s="94"/>
      <c r="AO288" s="399"/>
      <c r="AP288" s="399"/>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c r="CK288" s="94"/>
      <c r="CL288" s="94"/>
      <c r="CM288" s="94"/>
      <c r="CN288" s="94"/>
      <c r="CO288" s="94"/>
      <c r="CP288" s="94"/>
      <c r="CQ288" s="94"/>
      <c r="CR288" s="94"/>
      <c r="CS288" s="94"/>
      <c r="CT288" s="94"/>
      <c r="CU288" s="94"/>
      <c r="CV288" s="94"/>
      <c r="CW288" s="94"/>
      <c r="CX288" s="94"/>
      <c r="CY288" s="94"/>
      <c r="CZ288" s="94"/>
      <c r="DA288" s="94"/>
      <c r="DB288" s="94"/>
      <c r="DC288" s="94"/>
    </row>
    <row r="289" spans="2:107" ht="12.75" customHeight="1">
      <c r="B289" s="266" t="str">
        <f>IF(B64="","",B64)</f>
        <v>New Construction and Major Renovations</v>
      </c>
      <c r="C289" s="246"/>
      <c r="D289" s="246"/>
      <c r="E289" s="247"/>
      <c r="F289" s="247"/>
      <c r="G289" s="247"/>
      <c r="H289" s="247"/>
      <c r="P289" s="247"/>
      <c r="Q289" s="247"/>
      <c r="R289" s="247"/>
      <c r="S289" s="247"/>
      <c r="Y289" s="170"/>
      <c r="Z289" s="170"/>
      <c r="AA289" s="170"/>
      <c r="AB289" s="170"/>
      <c r="AC289" s="170"/>
      <c r="AD289" s="170"/>
      <c r="AE289" s="170"/>
      <c r="AF289" s="170"/>
      <c r="AG289" s="170"/>
      <c r="AH289" s="170"/>
      <c r="AI289" s="9"/>
      <c r="AK289" s="94"/>
      <c r="AL289" s="94"/>
      <c r="AM289" s="94"/>
      <c r="AN289" s="94"/>
      <c r="AO289" s="399"/>
      <c r="AP289" s="399"/>
      <c r="AQ289" s="94"/>
      <c r="AR289" s="94"/>
      <c r="AS289" s="94"/>
      <c r="AT289" s="94"/>
      <c r="AU289" s="94"/>
      <c r="AV289" s="94"/>
      <c r="AW289" s="94"/>
      <c r="AX289" s="94"/>
      <c r="AY289" s="94"/>
      <c r="AZ289" s="94"/>
      <c r="BA289" s="94"/>
      <c r="BB289" s="94"/>
      <c r="BC289" s="94"/>
      <c r="BD289" s="94"/>
      <c r="BE289" s="94"/>
      <c r="BF289" s="94"/>
      <c r="BG289" s="94"/>
      <c r="BH289" s="94"/>
      <c r="BI289" s="94"/>
      <c r="BJ289" s="94"/>
      <c r="BK289" s="94"/>
      <c r="BL289" s="94"/>
      <c r="BM289" s="94"/>
      <c r="BN289" s="94"/>
      <c r="BO289" s="94"/>
      <c r="BP289" s="94"/>
      <c r="BQ289" s="94"/>
      <c r="BR289" s="94"/>
      <c r="BS289" s="94"/>
      <c r="BT289" s="94"/>
      <c r="BU289" s="94"/>
      <c r="BV289" s="94"/>
      <c r="BW289" s="94"/>
      <c r="BX289" s="94"/>
      <c r="BY289" s="94"/>
      <c r="BZ289" s="94"/>
      <c r="CA289" s="94"/>
      <c r="CB289" s="94"/>
      <c r="CC289" s="94"/>
      <c r="CD289" s="94"/>
      <c r="CE289" s="94"/>
      <c r="CF289" s="94"/>
      <c r="CG289" s="94"/>
      <c r="CH289" s="94"/>
      <c r="CI289" s="94"/>
      <c r="CJ289" s="94"/>
      <c r="CK289" s="94"/>
      <c r="CL289" s="94"/>
      <c r="CM289" s="94"/>
      <c r="CN289" s="94"/>
      <c r="CO289" s="94"/>
      <c r="CP289" s="94"/>
      <c r="CQ289" s="94"/>
      <c r="CR289" s="94"/>
      <c r="CS289" s="94"/>
      <c r="CT289" s="94"/>
      <c r="CU289" s="94"/>
      <c r="CV289" s="94"/>
      <c r="CW289" s="94"/>
      <c r="CX289" s="94"/>
      <c r="CY289" s="94"/>
      <c r="CZ289" s="94"/>
      <c r="DA289" s="94"/>
      <c r="DB289" s="94"/>
      <c r="DC289" s="94"/>
    </row>
    <row r="290" spans="2:107" ht="12.75" customHeight="1">
      <c r="B290" s="409" t="str">
        <f>IF(B65="","",B65)</f>
        <v>Complete the NC and Major Reno tab to calculate estimated incentives for new buildings, expansions, additions, major renovations or changes of space usage type projects.</v>
      </c>
      <c r="C290" s="246"/>
      <c r="D290" s="246"/>
      <c r="E290" s="247"/>
      <c r="F290" s="247"/>
      <c r="G290" s="247"/>
      <c r="H290" s="247"/>
      <c r="P290" s="247"/>
      <c r="Q290" s="247"/>
      <c r="R290" s="247"/>
      <c r="S290" s="247"/>
      <c r="Y290" s="170"/>
      <c r="Z290" s="170"/>
      <c r="AA290" s="170"/>
      <c r="AB290" s="170"/>
      <c r="AC290" s="170"/>
      <c r="AD290" s="170"/>
      <c r="AE290" s="170"/>
      <c r="AF290" s="170"/>
      <c r="AG290" s="170"/>
      <c r="AH290" s="170"/>
      <c r="AI290" s="9"/>
      <c r="AK290" s="94"/>
      <c r="AL290" s="94"/>
      <c r="AM290" s="94"/>
      <c r="AN290" s="94"/>
      <c r="AO290" s="399"/>
      <c r="AP290" s="399"/>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c r="DA290" s="94"/>
      <c r="DB290" s="94"/>
      <c r="DC290" s="94"/>
    </row>
    <row r="291" spans="2:107" ht="12.75" customHeight="1">
      <c r="B291" s="213" t="str">
        <f t="shared" ref="B291:B303" si="13">IF(B66="","",B66)</f>
        <v>Total Incentive for Dwelling Units</v>
      </c>
      <c r="C291" s="246"/>
      <c r="D291" s="246"/>
      <c r="E291" s="247"/>
      <c r="F291" s="247"/>
      <c r="G291" s="247"/>
      <c r="H291" s="247"/>
      <c r="K291" s="646" t="str">
        <f t="shared" ref="K291:L292" si="14">IF(K66="","",K66)</f>
        <v>$</v>
      </c>
      <c r="L291" s="810">
        <f t="shared" si="14"/>
        <v>0</v>
      </c>
      <c r="M291" s="810"/>
      <c r="N291" s="810"/>
      <c r="O291" s="810"/>
      <c r="P291" s="810"/>
      <c r="Q291" s="247"/>
      <c r="R291" s="247"/>
      <c r="S291" s="247"/>
      <c r="Y291" s="170"/>
      <c r="Z291" s="170"/>
      <c r="AA291" s="170"/>
      <c r="AB291" s="170"/>
      <c r="AC291" s="170"/>
      <c r="AD291" s="170"/>
      <c r="AE291" s="170"/>
      <c r="AF291" s="170"/>
      <c r="AG291" s="170"/>
      <c r="AH291" s="170"/>
      <c r="AI291" s="9"/>
      <c r="AK291" s="94"/>
      <c r="AL291" s="94"/>
      <c r="AM291" s="94"/>
      <c r="AN291" s="94"/>
      <c r="AO291" s="399"/>
      <c r="AP291" s="399"/>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94"/>
      <c r="CD291" s="94"/>
      <c r="CE291" s="94"/>
      <c r="CF291" s="94"/>
      <c r="CG291" s="94"/>
      <c r="CH291" s="94"/>
      <c r="CI291" s="94"/>
      <c r="CJ291" s="94"/>
      <c r="CK291" s="94"/>
      <c r="CL291" s="94"/>
      <c r="CM291" s="94"/>
      <c r="CN291" s="94"/>
      <c r="CO291" s="94"/>
      <c r="CP291" s="94"/>
      <c r="CQ291" s="94"/>
      <c r="CR291" s="94"/>
      <c r="CS291" s="94"/>
      <c r="CT291" s="94"/>
      <c r="CU291" s="94"/>
      <c r="CV291" s="94"/>
      <c r="CW291" s="94"/>
      <c r="CX291" s="94"/>
      <c r="CY291" s="94"/>
      <c r="CZ291" s="94"/>
      <c r="DA291" s="94"/>
      <c r="DB291" s="94"/>
      <c r="DC291" s="94"/>
    </row>
    <row r="292" spans="2:107" ht="12.75" customHeight="1">
      <c r="B292" s="213" t="str">
        <f t="shared" si="13"/>
        <v>Total Incentive for Common Areas</v>
      </c>
      <c r="C292" s="246"/>
      <c r="D292" s="246"/>
      <c r="E292" s="247"/>
      <c r="F292" s="247"/>
      <c r="G292" s="247"/>
      <c r="H292" s="247"/>
      <c r="K292" s="646" t="str">
        <f t="shared" si="14"/>
        <v>$</v>
      </c>
      <c r="L292" s="810">
        <f t="shared" si="14"/>
        <v>0</v>
      </c>
      <c r="M292" s="810"/>
      <c r="N292" s="810"/>
      <c r="O292" s="810"/>
      <c r="P292" s="810"/>
      <c r="Q292" s="247"/>
      <c r="R292" s="247"/>
      <c r="S292" s="247"/>
      <c r="Y292" s="170"/>
      <c r="Z292" s="170"/>
      <c r="AA292" s="170"/>
      <c r="AB292" s="170"/>
      <c r="AC292" s="170"/>
      <c r="AD292" s="170"/>
      <c r="AE292" s="170"/>
      <c r="AF292" s="170"/>
      <c r="AG292" s="170"/>
      <c r="AH292" s="170"/>
      <c r="AI292" s="9"/>
      <c r="AK292" s="94"/>
      <c r="AL292" s="94"/>
      <c r="AM292" s="94"/>
      <c r="AN292" s="94"/>
      <c r="AO292" s="399"/>
      <c r="AP292" s="399"/>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c r="DA292" s="94"/>
      <c r="DB292" s="94"/>
      <c r="DC292" s="94"/>
    </row>
    <row r="293" spans="2:107" ht="12.75" customHeight="1">
      <c r="B293" s="213"/>
      <c r="C293" s="246"/>
      <c r="D293" s="246"/>
      <c r="E293" s="247"/>
      <c r="F293" s="247"/>
      <c r="G293" s="247"/>
      <c r="H293" s="247"/>
      <c r="P293" s="247"/>
      <c r="Q293" s="247"/>
      <c r="R293" s="247"/>
      <c r="S293" s="247"/>
      <c r="Y293" s="170"/>
      <c r="Z293" s="170"/>
      <c r="AA293" s="170"/>
      <c r="AB293" s="170"/>
      <c r="AC293" s="170"/>
      <c r="AD293" s="170"/>
      <c r="AE293" s="170"/>
      <c r="AF293" s="170"/>
      <c r="AG293" s="170"/>
      <c r="AH293" s="170"/>
      <c r="AI293" s="9"/>
      <c r="AK293" s="94"/>
      <c r="AL293" s="94"/>
      <c r="AM293" s="94"/>
      <c r="AN293" s="94"/>
      <c r="AO293" s="399"/>
      <c r="AP293" s="399"/>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94"/>
      <c r="CD293" s="94"/>
      <c r="CE293" s="94"/>
      <c r="CF293" s="94"/>
      <c r="CG293" s="94"/>
      <c r="CH293" s="94"/>
      <c r="CI293" s="94"/>
      <c r="CJ293" s="94"/>
      <c r="CK293" s="94"/>
      <c r="CL293" s="94"/>
      <c r="CM293" s="94"/>
      <c r="CN293" s="94"/>
      <c r="CO293" s="94"/>
      <c r="CP293" s="94"/>
      <c r="CQ293" s="94"/>
      <c r="CR293" s="94"/>
      <c r="CS293" s="94"/>
      <c r="CT293" s="94"/>
      <c r="CU293" s="94"/>
      <c r="CV293" s="94"/>
      <c r="CW293" s="94"/>
      <c r="CX293" s="94"/>
      <c r="CY293" s="94"/>
      <c r="CZ293" s="94"/>
      <c r="DA293" s="94"/>
      <c r="DB293" s="94"/>
      <c r="DC293" s="94"/>
    </row>
    <row r="294" spans="2:107" ht="12.75" customHeight="1">
      <c r="B294" s="266" t="str">
        <f t="shared" si="13"/>
        <v>Retrofits</v>
      </c>
      <c r="C294" s="246"/>
      <c r="D294" s="246"/>
      <c r="E294" s="247"/>
      <c r="F294" s="247"/>
      <c r="G294" s="247"/>
      <c r="H294" s="247"/>
      <c r="P294" s="247"/>
      <c r="Q294" s="247"/>
      <c r="R294" s="247"/>
      <c r="S294" s="247"/>
      <c r="Y294" s="170"/>
      <c r="Z294" s="170"/>
      <c r="AA294" s="170"/>
      <c r="AB294" s="170"/>
      <c r="AC294" s="170"/>
      <c r="AD294" s="170"/>
      <c r="AE294" s="170"/>
      <c r="AF294" s="170"/>
      <c r="AG294" s="170"/>
      <c r="AH294" s="170"/>
      <c r="AI294" s="9"/>
      <c r="AK294" s="94"/>
      <c r="AL294" s="94"/>
      <c r="AM294" s="94"/>
      <c r="AN294" s="94"/>
      <c r="AO294" s="399"/>
      <c r="AP294" s="399"/>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94"/>
      <c r="CD294" s="94"/>
      <c r="CE294" s="94"/>
      <c r="CF294" s="94"/>
      <c r="CG294" s="94"/>
      <c r="CH294" s="94"/>
      <c r="CI294" s="94"/>
      <c r="CJ294" s="94"/>
      <c r="CK294" s="94"/>
      <c r="CL294" s="94"/>
      <c r="CM294" s="94"/>
      <c r="CN294" s="94"/>
      <c r="CO294" s="94"/>
      <c r="CP294" s="94"/>
      <c r="CQ294" s="94"/>
      <c r="CR294" s="94"/>
      <c r="CS294" s="94"/>
      <c r="CT294" s="94"/>
      <c r="CU294" s="94"/>
      <c r="CV294" s="94"/>
      <c r="CW294" s="94"/>
      <c r="CX294" s="94"/>
      <c r="CY294" s="94"/>
      <c r="CZ294" s="94"/>
      <c r="DA294" s="94"/>
      <c r="DB294" s="94"/>
      <c r="DC294" s="94"/>
    </row>
    <row r="295" spans="2:107" ht="12.75" customHeight="1">
      <c r="B295" s="409" t="str">
        <f t="shared" si="13"/>
        <v>Complete the Retrofit tab to calculate estimated incentives for retrofit projects replacing existing equipment.</v>
      </c>
      <c r="C295" s="246"/>
      <c r="D295" s="246"/>
      <c r="E295" s="247"/>
      <c r="F295" s="247"/>
      <c r="G295" s="247"/>
      <c r="H295" s="247"/>
      <c r="P295" s="247"/>
      <c r="Q295" s="247"/>
      <c r="R295" s="247"/>
      <c r="S295" s="247"/>
      <c r="Y295" s="170"/>
      <c r="Z295" s="170"/>
      <c r="AA295" s="170"/>
      <c r="AB295" s="170"/>
      <c r="AC295" s="170"/>
      <c r="AD295" s="170"/>
      <c r="AE295" s="170"/>
      <c r="AF295" s="170"/>
      <c r="AG295" s="170"/>
      <c r="AH295" s="170"/>
      <c r="AI295" s="9"/>
      <c r="AK295" s="94"/>
      <c r="AL295" s="94"/>
      <c r="AM295" s="94"/>
      <c r="AN295" s="94"/>
      <c r="AO295" s="399"/>
      <c r="AP295" s="399"/>
      <c r="AQ295" s="94"/>
      <c r="AR295" s="94"/>
      <c r="AS295" s="94"/>
      <c r="AT295" s="94"/>
      <c r="AU295" s="94"/>
      <c r="AV295" s="94"/>
      <c r="AW295" s="94"/>
      <c r="AX295" s="94"/>
      <c r="AY295" s="94"/>
      <c r="AZ295" s="94"/>
      <c r="BA295" s="94"/>
      <c r="BB295" s="94"/>
      <c r="BC295" s="94"/>
      <c r="BD295" s="94"/>
      <c r="BE295" s="94"/>
      <c r="BF295" s="94"/>
      <c r="BG295" s="94"/>
      <c r="BH295" s="94"/>
      <c r="BI295" s="94"/>
      <c r="BJ295" s="94"/>
      <c r="BK295" s="94"/>
      <c r="BL295" s="94"/>
      <c r="BM295" s="94"/>
      <c r="BN295" s="94"/>
      <c r="BO295" s="94"/>
      <c r="BP295" s="94"/>
      <c r="BQ295" s="94"/>
      <c r="BR295" s="94"/>
      <c r="BS295" s="94"/>
      <c r="BT295" s="94"/>
      <c r="BU295" s="94"/>
      <c r="BV295" s="94"/>
      <c r="BW295" s="94"/>
      <c r="BX295" s="94"/>
      <c r="BY295" s="94"/>
      <c r="BZ295" s="94"/>
      <c r="CA295" s="94"/>
      <c r="CB295" s="94"/>
      <c r="CC295" s="94"/>
      <c r="CD295" s="94"/>
      <c r="CE295" s="94"/>
      <c r="CF295" s="94"/>
      <c r="CG295" s="94"/>
      <c r="CH295" s="94"/>
      <c r="CI295" s="94"/>
      <c r="CJ295" s="94"/>
      <c r="CK295" s="94"/>
      <c r="CL295" s="94"/>
      <c r="CM295" s="94"/>
      <c r="CN295" s="94"/>
      <c r="CO295" s="94"/>
      <c r="CP295" s="94"/>
      <c r="CQ295" s="94"/>
      <c r="CR295" s="94"/>
      <c r="CS295" s="94"/>
      <c r="CT295" s="94"/>
      <c r="CU295" s="94"/>
      <c r="CV295" s="94"/>
      <c r="CW295" s="94"/>
      <c r="CX295" s="94"/>
      <c r="CY295" s="94"/>
      <c r="CZ295" s="94"/>
      <c r="DA295" s="94"/>
      <c r="DB295" s="94"/>
      <c r="DC295" s="94"/>
    </row>
    <row r="296" spans="2:107" ht="12.75" customHeight="1">
      <c r="B296" s="213" t="str">
        <f t="shared" si="13"/>
        <v>Total Incentive for Dwelling Units</v>
      </c>
      <c r="C296" s="246"/>
      <c r="D296" s="246"/>
      <c r="E296" s="247"/>
      <c r="F296" s="247"/>
      <c r="G296" s="247"/>
      <c r="H296" s="247"/>
      <c r="K296" s="646" t="str">
        <f t="shared" ref="K296:L297" si="15">IF(K71="","",K71)</f>
        <v>$</v>
      </c>
      <c r="L296" s="810">
        <f t="shared" si="15"/>
        <v>0</v>
      </c>
      <c r="M296" s="810"/>
      <c r="N296" s="810"/>
      <c r="O296" s="810"/>
      <c r="P296" s="810"/>
      <c r="Q296" s="247"/>
      <c r="R296" s="247"/>
      <c r="S296" s="247"/>
      <c r="Y296" s="170"/>
      <c r="Z296" s="170"/>
      <c r="AA296" s="170"/>
      <c r="AB296" s="170"/>
      <c r="AC296" s="170"/>
      <c r="AD296" s="170"/>
      <c r="AE296" s="170"/>
      <c r="AF296" s="170"/>
      <c r="AG296" s="170"/>
      <c r="AH296" s="170"/>
      <c r="AI296" s="9"/>
      <c r="AK296" s="94"/>
      <c r="AL296" s="94"/>
      <c r="AM296" s="94"/>
      <c r="AN296" s="94"/>
      <c r="AO296" s="399"/>
      <c r="AP296" s="399"/>
      <c r="AQ296" s="94"/>
      <c r="AR296" s="94"/>
      <c r="AS296" s="94"/>
      <c r="AT296" s="94"/>
      <c r="AU296" s="94"/>
      <c r="AV296" s="9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A296" s="94"/>
      <c r="CB296" s="94"/>
      <c r="CC296" s="94"/>
      <c r="CD296" s="94"/>
      <c r="CE296" s="94"/>
      <c r="CF296" s="94"/>
      <c r="CG296" s="94"/>
      <c r="CH296" s="94"/>
      <c r="CI296" s="94"/>
      <c r="CJ296" s="94"/>
      <c r="CK296" s="94"/>
      <c r="CL296" s="94"/>
      <c r="CM296" s="94"/>
      <c r="CN296" s="94"/>
      <c r="CO296" s="94"/>
      <c r="CP296" s="94"/>
      <c r="CQ296" s="94"/>
      <c r="CR296" s="94"/>
      <c r="CS296" s="94"/>
      <c r="CT296" s="94"/>
      <c r="CU296" s="94"/>
      <c r="CV296" s="94"/>
      <c r="CW296" s="94"/>
      <c r="CX296" s="94"/>
      <c r="CY296" s="94"/>
      <c r="CZ296" s="94"/>
      <c r="DA296" s="94"/>
      <c r="DB296" s="94"/>
      <c r="DC296" s="94"/>
    </row>
    <row r="297" spans="2:107" ht="12.75" customHeight="1">
      <c r="B297" s="213" t="str">
        <f t="shared" si="13"/>
        <v>Total Incentive for Common Areas</v>
      </c>
      <c r="C297" s="246"/>
      <c r="D297" s="246"/>
      <c r="E297" s="247"/>
      <c r="F297" s="247"/>
      <c r="G297" s="247"/>
      <c r="H297" s="247"/>
      <c r="K297" s="646" t="str">
        <f t="shared" ref="K297" si="16">IF(K72="","",K72)</f>
        <v>$</v>
      </c>
      <c r="L297" s="810">
        <f t="shared" si="15"/>
        <v>0</v>
      </c>
      <c r="M297" s="810"/>
      <c r="N297" s="810"/>
      <c r="O297" s="810"/>
      <c r="P297" s="810"/>
      <c r="Q297" s="247"/>
      <c r="R297" s="247"/>
      <c r="S297" s="247"/>
      <c r="Y297" s="170"/>
      <c r="Z297" s="170"/>
      <c r="AA297" s="170"/>
      <c r="AB297" s="170"/>
      <c r="AC297" s="170"/>
      <c r="AD297" s="170"/>
      <c r="AE297" s="170"/>
      <c r="AF297" s="170"/>
      <c r="AG297" s="170"/>
      <c r="AH297" s="170"/>
      <c r="AI297" s="9"/>
      <c r="AK297" s="94"/>
      <c r="AL297" s="94"/>
      <c r="AM297" s="94"/>
      <c r="AN297" s="94"/>
      <c r="AO297" s="399"/>
      <c r="AP297" s="399"/>
      <c r="AQ297" s="94"/>
      <c r="AR297" s="94"/>
      <c r="AS297" s="94"/>
      <c r="AT297" s="94"/>
      <c r="AU297" s="94"/>
      <c r="AV297" s="9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A297" s="94"/>
      <c r="CB297" s="94"/>
      <c r="CC297" s="94"/>
      <c r="CD297" s="94"/>
      <c r="CE297" s="94"/>
      <c r="CF297" s="94"/>
      <c r="CG297" s="94"/>
      <c r="CH297" s="94"/>
      <c r="CI297" s="94"/>
      <c r="CJ297" s="94"/>
      <c r="CK297" s="94"/>
      <c r="CL297" s="94"/>
      <c r="CM297" s="94"/>
      <c r="CN297" s="94"/>
      <c r="CO297" s="94"/>
      <c r="CP297" s="94"/>
      <c r="CQ297" s="94"/>
      <c r="CR297" s="94"/>
      <c r="CS297" s="94"/>
      <c r="CT297" s="94"/>
      <c r="CU297" s="94"/>
      <c r="CV297" s="94"/>
      <c r="CW297" s="94"/>
      <c r="CX297" s="94"/>
      <c r="CY297" s="94"/>
      <c r="CZ297" s="94"/>
      <c r="DA297" s="94"/>
      <c r="DB297" s="94"/>
      <c r="DC297" s="94"/>
    </row>
    <row r="298" spans="2:107" ht="12.75" customHeight="1">
      <c r="B298" s="213"/>
      <c r="C298" s="246"/>
      <c r="D298" s="246"/>
      <c r="E298" s="247"/>
      <c r="F298" s="247"/>
      <c r="G298" s="247"/>
      <c r="H298" s="247"/>
      <c r="P298" s="247"/>
      <c r="Q298" s="247"/>
      <c r="R298" s="247"/>
      <c r="S298" s="247"/>
      <c r="Y298" s="170"/>
      <c r="Z298" s="170"/>
      <c r="AA298" s="170"/>
      <c r="AB298" s="170"/>
      <c r="AC298" s="170"/>
      <c r="AD298" s="170"/>
      <c r="AE298" s="170"/>
      <c r="AF298" s="170"/>
      <c r="AG298" s="170"/>
      <c r="AH298" s="170"/>
      <c r="AI298" s="9"/>
      <c r="AK298" s="94"/>
      <c r="AL298" s="94"/>
      <c r="AM298" s="94"/>
      <c r="AN298" s="94"/>
      <c r="AO298" s="399"/>
      <c r="AP298" s="399"/>
      <c r="AQ298" s="94"/>
      <c r="AR298" s="94"/>
      <c r="AS298" s="94"/>
      <c r="AT298" s="94"/>
      <c r="AU298" s="94"/>
      <c r="AV298" s="9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94"/>
      <c r="CD298" s="94"/>
      <c r="CE298" s="94"/>
      <c r="CF298" s="94"/>
      <c r="CG298" s="94"/>
      <c r="CH298" s="94"/>
      <c r="CI298" s="94"/>
      <c r="CJ298" s="94"/>
      <c r="CK298" s="94"/>
      <c r="CL298" s="94"/>
      <c r="CM298" s="94"/>
      <c r="CN298" s="94"/>
      <c r="CO298" s="94"/>
      <c r="CP298" s="94"/>
      <c r="CQ298" s="94"/>
      <c r="CR298" s="94"/>
      <c r="CS298" s="94"/>
      <c r="CT298" s="94"/>
      <c r="CU298" s="94"/>
      <c r="CV298" s="94"/>
      <c r="CW298" s="94"/>
      <c r="CX298" s="94"/>
      <c r="CY298" s="94"/>
      <c r="CZ298" s="94"/>
      <c r="DA298" s="94"/>
      <c r="DB298" s="94"/>
      <c r="DC298" s="94"/>
    </row>
    <row r="299" spans="2:107" ht="12.75" customHeight="1">
      <c r="B299" s="266" t="str">
        <f t="shared" si="13"/>
        <v>Total Incentives:</v>
      </c>
      <c r="C299" s="246"/>
      <c r="D299" s="246"/>
      <c r="E299" s="247"/>
      <c r="F299" s="247"/>
      <c r="G299" s="247"/>
      <c r="H299" s="247"/>
      <c r="K299" s="646" t="str">
        <f t="shared" ref="K299:L300" si="17">IF(K74="","",K74)</f>
        <v>$</v>
      </c>
      <c r="L299" s="810">
        <f t="shared" si="17"/>
        <v>0</v>
      </c>
      <c r="M299" s="810"/>
      <c r="N299" s="810"/>
      <c r="O299" s="810"/>
      <c r="P299" s="810"/>
      <c r="Q299" s="247"/>
      <c r="R299" s="247"/>
      <c r="S299" s="247"/>
      <c r="Y299" s="170"/>
      <c r="Z299" s="170"/>
      <c r="AA299" s="170"/>
      <c r="AB299" s="170"/>
      <c r="AC299" s="170"/>
      <c r="AD299" s="170"/>
      <c r="AE299" s="170"/>
      <c r="AF299" s="170"/>
      <c r="AG299" s="170"/>
      <c r="AH299" s="170"/>
      <c r="AI299" s="9"/>
      <c r="AK299" s="94"/>
      <c r="AL299" s="94"/>
      <c r="AM299" s="94"/>
      <c r="AN299" s="94"/>
      <c r="AO299" s="399"/>
      <c r="AP299" s="399"/>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94"/>
      <c r="CD299" s="94"/>
      <c r="CE299" s="94"/>
      <c r="CF299" s="94"/>
      <c r="CG299" s="94"/>
      <c r="CH299" s="94"/>
      <c r="CI299" s="94"/>
      <c r="CJ299" s="94"/>
      <c r="CK299" s="94"/>
      <c r="CL299" s="94"/>
      <c r="CM299" s="94"/>
      <c r="CN299" s="94"/>
      <c r="CO299" s="94"/>
      <c r="CP299" s="94"/>
      <c r="CQ299" s="94"/>
      <c r="CR299" s="94"/>
      <c r="CS299" s="94"/>
      <c r="CT299" s="94"/>
      <c r="CU299" s="94"/>
      <c r="CV299" s="94"/>
      <c r="CW299" s="94"/>
      <c r="CX299" s="94"/>
      <c r="CY299" s="94"/>
      <c r="CZ299" s="94"/>
      <c r="DA299" s="94"/>
      <c r="DB299" s="94"/>
      <c r="DC299" s="94"/>
    </row>
    <row r="300" spans="2:107" ht="12.75" customHeight="1">
      <c r="B300" s="266" t="str">
        <f t="shared" si="13"/>
        <v>Professional Assistance Incentive:</v>
      </c>
      <c r="C300" s="246"/>
      <c r="D300" s="246"/>
      <c r="E300" s="247"/>
      <c r="F300" s="247"/>
      <c r="G300" s="247"/>
      <c r="H300" s="247"/>
      <c r="K300" s="646" t="str">
        <f t="shared" ref="K300" si="18">IF(K75="","",K75)</f>
        <v>$</v>
      </c>
      <c r="L300" s="810">
        <f t="shared" si="17"/>
        <v>0</v>
      </c>
      <c r="M300" s="810"/>
      <c r="N300" s="810"/>
      <c r="O300" s="810"/>
      <c r="P300" s="810"/>
      <c r="Q300" s="247"/>
      <c r="R300" s="247"/>
      <c r="S300" s="247"/>
      <c r="Y300" s="170"/>
      <c r="Z300" s="170"/>
      <c r="AA300" s="170"/>
      <c r="AB300" s="170"/>
      <c r="AC300" s="170"/>
      <c r="AD300" s="170"/>
      <c r="AE300" s="170"/>
      <c r="AF300" s="170"/>
      <c r="AG300" s="170"/>
      <c r="AH300" s="170"/>
      <c r="AI300" s="9"/>
      <c r="AK300" s="94"/>
      <c r="AL300" s="94"/>
      <c r="AM300" s="94"/>
      <c r="AN300" s="94"/>
      <c r="AO300" s="399"/>
      <c r="AP300" s="399"/>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94"/>
      <c r="CD300" s="94"/>
      <c r="CE300" s="94"/>
      <c r="CF300" s="94"/>
      <c r="CG300" s="94"/>
      <c r="CH300" s="94"/>
      <c r="CI300" s="94"/>
      <c r="CJ300" s="94"/>
      <c r="CK300" s="94"/>
      <c r="CL300" s="94"/>
      <c r="CM300" s="94"/>
      <c r="CN300" s="94"/>
      <c r="CO300" s="94"/>
      <c r="CP300" s="94"/>
      <c r="CQ300" s="94"/>
      <c r="CR300" s="94"/>
      <c r="CS300" s="94"/>
      <c r="CT300" s="94"/>
      <c r="CU300" s="94"/>
      <c r="CV300" s="94"/>
      <c r="CW300" s="94"/>
      <c r="CX300" s="94"/>
      <c r="CY300" s="94"/>
      <c r="CZ300" s="94"/>
      <c r="DA300" s="94"/>
      <c r="DB300" s="94"/>
      <c r="DC300" s="94"/>
    </row>
    <row r="301" spans="2:107" ht="3.6" customHeight="1">
      <c r="B301" s="213" t="str">
        <f t="shared" si="13"/>
        <v/>
      </c>
      <c r="C301" s="246"/>
      <c r="D301" s="246"/>
      <c r="E301" s="247"/>
      <c r="F301" s="247"/>
      <c r="G301" s="247"/>
      <c r="H301" s="247"/>
      <c r="P301" s="247"/>
      <c r="Q301" s="247"/>
      <c r="R301" s="247"/>
      <c r="S301" s="247"/>
      <c r="Y301" s="170"/>
      <c r="Z301" s="170"/>
      <c r="AA301" s="170"/>
      <c r="AB301" s="170"/>
      <c r="AC301" s="170"/>
      <c r="AD301" s="170"/>
      <c r="AE301" s="170"/>
      <c r="AF301" s="170"/>
      <c r="AG301" s="170"/>
      <c r="AH301" s="170"/>
      <c r="AI301" s="9"/>
      <c r="AK301" s="94"/>
      <c r="AL301" s="94"/>
      <c r="AM301" s="94"/>
      <c r="AN301" s="94"/>
      <c r="AO301" s="399"/>
      <c r="AP301" s="399"/>
      <c r="AQ301" s="94"/>
      <c r="AR301" s="94"/>
      <c r="AS301" s="94"/>
      <c r="AT301" s="94"/>
      <c r="AU301" s="94"/>
      <c r="AV301" s="94"/>
      <c r="AW301" s="94"/>
      <c r="AX301" s="94"/>
      <c r="AY301" s="94"/>
      <c r="AZ301" s="94"/>
      <c r="BA301" s="94"/>
      <c r="BB301" s="94"/>
      <c r="BC301" s="94"/>
      <c r="BD301" s="94"/>
      <c r="BE301" s="94"/>
      <c r="BF301" s="94"/>
      <c r="BG301" s="94"/>
      <c r="BH301" s="94"/>
      <c r="BI301" s="94"/>
      <c r="BJ301" s="94"/>
      <c r="BK301" s="94"/>
      <c r="BL301" s="94"/>
      <c r="BM301" s="94"/>
      <c r="BN301" s="94"/>
      <c r="BO301" s="94"/>
      <c r="BP301" s="94"/>
      <c r="BQ301" s="94"/>
      <c r="BR301" s="94"/>
      <c r="BS301" s="94"/>
      <c r="BT301" s="94"/>
      <c r="BU301" s="94"/>
      <c r="BV301" s="94"/>
      <c r="BW301" s="94"/>
      <c r="BX301" s="94"/>
      <c r="BY301" s="94"/>
      <c r="BZ301" s="94"/>
      <c r="CA301" s="94"/>
      <c r="CB301" s="94"/>
      <c r="CC301" s="94"/>
      <c r="CD301" s="94"/>
      <c r="CE301" s="94"/>
      <c r="CF301" s="94"/>
      <c r="CG301" s="94"/>
      <c r="CH301" s="94"/>
      <c r="CI301" s="94"/>
      <c r="CJ301" s="94"/>
      <c r="CK301" s="94"/>
      <c r="CL301" s="94"/>
      <c r="CM301" s="94"/>
      <c r="CN301" s="94"/>
      <c r="CO301" s="94"/>
      <c r="CP301" s="94"/>
      <c r="CQ301" s="94"/>
      <c r="CR301" s="94"/>
      <c r="CS301" s="94"/>
      <c r="CT301" s="94"/>
      <c r="CU301" s="94"/>
      <c r="CV301" s="94"/>
      <c r="CW301" s="94"/>
      <c r="CX301" s="94"/>
      <c r="CY301" s="94"/>
      <c r="CZ301" s="94"/>
      <c r="DA301" s="94"/>
      <c r="DB301" s="94"/>
      <c r="DC301" s="94"/>
    </row>
    <row r="302" spans="2:107" ht="3.6" customHeight="1">
      <c r="B302" s="213" t="str">
        <f t="shared" si="13"/>
        <v/>
      </c>
      <c r="C302" s="246"/>
      <c r="D302" s="246"/>
      <c r="E302" s="247"/>
      <c r="F302" s="247"/>
      <c r="G302" s="247"/>
      <c r="H302" s="247"/>
      <c r="P302" s="247"/>
      <c r="Q302" s="247"/>
      <c r="R302" s="247"/>
      <c r="S302" s="247"/>
      <c r="Y302" s="170"/>
      <c r="Z302" s="170"/>
      <c r="AA302" s="170"/>
      <c r="AB302" s="170"/>
      <c r="AC302" s="170"/>
      <c r="AD302" s="170"/>
      <c r="AE302" s="170"/>
      <c r="AF302" s="170"/>
      <c r="AG302" s="170"/>
      <c r="AH302" s="170"/>
      <c r="AI302" s="9"/>
      <c r="AK302" s="94"/>
      <c r="AL302" s="94"/>
      <c r="AM302" s="94"/>
      <c r="AN302" s="94"/>
      <c r="AO302" s="399"/>
      <c r="AP302" s="399"/>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94"/>
      <c r="CD302" s="94"/>
      <c r="CE302" s="94"/>
      <c r="CF302" s="94"/>
      <c r="CG302" s="94"/>
      <c r="CH302" s="94"/>
      <c r="CI302" s="94"/>
      <c r="CJ302" s="94"/>
      <c r="CK302" s="94"/>
      <c r="CL302" s="94"/>
      <c r="CM302" s="94"/>
      <c r="CN302" s="94"/>
      <c r="CO302" s="94"/>
      <c r="CP302" s="94"/>
      <c r="CQ302" s="94"/>
      <c r="CR302" s="94"/>
      <c r="CS302" s="94"/>
      <c r="CT302" s="94"/>
      <c r="CU302" s="94"/>
      <c r="CV302" s="94"/>
      <c r="CW302" s="94"/>
      <c r="CX302" s="94"/>
      <c r="CY302" s="94"/>
      <c r="CZ302" s="94"/>
      <c r="DA302" s="94"/>
      <c r="DB302" s="94"/>
      <c r="DC302" s="94"/>
    </row>
    <row r="303" spans="2:107" ht="3.6" customHeight="1">
      <c r="B303" s="213" t="str">
        <f t="shared" si="13"/>
        <v/>
      </c>
      <c r="C303" s="246"/>
      <c r="D303" s="246"/>
      <c r="E303" s="247"/>
      <c r="F303" s="247"/>
      <c r="G303" s="247"/>
      <c r="H303" s="247"/>
      <c r="P303" s="247"/>
      <c r="Q303" s="247"/>
      <c r="R303" s="247"/>
      <c r="S303" s="247"/>
      <c r="Y303" s="170"/>
      <c r="Z303" s="170"/>
      <c r="AA303" s="170"/>
      <c r="AB303" s="170"/>
      <c r="AC303" s="170"/>
      <c r="AD303" s="170"/>
      <c r="AE303" s="170"/>
      <c r="AF303" s="170"/>
      <c r="AG303" s="170"/>
      <c r="AH303" s="170"/>
      <c r="AI303" s="9"/>
      <c r="AK303" s="94"/>
      <c r="AL303" s="94"/>
      <c r="AM303" s="94"/>
      <c r="AN303" s="94"/>
      <c r="AO303" s="399"/>
      <c r="AP303" s="399"/>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94"/>
      <c r="CD303" s="94"/>
      <c r="CE303" s="94"/>
      <c r="CF303" s="94"/>
      <c r="CG303" s="94"/>
      <c r="CH303" s="94"/>
      <c r="CI303" s="94"/>
      <c r="CJ303" s="94"/>
      <c r="CK303" s="94"/>
      <c r="CL303" s="94"/>
      <c r="CM303" s="94"/>
      <c r="CN303" s="94"/>
      <c r="CO303" s="94"/>
      <c r="CP303" s="94"/>
      <c r="CQ303" s="94"/>
      <c r="CR303" s="94"/>
      <c r="CS303" s="94"/>
      <c r="CT303" s="94"/>
      <c r="CU303" s="94"/>
      <c r="CV303" s="94"/>
      <c r="CW303" s="94"/>
      <c r="CX303" s="94"/>
      <c r="CY303" s="94"/>
      <c r="CZ303" s="94"/>
      <c r="DA303" s="94"/>
      <c r="DB303" s="94"/>
      <c r="DC303" s="94"/>
    </row>
    <row r="304" spans="2:107" ht="12.75" customHeight="1">
      <c r="B304" s="6" t="str">
        <f>IF(B79="","",B79)</f>
        <v>Applicant Agreement</v>
      </c>
      <c r="C304" s="246"/>
      <c r="D304" s="246"/>
      <c r="E304" s="247"/>
      <c r="F304" s="247"/>
      <c r="G304" s="247"/>
      <c r="H304" s="247"/>
      <c r="P304" s="247"/>
      <c r="Q304" s="247"/>
      <c r="R304" s="247"/>
      <c r="S304" s="247"/>
      <c r="Y304" s="170"/>
      <c r="Z304" s="170"/>
      <c r="AA304" s="170"/>
      <c r="AB304" s="170"/>
      <c r="AC304" s="170"/>
      <c r="AD304" s="170"/>
      <c r="AE304" s="170"/>
      <c r="AF304" s="170"/>
      <c r="AG304" s="170"/>
      <c r="AH304" s="170"/>
      <c r="AI304" s="9"/>
      <c r="AK304" s="94"/>
      <c r="AL304" s="94"/>
      <c r="AM304" s="94"/>
      <c r="AN304" s="94"/>
      <c r="AO304" s="399"/>
      <c r="AP304" s="399"/>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94"/>
      <c r="CD304" s="94"/>
      <c r="CE304" s="94"/>
      <c r="CF304" s="94"/>
      <c r="CG304" s="94"/>
      <c r="CH304" s="94"/>
      <c r="CI304" s="94"/>
      <c r="CJ304" s="94"/>
      <c r="CK304" s="94"/>
      <c r="CL304" s="94"/>
      <c r="CM304" s="94"/>
      <c r="CN304" s="94"/>
      <c r="CO304" s="94"/>
      <c r="CP304" s="94"/>
      <c r="CQ304" s="94"/>
      <c r="CR304" s="94"/>
      <c r="CS304" s="94"/>
      <c r="CT304" s="94"/>
      <c r="CU304" s="94"/>
      <c r="CV304" s="94"/>
      <c r="CW304" s="94"/>
      <c r="CX304" s="94"/>
      <c r="CY304" s="94"/>
      <c r="CZ304" s="94"/>
      <c r="DA304" s="94"/>
      <c r="DB304" s="94"/>
      <c r="DC304" s="94"/>
    </row>
    <row r="305" spans="1:266" ht="12.75" customHeight="1">
      <c r="B305" s="827" t="str">
        <f>IF(B80="","",B80)</f>
        <v xml:space="preserve">I, the undersigned, declare that I am a duly authorized representative of the owner of the building described above, and that I have read and agree to comply with the Program Terms and Conditions found at https://www.idahopower.com/ways-to-save/savings-for-your-business/terms-conditions/.  I also agree that my project is complete, meets all the terms and conditions of the program and meets all other applicable specifications listed on the attached worksheet(s). </v>
      </c>
      <c r="C305" s="827"/>
      <c r="D305" s="827"/>
      <c r="E305" s="827"/>
      <c r="F305" s="827"/>
      <c r="G305" s="827"/>
      <c r="H305" s="827"/>
      <c r="I305" s="827"/>
      <c r="J305" s="827"/>
      <c r="K305" s="827"/>
      <c r="L305" s="827"/>
      <c r="M305" s="827"/>
      <c r="N305" s="827"/>
      <c r="O305" s="827"/>
      <c r="P305" s="827"/>
      <c r="Q305" s="827"/>
      <c r="R305" s="827"/>
      <c r="S305" s="827"/>
      <c r="T305" s="827"/>
      <c r="U305" s="827"/>
      <c r="V305" s="827"/>
      <c r="W305" s="827"/>
      <c r="X305" s="827"/>
      <c r="Y305" s="827"/>
      <c r="Z305" s="827"/>
      <c r="AA305" s="827"/>
      <c r="AB305" s="827"/>
      <c r="AC305" s="827"/>
      <c r="AD305" s="827"/>
      <c r="AE305" s="827"/>
      <c r="AF305" s="827"/>
      <c r="AG305" s="827"/>
      <c r="AH305" s="827"/>
      <c r="AI305" s="827"/>
      <c r="AK305" s="94"/>
      <c r="AL305" s="94"/>
      <c r="AM305" s="94"/>
      <c r="AN305" s="94"/>
      <c r="AO305" s="399"/>
      <c r="AP305" s="399"/>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94"/>
      <c r="CD305" s="94"/>
      <c r="CE305" s="94"/>
      <c r="CF305" s="94"/>
      <c r="CG305" s="94"/>
      <c r="CH305" s="94"/>
      <c r="CI305" s="94"/>
      <c r="CJ305" s="94"/>
      <c r="CK305" s="94"/>
      <c r="CL305" s="94"/>
      <c r="CM305" s="94"/>
      <c r="CN305" s="94"/>
      <c r="CO305" s="94"/>
      <c r="CP305" s="94"/>
      <c r="CQ305" s="94"/>
      <c r="CR305" s="94"/>
      <c r="CS305" s="94"/>
      <c r="CT305" s="94"/>
      <c r="CU305" s="94"/>
      <c r="CV305" s="94"/>
      <c r="CW305" s="94"/>
      <c r="CX305" s="94"/>
      <c r="CY305" s="94"/>
      <c r="CZ305" s="94"/>
      <c r="DA305" s="94"/>
      <c r="DB305" s="94"/>
      <c r="DC305" s="94"/>
    </row>
    <row r="306" spans="1:266" s="259" customFormat="1" ht="15" customHeight="1">
      <c r="B306" s="827"/>
      <c r="C306" s="827"/>
      <c r="D306" s="827"/>
      <c r="E306" s="827"/>
      <c r="F306" s="827"/>
      <c r="G306" s="827"/>
      <c r="H306" s="827"/>
      <c r="I306" s="827"/>
      <c r="J306" s="827"/>
      <c r="K306" s="827"/>
      <c r="L306" s="827"/>
      <c r="M306" s="827"/>
      <c r="N306" s="827"/>
      <c r="O306" s="827"/>
      <c r="P306" s="827"/>
      <c r="Q306" s="827"/>
      <c r="R306" s="827"/>
      <c r="S306" s="827"/>
      <c r="T306" s="827"/>
      <c r="U306" s="827"/>
      <c r="V306" s="827"/>
      <c r="W306" s="827"/>
      <c r="X306" s="827"/>
      <c r="Y306" s="827"/>
      <c r="Z306" s="827"/>
      <c r="AA306" s="827"/>
      <c r="AB306" s="827"/>
      <c r="AC306" s="827"/>
      <c r="AD306" s="827"/>
      <c r="AE306" s="827"/>
      <c r="AF306" s="827"/>
      <c r="AG306" s="827"/>
      <c r="AH306" s="827"/>
      <c r="AI306" s="827"/>
      <c r="AJ306" s="1"/>
      <c r="AK306" s="94"/>
      <c r="AL306" s="94"/>
      <c r="AM306" s="94"/>
      <c r="AN306" s="94"/>
      <c r="AO306" s="399"/>
      <c r="AP306" s="399"/>
      <c r="AQ306" s="94"/>
      <c r="AR306" s="94"/>
      <c r="AS306" s="94"/>
      <c r="AT306" s="94"/>
      <c r="AU306" s="94"/>
      <c r="AV306" s="260"/>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row>
    <row r="307" spans="1:266" ht="6.75" customHeight="1">
      <c r="B307" s="827"/>
      <c r="C307" s="827"/>
      <c r="D307" s="827"/>
      <c r="E307" s="827"/>
      <c r="F307" s="827"/>
      <c r="G307" s="827"/>
      <c r="H307" s="827"/>
      <c r="I307" s="827"/>
      <c r="J307" s="827"/>
      <c r="K307" s="827"/>
      <c r="L307" s="827"/>
      <c r="M307" s="827"/>
      <c r="N307" s="827"/>
      <c r="O307" s="827"/>
      <c r="P307" s="827"/>
      <c r="Q307" s="827"/>
      <c r="R307" s="827"/>
      <c r="S307" s="827"/>
      <c r="T307" s="827"/>
      <c r="U307" s="827"/>
      <c r="V307" s="827"/>
      <c r="W307" s="827"/>
      <c r="X307" s="827"/>
      <c r="Y307" s="827"/>
      <c r="Z307" s="827"/>
      <c r="AA307" s="827"/>
      <c r="AB307" s="827"/>
      <c r="AC307" s="827"/>
      <c r="AD307" s="827"/>
      <c r="AE307" s="827"/>
      <c r="AF307" s="827"/>
      <c r="AG307" s="827"/>
      <c r="AH307" s="827"/>
      <c r="AI307" s="827"/>
      <c r="AK307" s="94"/>
      <c r="AL307" s="94"/>
      <c r="AM307" s="94"/>
      <c r="AN307" s="94"/>
      <c r="AO307" s="399"/>
      <c r="AP307" s="399"/>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94"/>
      <c r="CD307" s="94"/>
      <c r="CE307" s="94"/>
      <c r="CF307" s="94"/>
      <c r="CG307" s="94"/>
      <c r="CH307" s="94"/>
      <c r="CI307" s="94"/>
      <c r="CJ307" s="94"/>
      <c r="CK307" s="94"/>
      <c r="CL307" s="94"/>
      <c r="CM307" s="94"/>
      <c r="CN307" s="94"/>
      <c r="CO307" s="94"/>
      <c r="CP307" s="94"/>
      <c r="CQ307" s="94"/>
      <c r="CR307" s="94"/>
      <c r="CS307" s="94"/>
      <c r="CT307" s="94"/>
      <c r="CU307" s="94"/>
      <c r="CV307" s="94"/>
      <c r="CW307" s="94"/>
      <c r="CX307" s="94"/>
      <c r="CY307" s="94"/>
      <c r="CZ307" s="94"/>
      <c r="DA307" s="94"/>
      <c r="DB307" s="94"/>
      <c r="DC307" s="94"/>
    </row>
    <row r="308" spans="1:266" ht="12.75" customHeight="1">
      <c r="A308" s="259"/>
      <c r="B308" s="9" t="str">
        <f>IF(B83="","",B83)</f>
        <v>Applicant Digital Signature:</v>
      </c>
      <c r="C308" s="247"/>
      <c r="D308" s="247"/>
      <c r="E308" s="247"/>
      <c r="F308" s="247"/>
      <c r="G308" s="247"/>
      <c r="H308" s="247"/>
      <c r="I308" s="247"/>
      <c r="J308" s="247"/>
      <c r="K308" s="247"/>
      <c r="L308" s="247"/>
      <c r="M308" s="247"/>
      <c r="N308" s="247"/>
      <c r="O308" s="247"/>
      <c r="P308" s="247"/>
      <c r="Q308" s="247"/>
      <c r="R308" s="247"/>
      <c r="S308" s="247"/>
      <c r="T308" s="247"/>
      <c r="U308" s="170"/>
      <c r="V308" s="170"/>
      <c r="W308" s="170"/>
      <c r="X308" s="170"/>
      <c r="Y308" s="170"/>
      <c r="Z308" s="170"/>
      <c r="AA308" s="170"/>
      <c r="AB308" s="170"/>
      <c r="AC308" s="170"/>
      <c r="AD308" s="170"/>
      <c r="AE308" s="170"/>
      <c r="AF308" s="170"/>
      <c r="AG308" s="170"/>
      <c r="AH308" s="170"/>
      <c r="AI308" s="9"/>
      <c r="AK308" s="94"/>
      <c r="AL308" s="94"/>
      <c r="AM308" s="94"/>
      <c r="AN308" s="94"/>
      <c r="AO308" s="399"/>
      <c r="AP308" s="399"/>
      <c r="AQ308" s="94"/>
      <c r="AR308" s="94"/>
      <c r="AS308" s="94"/>
      <c r="AT308" s="94"/>
      <c r="AU308" s="94"/>
      <c r="AV308" s="100"/>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A308" s="94"/>
      <c r="CB308" s="94"/>
      <c r="CC308" s="94"/>
      <c r="CD308" s="94"/>
      <c r="CE308" s="94"/>
      <c r="CF308" s="94"/>
      <c r="CG308" s="94"/>
      <c r="CH308" s="94"/>
      <c r="CI308" s="94"/>
      <c r="CJ308" s="94"/>
      <c r="CK308" s="94"/>
      <c r="CL308" s="94"/>
      <c r="CM308" s="94"/>
      <c r="CN308" s="94"/>
      <c r="CO308" s="94"/>
      <c r="CP308" s="94"/>
      <c r="CQ308" s="94"/>
      <c r="CR308" s="94"/>
      <c r="CS308" s="94"/>
      <c r="CT308" s="94"/>
      <c r="CU308" s="94"/>
      <c r="CV308" s="94"/>
      <c r="CW308" s="94"/>
      <c r="CX308" s="94"/>
      <c r="CY308" s="94"/>
      <c r="CZ308" s="94"/>
      <c r="DA308" s="94"/>
      <c r="DB308" s="94"/>
      <c r="DC308" s="94"/>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c r="HA308" s="10"/>
      <c r="HB308" s="10"/>
      <c r="HC308" s="10"/>
      <c r="HD308" s="10"/>
      <c r="HE308" s="10"/>
      <c r="HF308" s="10"/>
      <c r="HG308" s="10"/>
      <c r="HH308" s="10"/>
      <c r="HI308" s="10"/>
      <c r="HJ308" s="10"/>
      <c r="HK308" s="10"/>
      <c r="HL308" s="10"/>
      <c r="HM308" s="10"/>
      <c r="HN308" s="10"/>
      <c r="HO308" s="10"/>
      <c r="HP308" s="10"/>
      <c r="HQ308" s="10"/>
      <c r="HR308" s="10"/>
      <c r="HS308" s="10"/>
      <c r="HT308" s="10"/>
      <c r="HU308" s="10"/>
      <c r="HV308" s="10"/>
      <c r="HW308" s="10"/>
      <c r="HX308" s="10"/>
      <c r="HY308" s="10"/>
      <c r="HZ308" s="10"/>
      <c r="IA308" s="10"/>
      <c r="IB308" s="10"/>
      <c r="IC308" s="10"/>
      <c r="ID308" s="10"/>
      <c r="IE308" s="10"/>
      <c r="IF308" s="10"/>
      <c r="IG308" s="10"/>
      <c r="IH308" s="10"/>
      <c r="II308" s="10"/>
      <c r="IJ308" s="10"/>
      <c r="IK308" s="10"/>
      <c r="IL308" s="10"/>
      <c r="IM308" s="10"/>
      <c r="IN308" s="10"/>
      <c r="IO308" s="10"/>
      <c r="IP308" s="10"/>
      <c r="IQ308" s="10"/>
      <c r="IR308" s="10"/>
      <c r="IS308" s="10"/>
      <c r="IT308" s="10"/>
      <c r="IU308" s="10"/>
      <c r="IV308" s="10"/>
      <c r="IW308" s="10"/>
      <c r="IX308" s="10"/>
      <c r="IY308" s="10"/>
      <c r="IZ308" s="10"/>
      <c r="JA308" s="10"/>
      <c r="JB308" s="10"/>
      <c r="JC308" s="10"/>
      <c r="JD308" s="10"/>
      <c r="JE308" s="10"/>
      <c r="JF308" s="10"/>
    </row>
    <row r="309" spans="1:266" ht="12.75" customHeight="1">
      <c r="A309" s="259"/>
      <c r="B309" s="6"/>
      <c r="C309" s="647" t="str">
        <f>IF(C84="","",C84)</f>
        <v>By typing your name in the box below you are electronically signing the application, subject to the "Applicant Agreement" above.</v>
      </c>
      <c r="D309" s="247"/>
      <c r="E309" s="247"/>
      <c r="F309" s="247"/>
      <c r="G309" s="247"/>
      <c r="H309" s="247"/>
      <c r="I309" s="247"/>
      <c r="J309" s="247"/>
      <c r="K309" s="247"/>
      <c r="L309" s="247"/>
      <c r="M309" s="247"/>
      <c r="N309" s="247"/>
      <c r="O309" s="247"/>
      <c r="P309" s="247"/>
      <c r="Q309" s="247"/>
      <c r="R309" s="247"/>
      <c r="S309" s="247"/>
      <c r="T309" s="247"/>
      <c r="U309" s="170"/>
      <c r="V309" s="170"/>
      <c r="W309" s="170"/>
      <c r="X309" s="170"/>
      <c r="Y309" s="170"/>
      <c r="Z309" s="170"/>
      <c r="AA309" s="170"/>
      <c r="AB309" s="170"/>
      <c r="AC309" s="170"/>
      <c r="AD309" s="170"/>
      <c r="AE309" s="170"/>
      <c r="AF309" s="170"/>
      <c r="AG309" s="170"/>
      <c r="AH309" s="170"/>
      <c r="AI309" s="9"/>
      <c r="AK309" s="94"/>
      <c r="AL309" s="94"/>
      <c r="AM309" s="94"/>
      <c r="AN309" s="94"/>
      <c r="AO309" s="399"/>
      <c r="AP309" s="399"/>
      <c r="AQ309" s="94"/>
      <c r="AR309" s="94"/>
      <c r="AS309" s="94"/>
      <c r="AT309" s="94"/>
      <c r="AU309" s="94"/>
      <c r="AV309" s="100"/>
      <c r="AW309" s="94"/>
      <c r="AX309" s="94"/>
      <c r="AY309" s="94"/>
      <c r="AZ309" s="94"/>
      <c r="BA309" s="94"/>
      <c r="BB309" s="94"/>
      <c r="BC309" s="94"/>
      <c r="BD309" s="94"/>
      <c r="BE309" s="94"/>
      <c r="BF309" s="94"/>
      <c r="BG309" s="94"/>
      <c r="BH309" s="94"/>
      <c r="BI309" s="94"/>
      <c r="BJ309" s="94"/>
      <c r="BK309" s="94"/>
      <c r="BL309" s="94"/>
      <c r="BM309" s="94"/>
      <c r="BN309" s="94"/>
      <c r="BO309" s="94"/>
      <c r="BP309" s="94"/>
      <c r="BQ309" s="94"/>
      <c r="BR309" s="94"/>
      <c r="BS309" s="94"/>
      <c r="BT309" s="94"/>
      <c r="BU309" s="94"/>
      <c r="BV309" s="94"/>
      <c r="BW309" s="94"/>
      <c r="BX309" s="94"/>
      <c r="BY309" s="94"/>
      <c r="BZ309" s="94"/>
      <c r="CA309" s="94"/>
      <c r="CB309" s="94"/>
      <c r="CC309" s="94"/>
      <c r="CD309" s="94"/>
      <c r="CE309" s="94"/>
      <c r="CF309" s="94"/>
      <c r="CG309" s="94"/>
      <c r="CH309" s="94"/>
      <c r="CI309" s="94"/>
      <c r="CJ309" s="94"/>
      <c r="CK309" s="94"/>
      <c r="CL309" s="94"/>
      <c r="CM309" s="94"/>
      <c r="CN309" s="94"/>
      <c r="CO309" s="94"/>
      <c r="CP309" s="94"/>
      <c r="CQ309" s="94"/>
      <c r="CR309" s="94"/>
      <c r="CS309" s="94"/>
      <c r="CT309" s="94"/>
      <c r="CU309" s="94"/>
      <c r="CV309" s="94"/>
      <c r="CW309" s="94"/>
      <c r="CX309" s="94"/>
      <c r="CY309" s="94"/>
      <c r="CZ309" s="94"/>
      <c r="DA309" s="94"/>
      <c r="DB309" s="94"/>
      <c r="DC309" s="94"/>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c r="HQ309" s="10"/>
      <c r="HR309" s="10"/>
      <c r="HS309" s="10"/>
      <c r="HT309" s="10"/>
      <c r="HU309" s="10"/>
      <c r="HV309" s="10"/>
      <c r="HW309" s="10"/>
      <c r="HX309" s="10"/>
      <c r="HY309" s="10"/>
      <c r="HZ309" s="10"/>
      <c r="IA309" s="10"/>
      <c r="IB309" s="10"/>
      <c r="IC309" s="10"/>
      <c r="ID309" s="10"/>
      <c r="IE309" s="10"/>
      <c r="IF309" s="10"/>
      <c r="IG309" s="10"/>
      <c r="IH309" s="10"/>
      <c r="II309" s="10"/>
      <c r="IJ309" s="10"/>
      <c r="IK309" s="10"/>
      <c r="IL309" s="10"/>
      <c r="IM309" s="10"/>
      <c r="IN309" s="10"/>
      <c r="IO309" s="10"/>
      <c r="IP309" s="10"/>
      <c r="IQ309" s="10"/>
      <c r="IR309" s="10"/>
      <c r="IS309" s="10"/>
      <c r="IT309" s="10"/>
      <c r="IU309" s="10"/>
      <c r="IV309" s="10"/>
      <c r="IW309" s="10"/>
      <c r="IX309" s="10"/>
      <c r="IY309" s="10"/>
      <c r="IZ309" s="10"/>
      <c r="JA309" s="10"/>
      <c r="JB309" s="10"/>
      <c r="JC309" s="10"/>
      <c r="JD309" s="10"/>
      <c r="JE309" s="10"/>
      <c r="JF309" s="10"/>
    </row>
    <row r="310" spans="1:266" ht="10.9" customHeight="1">
      <c r="B310" s="261"/>
      <c r="C310" s="264"/>
      <c r="D310" s="19"/>
      <c r="E310" s="19"/>
      <c r="F310" s="19"/>
      <c r="G310" s="19"/>
      <c r="H310" s="19"/>
      <c r="I310" s="249"/>
      <c r="J310" s="249"/>
      <c r="K310" s="262"/>
      <c r="L310" s="262"/>
      <c r="M310" s="249"/>
      <c r="N310" s="262"/>
      <c r="O310" s="262"/>
      <c r="P310" s="249"/>
      <c r="Q310" s="262"/>
      <c r="R310" s="262"/>
      <c r="S310" s="249"/>
      <c r="T310" s="249"/>
      <c r="U310" s="262"/>
      <c r="V310" s="251"/>
      <c r="W310" s="251"/>
      <c r="X310" s="251"/>
      <c r="Y310" s="251"/>
      <c r="Z310" s="251"/>
      <c r="AA310" s="251"/>
      <c r="AB310" s="251"/>
      <c r="AC310" s="251"/>
      <c r="AD310" s="251"/>
      <c r="AE310" s="263"/>
      <c r="AF310" s="241" t="s">
        <v>152</v>
      </c>
      <c r="AG310" s="241"/>
      <c r="AH310" s="241"/>
      <c r="AI310" s="242"/>
      <c r="AK310" s="94"/>
      <c r="AL310" s="94"/>
      <c r="AM310" s="94"/>
      <c r="AN310" s="94"/>
      <c r="AO310" s="399"/>
      <c r="AP310" s="399"/>
      <c r="AQ310" s="94"/>
      <c r="AR310" s="94"/>
      <c r="AS310" s="94"/>
      <c r="AT310" s="94"/>
      <c r="AU310" s="94"/>
      <c r="AV310" s="100"/>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A310" s="94"/>
      <c r="CB310" s="94"/>
      <c r="CC310" s="94"/>
      <c r="CD310" s="94"/>
      <c r="CE310" s="94"/>
      <c r="CF310" s="94"/>
      <c r="CG310" s="94"/>
      <c r="CH310" s="94"/>
      <c r="CI310" s="94"/>
      <c r="CJ310" s="94"/>
      <c r="CK310" s="94"/>
      <c r="CL310" s="94"/>
      <c r="CM310" s="94"/>
      <c r="CN310" s="94"/>
      <c r="CO310" s="94"/>
      <c r="CP310" s="94"/>
      <c r="CQ310" s="94"/>
      <c r="CR310" s="94"/>
      <c r="CS310" s="94"/>
      <c r="CT310" s="94"/>
      <c r="CU310" s="94"/>
      <c r="CV310" s="94"/>
      <c r="CW310" s="94"/>
      <c r="CX310" s="94"/>
      <c r="CY310" s="94"/>
      <c r="CZ310" s="94"/>
      <c r="DA310" s="94"/>
      <c r="DB310" s="94"/>
      <c r="DC310" s="94"/>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c r="HU310" s="10"/>
      <c r="HV310" s="10"/>
      <c r="HW310" s="10"/>
      <c r="HX310" s="10"/>
      <c r="HY310" s="10"/>
      <c r="HZ310" s="10"/>
      <c r="IA310" s="10"/>
      <c r="IB310" s="10"/>
      <c r="IC310" s="10"/>
      <c r="ID310" s="10"/>
      <c r="IE310" s="10"/>
      <c r="IF310" s="10"/>
      <c r="IG310" s="10"/>
      <c r="IH310" s="10"/>
      <c r="II310" s="10"/>
      <c r="IJ310" s="10"/>
      <c r="IK310" s="10"/>
      <c r="IL310" s="10"/>
      <c r="IM310" s="10"/>
      <c r="IN310" s="10"/>
      <c r="IO310" s="10"/>
      <c r="IP310" s="10"/>
      <c r="IQ310" s="10"/>
      <c r="IR310" s="10"/>
      <c r="IS310" s="10"/>
      <c r="IT310" s="10"/>
      <c r="IU310" s="10"/>
      <c r="IV310" s="10"/>
      <c r="IW310" s="10"/>
      <c r="IX310" s="10"/>
      <c r="IY310" s="10"/>
      <c r="IZ310" s="10"/>
      <c r="JA310" s="10"/>
      <c r="JB310" s="10"/>
      <c r="JC310" s="10"/>
      <c r="JD310" s="10"/>
      <c r="JE310" s="10"/>
      <c r="JF310" s="10"/>
    </row>
    <row r="311" spans="1:266" ht="12.75" customHeight="1">
      <c r="A311" s="259"/>
      <c r="B311" s="643" t="s">
        <v>153</v>
      </c>
      <c r="C311" s="805" t="str">
        <f>IF(C85="","",C85)</f>
        <v/>
      </c>
      <c r="D311" s="805"/>
      <c r="E311" s="805"/>
      <c r="F311" s="805"/>
      <c r="G311" s="805"/>
      <c r="H311" s="805"/>
      <c r="I311" s="805"/>
      <c r="J311" s="805"/>
      <c r="K311" s="805"/>
      <c r="L311" s="805"/>
      <c r="M311" s="805"/>
      <c r="N311" s="805"/>
      <c r="O311" s="805"/>
      <c r="P311" s="805"/>
      <c r="Q311" s="805"/>
      <c r="R311" s="805"/>
      <c r="S311" s="805"/>
      <c r="T311" s="805"/>
      <c r="U311" s="805"/>
      <c r="V311" s="805"/>
      <c r="W311" s="805"/>
      <c r="X311" s="805"/>
      <c r="Y311" s="805"/>
      <c r="Z311" s="805"/>
      <c r="AA311" s="805"/>
      <c r="AB311" s="805"/>
      <c r="AC311" s="805"/>
      <c r="AD311" s="805"/>
      <c r="AE311" s="806"/>
      <c r="AF311" s="814" t="str">
        <f>IF(AD85="","",AD85)</f>
        <v/>
      </c>
      <c r="AG311" s="815"/>
      <c r="AH311" s="815"/>
      <c r="AI311" s="816"/>
      <c r="AK311" s="94"/>
      <c r="AL311" s="94"/>
      <c r="AM311" s="94"/>
      <c r="AN311" s="94"/>
      <c r="AO311" s="399"/>
      <c r="AP311" s="399"/>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94"/>
      <c r="CD311" s="94"/>
      <c r="CE311" s="94"/>
      <c r="CF311" s="94"/>
      <c r="CG311" s="94"/>
      <c r="CH311" s="94"/>
      <c r="CI311" s="94"/>
      <c r="CJ311" s="94"/>
      <c r="CK311" s="94"/>
      <c r="CL311" s="94"/>
      <c r="CM311" s="94"/>
      <c r="CN311" s="94"/>
      <c r="CO311" s="94"/>
      <c r="CP311" s="94"/>
      <c r="CQ311" s="94"/>
      <c r="CR311" s="94"/>
      <c r="CS311" s="94"/>
      <c r="CT311" s="94"/>
      <c r="CU311" s="94"/>
      <c r="CV311" s="94"/>
      <c r="CW311" s="94"/>
      <c r="CX311" s="94"/>
      <c r="CY311" s="94"/>
      <c r="CZ311" s="94"/>
      <c r="DA311" s="94"/>
      <c r="DB311" s="94"/>
      <c r="DC311" s="94"/>
    </row>
    <row r="312" spans="1:266" s="259" customFormat="1" ht="10.15" customHeight="1">
      <c r="A312" s="1"/>
      <c r="B312" s="265"/>
      <c r="C312" s="826" t="str">
        <f>IF(C85="","","***This application was signed electronically***")</f>
        <v/>
      </c>
      <c r="D312" s="826"/>
      <c r="E312" s="826"/>
      <c r="F312" s="826"/>
      <c r="G312" s="826"/>
      <c r="H312" s="826"/>
      <c r="I312" s="826"/>
      <c r="J312" s="826"/>
      <c r="K312" s="826"/>
      <c r="L312" s="826"/>
      <c r="M312" s="826"/>
      <c r="N312" s="826"/>
      <c r="O312" s="290"/>
      <c r="P312" s="290"/>
      <c r="Q312" s="282"/>
      <c r="R312" s="282"/>
      <c r="S312" s="644"/>
      <c r="T312" s="644"/>
      <c r="U312" s="644"/>
      <c r="V312" s="644"/>
      <c r="W312" s="644"/>
      <c r="X312" s="644"/>
      <c r="Y312" s="644"/>
      <c r="Z312" s="644"/>
      <c r="AA312" s="644"/>
      <c r="AB312" s="644"/>
      <c r="AC312" s="644"/>
      <c r="AD312" s="644"/>
      <c r="AE312" s="291"/>
      <c r="AF312" s="292"/>
      <c r="AG312" s="292"/>
      <c r="AH312" s="292"/>
      <c r="AI312" s="293"/>
      <c r="AJ312" s="1"/>
      <c r="AK312" s="94"/>
      <c r="AL312" s="94"/>
      <c r="AM312" s="94"/>
      <c r="AN312" s="94"/>
      <c r="AO312" s="399"/>
      <c r="AP312" s="399"/>
      <c r="AQ312" s="94"/>
      <c r="AR312" s="94"/>
      <c r="AS312" s="94"/>
      <c r="AT312" s="94"/>
      <c r="AU312" s="94"/>
      <c r="AV312" s="260"/>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94"/>
      <c r="CD312" s="94"/>
      <c r="CE312" s="94"/>
      <c r="CF312" s="94"/>
      <c r="CG312" s="94"/>
      <c r="CH312" s="94"/>
      <c r="CI312" s="94"/>
      <c r="CJ312" s="94"/>
      <c r="CK312" s="94"/>
      <c r="CL312" s="94"/>
      <c r="CM312" s="94"/>
      <c r="CN312" s="94"/>
      <c r="CO312" s="94"/>
      <c r="CP312" s="94"/>
      <c r="CQ312" s="94"/>
      <c r="CR312" s="94"/>
      <c r="CS312" s="94"/>
      <c r="CT312" s="94"/>
      <c r="CU312" s="94"/>
      <c r="CV312" s="94"/>
      <c r="CW312" s="94"/>
      <c r="CX312" s="94"/>
      <c r="CY312" s="94"/>
      <c r="CZ312" s="94"/>
      <c r="DA312" s="94"/>
      <c r="DB312" s="94"/>
      <c r="DC312" s="94"/>
    </row>
    <row r="313" spans="1:266" s="5" customFormat="1" ht="12.75" customHeight="1">
      <c r="A313" s="259"/>
      <c r="B313" s="735" t="str">
        <f>Version</f>
        <v>MF (11/23)</v>
      </c>
      <c r="C313" s="735"/>
      <c r="D313" s="735"/>
      <c r="E313" s="735"/>
      <c r="F313" s="735"/>
      <c r="G313" s="735"/>
      <c r="H313" s="735"/>
      <c r="I313" s="735"/>
      <c r="J313" s="735"/>
      <c r="K313" s="735"/>
      <c r="L313" s="735"/>
      <c r="M313" s="735"/>
      <c r="N313" s="735"/>
      <c r="O313" s="735"/>
      <c r="P313" s="735"/>
      <c r="Q313" s="735"/>
      <c r="R313" s="735"/>
      <c r="S313" s="735"/>
      <c r="T313" s="735"/>
      <c r="U313" s="735"/>
      <c r="V313" s="735"/>
      <c r="W313" s="735"/>
      <c r="X313" s="735"/>
      <c r="Y313" s="735"/>
      <c r="Z313" s="735"/>
      <c r="AA313" s="735"/>
      <c r="AB313" s="735"/>
      <c r="AC313" s="735"/>
      <c r="AD313" s="735"/>
      <c r="AE313" s="735"/>
      <c r="AF313" s="735"/>
      <c r="AG313" s="735"/>
      <c r="AH313" s="735"/>
      <c r="AI313" s="1"/>
      <c r="AJ313" s="1"/>
      <c r="AK313" s="94"/>
      <c r="AL313" s="94"/>
      <c r="AM313" s="94"/>
      <c r="AN313" s="94"/>
      <c r="AO313" s="399"/>
      <c r="AP313" s="399"/>
      <c r="AQ313" s="94"/>
      <c r="AR313" s="94"/>
      <c r="AS313" s="94"/>
      <c r="AT313" s="94"/>
      <c r="AU313" s="94"/>
      <c r="AV313" s="98"/>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A313" s="94"/>
      <c r="CB313" s="94"/>
      <c r="CC313" s="94"/>
      <c r="CD313" s="94"/>
      <c r="CE313" s="94"/>
      <c r="CF313" s="94"/>
      <c r="CG313" s="94"/>
      <c r="CH313" s="94"/>
      <c r="CI313" s="94"/>
      <c r="CJ313" s="94"/>
      <c r="CK313" s="94"/>
      <c r="CL313" s="94"/>
      <c r="CM313" s="94"/>
      <c r="CN313" s="94"/>
      <c r="CO313" s="94"/>
      <c r="CP313" s="94"/>
      <c r="CQ313" s="94"/>
      <c r="CR313" s="94"/>
      <c r="CS313" s="94"/>
      <c r="CT313" s="94"/>
      <c r="CU313" s="94"/>
      <c r="CV313" s="94"/>
      <c r="CW313" s="94"/>
      <c r="CX313" s="94"/>
      <c r="CY313" s="94"/>
      <c r="CZ313" s="94"/>
      <c r="DA313" s="94"/>
      <c r="DB313" s="94"/>
      <c r="DC313" s="94"/>
    </row>
    <row r="314" spans="1:266" s="259" customFormat="1" ht="1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94"/>
      <c r="AL314" s="94"/>
      <c r="AM314" s="94"/>
      <c r="AN314" s="94"/>
      <c r="AO314" s="399"/>
      <c r="AP314" s="399"/>
      <c r="AQ314" s="94"/>
      <c r="AR314" s="94"/>
      <c r="AS314" s="94"/>
      <c r="AT314" s="94"/>
      <c r="AU314" s="94"/>
      <c r="AV314" s="260"/>
      <c r="AW314" s="260"/>
      <c r="AX314" s="260"/>
      <c r="AY314" s="260"/>
      <c r="AZ314" s="260"/>
      <c r="BA314" s="260"/>
      <c r="BB314" s="260"/>
      <c r="BC314" s="260"/>
      <c r="BD314" s="260"/>
      <c r="BE314" s="260"/>
      <c r="BF314" s="260"/>
      <c r="BG314" s="260"/>
      <c r="BH314" s="260"/>
      <c r="BI314" s="260"/>
      <c r="BJ314" s="260"/>
      <c r="BK314" s="260"/>
      <c r="BL314" s="260"/>
      <c r="BM314" s="260"/>
      <c r="BN314" s="260"/>
      <c r="BO314" s="260"/>
      <c r="BP314" s="260"/>
      <c r="BQ314" s="260"/>
      <c r="BR314" s="260"/>
      <c r="BS314" s="260"/>
      <c r="BT314" s="260"/>
      <c r="BU314" s="260"/>
      <c r="BV314" s="260"/>
      <c r="BW314" s="260"/>
      <c r="BX314" s="260"/>
      <c r="BY314" s="260"/>
      <c r="BZ314" s="260"/>
      <c r="CA314" s="260"/>
      <c r="CB314" s="260"/>
      <c r="CC314" s="260"/>
      <c r="CD314" s="260"/>
      <c r="CE314" s="260"/>
      <c r="CF314" s="260"/>
      <c r="CG314" s="260"/>
      <c r="CH314" s="260"/>
      <c r="CI314" s="260"/>
      <c r="CJ314" s="260"/>
      <c r="CK314" s="260"/>
      <c r="CL314" s="260"/>
      <c r="CM314" s="260"/>
      <c r="CN314" s="260"/>
      <c r="CO314" s="260"/>
      <c r="CP314" s="260"/>
      <c r="CQ314" s="260"/>
      <c r="CR314" s="260"/>
      <c r="CS314" s="260"/>
      <c r="CT314" s="260"/>
      <c r="CU314" s="260"/>
      <c r="CV314" s="260"/>
      <c r="CW314" s="260"/>
      <c r="CX314" s="260"/>
      <c r="CY314" s="260"/>
      <c r="CZ314" s="260"/>
      <c r="DA314" s="260"/>
      <c r="DB314" s="260"/>
      <c r="DC314" s="260"/>
    </row>
    <row r="315" spans="1:266">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94"/>
      <c r="CD315" s="94"/>
      <c r="CE315" s="94"/>
      <c r="CF315" s="94"/>
      <c r="CG315" s="94"/>
      <c r="CH315" s="94"/>
      <c r="CI315" s="94"/>
      <c r="CJ315" s="94"/>
      <c r="CK315" s="94"/>
      <c r="CL315" s="94"/>
      <c r="CM315" s="94"/>
      <c r="CN315" s="94"/>
      <c r="CO315" s="94"/>
      <c r="CP315" s="94"/>
      <c r="CQ315" s="94"/>
      <c r="CR315" s="94"/>
      <c r="CS315" s="94"/>
      <c r="CT315" s="94"/>
      <c r="CU315" s="94"/>
      <c r="CV315" s="94"/>
      <c r="CW315" s="94"/>
      <c r="CX315" s="94"/>
      <c r="CY315" s="94"/>
      <c r="CZ315" s="94"/>
      <c r="DA315" s="94"/>
      <c r="DB315" s="94"/>
      <c r="DC315" s="94"/>
    </row>
    <row r="316" spans="1:266">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94"/>
      <c r="CD316" s="94"/>
      <c r="CE316" s="94"/>
      <c r="CF316" s="94"/>
      <c r="CG316" s="94"/>
      <c r="CH316" s="94"/>
      <c r="CI316" s="94"/>
      <c r="CJ316" s="94"/>
      <c r="CK316" s="94"/>
      <c r="CL316" s="94"/>
      <c r="CM316" s="94"/>
      <c r="CN316" s="94"/>
      <c r="CO316" s="94"/>
      <c r="CP316" s="94"/>
      <c r="CQ316" s="94"/>
      <c r="CR316" s="94"/>
      <c r="CS316" s="94"/>
      <c r="CT316" s="94"/>
      <c r="CU316" s="94"/>
      <c r="CV316" s="94"/>
      <c r="CW316" s="94"/>
      <c r="CX316" s="94"/>
      <c r="CY316" s="94"/>
      <c r="CZ316" s="94"/>
      <c r="DA316" s="94"/>
      <c r="DB316" s="94"/>
      <c r="DC316" s="94"/>
    </row>
    <row r="317" spans="1:266">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94"/>
      <c r="CD317" s="94"/>
      <c r="CE317" s="94"/>
      <c r="CF317" s="94"/>
      <c r="CG317" s="94"/>
      <c r="CH317" s="94"/>
      <c r="CI317" s="94"/>
      <c r="CJ317" s="94"/>
      <c r="CK317" s="94"/>
      <c r="CL317" s="94"/>
      <c r="CM317" s="94"/>
      <c r="CN317" s="94"/>
      <c r="CO317" s="94"/>
      <c r="CP317" s="94"/>
      <c r="CQ317" s="94"/>
      <c r="CR317" s="94"/>
      <c r="CS317" s="94"/>
      <c r="CT317" s="94"/>
      <c r="CU317" s="94"/>
      <c r="CV317" s="94"/>
      <c r="CW317" s="94"/>
      <c r="CX317" s="94"/>
      <c r="CY317" s="94"/>
      <c r="CZ317" s="94"/>
      <c r="DA317" s="94"/>
      <c r="DB317" s="94"/>
      <c r="DC317" s="94"/>
    </row>
    <row r="318" spans="1:266">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94"/>
      <c r="CD318" s="94"/>
      <c r="CE318" s="94"/>
      <c r="CF318" s="94"/>
      <c r="CG318" s="94"/>
      <c r="CH318" s="94"/>
      <c r="CI318" s="94"/>
      <c r="CJ318" s="94"/>
      <c r="CK318" s="94"/>
      <c r="CL318" s="94"/>
      <c r="CM318" s="94"/>
      <c r="CN318" s="94"/>
      <c r="CO318" s="94"/>
      <c r="CP318" s="94"/>
      <c r="CQ318" s="94"/>
      <c r="CR318" s="94"/>
      <c r="CS318" s="94"/>
      <c r="CT318" s="94"/>
      <c r="CU318" s="94"/>
      <c r="CV318" s="94"/>
      <c r="CW318" s="94"/>
      <c r="CX318" s="94"/>
      <c r="CY318" s="94"/>
      <c r="CZ318" s="94"/>
      <c r="DA318" s="94"/>
      <c r="DB318" s="94"/>
      <c r="DC318" s="94"/>
    </row>
  </sheetData>
  <sheetProtection algorithmName="SHA-512" hashValue="8OaLw+GK++53Nfx2SvOUK95fv6JSna2np1XeTIUSYkX+bMAXBT+86qVb2/cbYqtOJZsvYsrUXvsCgOsU/7nF/A==" saltValue="cl6CuafBRygKGqJ+9dCIMw==" spinCount="100000" sheet="1" selectLockedCells="1"/>
  <mergeCells count="164">
    <mergeCell ref="T9:Y9"/>
    <mergeCell ref="Z9:AC9"/>
    <mergeCell ref="AD9:AI9"/>
    <mergeCell ref="B9:S9"/>
    <mergeCell ref="B11:S11"/>
    <mergeCell ref="L66:P66"/>
    <mergeCell ref="L67:P67"/>
    <mergeCell ref="L71:P71"/>
    <mergeCell ref="L72:P72"/>
    <mergeCell ref="L74:P74"/>
    <mergeCell ref="T36:AI36"/>
    <mergeCell ref="AD11:AE11"/>
    <mergeCell ref="AF11:AI11"/>
    <mergeCell ref="T13:AC13"/>
    <mergeCell ref="AD13:AE13"/>
    <mergeCell ref="AF13:AI13"/>
    <mergeCell ref="Z25:AI25"/>
    <mergeCell ref="B13:S13"/>
    <mergeCell ref="T31:Y31"/>
    <mergeCell ref="Z31:AI31"/>
    <mergeCell ref="B21:L21"/>
    <mergeCell ref="M25:S25"/>
    <mergeCell ref="T25:Y25"/>
    <mergeCell ref="T15:Y15"/>
    <mergeCell ref="Z15:AI15"/>
    <mergeCell ref="B17:L17"/>
    <mergeCell ref="T40:Y40"/>
    <mergeCell ref="B1:T1"/>
    <mergeCell ref="B53:L53"/>
    <mergeCell ref="Z40:AI40"/>
    <mergeCell ref="T55:AI55"/>
    <mergeCell ref="B49:S49"/>
    <mergeCell ref="T49:AI49"/>
    <mergeCell ref="B51:S51"/>
    <mergeCell ref="T51:AC51"/>
    <mergeCell ref="AD51:AE51"/>
    <mergeCell ref="AF51:AI51"/>
    <mergeCell ref="M53:S53"/>
    <mergeCell ref="T53:Y53"/>
    <mergeCell ref="Z53:AI53"/>
    <mergeCell ref="B36:S36"/>
    <mergeCell ref="B38:S38"/>
    <mergeCell ref="M40:S40"/>
    <mergeCell ref="AD33:AG33"/>
    <mergeCell ref="AD34:AG34"/>
    <mergeCell ref="B55:S55"/>
    <mergeCell ref="B7:S7"/>
    <mergeCell ref="T7:AE7"/>
    <mergeCell ref="AF7:AI7"/>
    <mergeCell ref="M21:S21"/>
    <mergeCell ref="T11:AC11"/>
    <mergeCell ref="C312:N312"/>
    <mergeCell ref="AF263:AI263"/>
    <mergeCell ref="B278:L278"/>
    <mergeCell ref="B252:L252"/>
    <mergeCell ref="T250:Y250"/>
    <mergeCell ref="B305:AI307"/>
    <mergeCell ref="B80:AI82"/>
    <mergeCell ref="C84:AC84"/>
    <mergeCell ref="C85:AC86"/>
    <mergeCell ref="AD85:AI86"/>
    <mergeCell ref="B242:L242"/>
    <mergeCell ref="B280:S280"/>
    <mergeCell ref="B238:S238"/>
    <mergeCell ref="T238:AC238"/>
    <mergeCell ref="AD238:AE238"/>
    <mergeCell ref="AF238:AI238"/>
    <mergeCell ref="AF236:AI236"/>
    <mergeCell ref="AD236:AE236"/>
    <mergeCell ref="Z278:AI278"/>
    <mergeCell ref="T278:Y278"/>
    <mergeCell ref="M252:S252"/>
    <mergeCell ref="B256:L256"/>
    <mergeCell ref="AF232:AI232"/>
    <mergeCell ref="T232:AE232"/>
    <mergeCell ref="AF311:AI311"/>
    <mergeCell ref="M246:S246"/>
    <mergeCell ref="Z256:AI256"/>
    <mergeCell ref="Z254:AI254"/>
    <mergeCell ref="T256:Y256"/>
    <mergeCell ref="Z250:AI250"/>
    <mergeCell ref="B246:L246"/>
    <mergeCell ref="Z240:AI240"/>
    <mergeCell ref="T267:AI267"/>
    <mergeCell ref="T280:AI280"/>
    <mergeCell ref="B276:S276"/>
    <mergeCell ref="M250:S250"/>
    <mergeCell ref="B250:L250"/>
    <mergeCell ref="T265:Y265"/>
    <mergeCell ref="M265:S265"/>
    <mergeCell ref="B265:L265"/>
    <mergeCell ref="T254:Y254"/>
    <mergeCell ref="T240:Y240"/>
    <mergeCell ref="B263:S263"/>
    <mergeCell ref="M254:S254"/>
    <mergeCell ref="T261:AI261"/>
    <mergeCell ref="Z242:AI242"/>
    <mergeCell ref="T242:Y242"/>
    <mergeCell ref="M242:S242"/>
    <mergeCell ref="B236:S236"/>
    <mergeCell ref="B85:B86"/>
    <mergeCell ref="L60:P60"/>
    <mergeCell ref="L62:P62"/>
    <mergeCell ref="U60:AI60"/>
    <mergeCell ref="U62:AI62"/>
    <mergeCell ref="AD38:AE38"/>
    <mergeCell ref="T38:AC38"/>
    <mergeCell ref="AF38:AI38"/>
    <mergeCell ref="T42:AI42"/>
    <mergeCell ref="B42:S42"/>
    <mergeCell ref="B40:L40"/>
    <mergeCell ref="T234:Y234"/>
    <mergeCell ref="Z234:AC234"/>
    <mergeCell ref="AD234:AI234"/>
    <mergeCell ref="Z45:AC45"/>
    <mergeCell ref="B232:S232"/>
    <mergeCell ref="B313:AH313"/>
    <mergeCell ref="B240:S240"/>
    <mergeCell ref="B244:AI244"/>
    <mergeCell ref="C311:AE311"/>
    <mergeCell ref="L285:P285"/>
    <mergeCell ref="L287:P287"/>
    <mergeCell ref="L291:P291"/>
    <mergeCell ref="L292:P292"/>
    <mergeCell ref="L296:P296"/>
    <mergeCell ref="L297:P297"/>
    <mergeCell ref="L299:P299"/>
    <mergeCell ref="L300:P300"/>
    <mergeCell ref="M278:S278"/>
    <mergeCell ref="T252:Y252"/>
    <mergeCell ref="Z252:AI252"/>
    <mergeCell ref="AD263:AE263"/>
    <mergeCell ref="T263:AC263"/>
    <mergeCell ref="M256:S256"/>
    <mergeCell ref="B261:S261"/>
    <mergeCell ref="T276:AC276"/>
    <mergeCell ref="AD276:AE276"/>
    <mergeCell ref="AF276:AI276"/>
    <mergeCell ref="B274:S274"/>
    <mergeCell ref="T274:AI274"/>
    <mergeCell ref="Z265:AI265"/>
    <mergeCell ref="B254:L254"/>
    <mergeCell ref="B267:S267"/>
    <mergeCell ref="M17:S17"/>
    <mergeCell ref="T17:Y17"/>
    <mergeCell ref="Z17:AI17"/>
    <mergeCell ref="B15:L15"/>
    <mergeCell ref="M15:S15"/>
    <mergeCell ref="B25:L25"/>
    <mergeCell ref="B234:S234"/>
    <mergeCell ref="L75:P75"/>
    <mergeCell ref="S32:U32"/>
    <mergeCell ref="B19:AI19"/>
    <mergeCell ref="B27:L27"/>
    <mergeCell ref="M27:S27"/>
    <mergeCell ref="T27:Y27"/>
    <mergeCell ref="Z27:AI27"/>
    <mergeCell ref="B29:L29"/>
    <mergeCell ref="M29:S29"/>
    <mergeCell ref="T29:Y29"/>
    <mergeCell ref="Z29:AI29"/>
    <mergeCell ref="B31:L31"/>
    <mergeCell ref="M31:S31"/>
    <mergeCell ref="T236:AC236"/>
  </mergeCells>
  <conditionalFormatting sqref="C312">
    <cfRule type="expression" dxfId="475" priority="557" stopIfTrue="1">
      <formula>#REF!=""</formula>
    </cfRule>
  </conditionalFormatting>
  <conditionalFormatting sqref="B272:B280 AA279:AI279 T272:T280 U272:AI273 U275:AC275 AE275 C275:S275 AG275:AI275 C272:S273 AF275:AF277 AE277 AD275:AD277 Z277:Z279 AA277:AC277 AG277:AI277 N279:S279 U277:Y277 M277:M279 N277:S277 U279:Y279 C277:L277 C279:L279">
    <cfRule type="expression" dxfId="474" priority="938">
      <formula>$AK$45=FALSE</formula>
    </cfRule>
  </conditionalFormatting>
  <conditionalFormatting sqref="B47:B48 B50 B52 B54 M52 T52 T54 Z52 AD50 AF50 T48 T50 B75 K75 L75">
    <cfRule type="expression" dxfId="473" priority="960">
      <formula>$AL$45=TRUE</formula>
    </cfRule>
  </conditionalFormatting>
  <conditionalFormatting sqref="B49:AI49 B51:AI51 B53:AI53 B55:AI55">
    <cfRule type="expression" dxfId="472" priority="972">
      <formula>$AL$45=TRUE</formula>
    </cfRule>
  </conditionalFormatting>
  <conditionalFormatting sqref="U60:AI60">
    <cfRule type="expression" dxfId="471" priority="3">
      <formula>$AM60=TRUE</formula>
    </cfRule>
  </conditionalFormatting>
  <conditionalFormatting sqref="U62:AI62">
    <cfRule type="expression" dxfId="470" priority="2">
      <formula>$AM62=TRUE</formula>
    </cfRule>
  </conditionalFormatting>
  <dataValidations xWindow="889" yWindow="869" count="24">
    <dataValidation type="decimal" allowBlank="1" showInputMessage="1" showErrorMessage="1" errorTitle="Error" error="Enter the code allowed lighting load in kW. (This can be calculated by multiplying the s.f. x allowed W/s.f. x 1000 kW/W.)" sqref="M68:M70 J68:J70" xr:uid="{00000000-0002-0000-0600-000002000000}">
      <formula1>0.01</formula1>
      <formula2>100000</formula2>
    </dataValidation>
    <dataValidation type="textLength" allowBlank="1" showInputMessage="1" showErrorMessage="1" errorTitle="Error" error="Enter a valid SS# or TIN#" sqref="B55 B42" xr:uid="{00000000-0002-0000-0600-000003000000}">
      <formula1>9</formula1>
      <formula2>11</formula2>
    </dataValidation>
    <dataValidation type="whole" errorStyle="warning" allowBlank="1" showInputMessage="1" showErrorMessage="1" errorTitle="Error" error="Please enter the operating hours between 0 and 8760." sqref="S68:S71 S73 S75" xr:uid="{00000000-0002-0000-0600-000004000000}">
      <formula1>0</formula1>
      <formula2>8760</formula2>
    </dataValidation>
    <dataValidation type="list" allowBlank="1" showInputMessage="1" showErrorMessage="1" sqref="AD51:AE51 AD38:AE38 AD13:AE13 AD11:AE11" xr:uid="{00000000-0002-0000-0600-000005000000}">
      <formula1>AllStatesInitials</formula1>
    </dataValidation>
    <dataValidation type="whole" allowBlank="1" showInputMessage="1" showErrorMessage="1" errorTitle="Error" error="Enter a valid 5-digit zip code." sqref="AF51:AI51 AF38:AI38 AF13:AI13 AF11:AI11" xr:uid="{00000000-0002-0000-0600-000006000000}">
      <formula1>1000</formula1>
      <formula2>99999</formula2>
    </dataValidation>
    <dataValidation type="textLength" allowBlank="1" showInputMessage="1" showErrorMessage="1" errorTitle="Error" error="Enter a valid 7 or 10 digit phone number." sqref="T40 T31 T29 T25 T17 T15 T27" xr:uid="{00000000-0002-0000-0600-000007000000}">
      <formula1>7</formula1>
      <formula2>19</formula2>
    </dataValidation>
    <dataValidation type="list" allowBlank="1" showInputMessage="1" showErrorMessage="1" errorTitle="Stop" error="Enter a valid 2-digit abbreviation for the state." sqref="AC51 AC38" xr:uid="{00000000-0002-0000-0600-000008000000}">
      <formula1>AllStatesInitials</formula1>
    </dataValidation>
    <dataValidation type="date" operator="greaterThanOrEqual" allowBlank="1" showInputMessage="1" showErrorMessage="1" errorTitle="Error" error="Enter the date the file is being electronically signed." sqref="AD85:AI86" xr:uid="{00000000-0002-0000-0600-00000F000000}">
      <formula1>42370</formula1>
    </dataValidation>
    <dataValidation type="date" operator="greaterThanOrEqual" allowBlank="1" showInputMessage="1" errorTitle="Error" error="Enter the date the file is being electronically signed." sqref="AF311" xr:uid="{00000000-0002-0000-0600-000010000000}">
      <formula1>40548</formula1>
    </dataValidation>
    <dataValidation allowBlank="1" showInputMessage="1" showErrorMessage="1" prompt="Owner must sign application if a Professional Assistance Incentive payment is requested." sqref="C85:AC86" xr:uid="{00000000-0002-0000-0600-000012000000}"/>
    <dataValidation allowBlank="1" showErrorMessage="1" sqref="X71:Y71 X73:Y73" xr:uid="{C807A8BA-0F46-4E85-9B19-232668AC28E5}"/>
    <dataValidation type="list" allowBlank="1" showInputMessage="1" showErrorMessage="1" prompt="At least one strategy must be a sensor-based strategy" sqref="W74 G74" xr:uid="{F4371C1F-6589-4D62-A22F-08B73CB12AD7}">
      <formula1>exteriorNLC</formula1>
    </dataValidation>
    <dataValidation type="list" allowBlank="1" showInputMessage="1" showErrorMessage="1" prompt="At least one strategy must be a sensor-based strategy" sqref="W72 G72" xr:uid="{0D4A1C3B-6508-48D2-B1D8-3424BF20D38A}">
      <formula1>interiorNLC</formula1>
    </dataValidation>
    <dataValidation type="decimal" allowBlank="1" showInputMessage="1" showErrorMessage="1" errorTitle="Error" error="Enter the unit tons as a number." prompt="Economizers are incented only when not already required by code._x000a__x000a_Each unit must be less than 5 tons. " sqref="W77:X77" xr:uid="{AE0ECCCE-98A9-41D0-84B1-44CAF6C9607E}">
      <formula1>0.5</formula1>
      <formula2>1000</formula2>
    </dataValidation>
    <dataValidation type="decimal" allowBlank="1" showInputMessage="1" showErrorMessage="1" errorTitle="Error" error="Enter the unit tons as a number." prompt="Economizers are incented only when not already required by code._x000a__x000a_Chilled-water plant systems 110 tons or less._x000a__x000a_District chilled-water systems 143 tons or less." sqref="W88:X88" xr:uid="{AB99FB84-8DDA-4D33-8F3C-1C9D7715F655}">
      <formula1>0.5</formula1>
      <formula2>1000</formula2>
    </dataValidation>
    <dataValidation type="date" allowBlank="1" showInputMessage="1" showErrorMessage="1" sqref="B21:L21" xr:uid="{476D0B86-A136-4039-9729-5AC91FD3FF18}">
      <formula1>38353</formula1>
      <formula2>51501</formula2>
    </dataValidation>
    <dataValidation type="date" allowBlank="1" showInputMessage="1" showErrorMessage="1" prompt="Final application. Submit date." sqref="AF7:AI7" xr:uid="{D6BE8369-D23F-463A-98FA-44C4D6CF28EB}">
      <formula1>44197</formula1>
      <formula2>54970</formula2>
    </dataValidation>
    <dataValidation type="decimal" allowBlank="1" showInputMessage="1" showErrorMessage="1" errorTitle="Error" error="Enter the area of the building as a number." sqref="T9" xr:uid="{3AA0E582-F492-4052-9C9D-1BE4ED8A3587}">
      <formula1>50</formula1>
      <formula2>9000000</formula2>
    </dataValidation>
    <dataValidation type="list" allowBlank="1" showInputMessage="1" showErrorMessage="1" error="Select Yes or No." sqref="Z45" xr:uid="{17E85971-FA44-4D8B-92B4-E9FD8C21D6CB}">
      <formula1>YesNo</formula1>
    </dataValidation>
    <dataValidation type="list" allowBlank="1" showInputMessage="1" showErrorMessage="1" error="Select Electric, Gas, or Other. " sqref="L62:P62 L60:P60" xr:uid="{A435BDE8-0614-4C84-985D-E9A68705980D}">
      <formula1>HeatingFuel</formula1>
    </dataValidation>
    <dataValidation type="list" allowBlank="1" showInputMessage="1" showErrorMessage="1" error="Select Customer or Third Party." prompt="Select whom the check should be made payable to." sqref="AD33:AG33" xr:uid="{3B372628-9AD4-4529-B0E7-0DF0DDF561CF}">
      <formula1>PayableTo</formula1>
    </dataValidation>
    <dataValidation type="list" allowBlank="1" showInputMessage="1" showErrorMessage="1" error="Select Customer or Third Party" prompt="Select where the check should be mailed to." sqref="AD34:AG34" xr:uid="{45CFAAB7-97E2-4B26-836D-8FF6179ACD44}">
      <formula1>PayableTo</formula1>
    </dataValidation>
    <dataValidation type="whole" allowBlank="1" showInputMessage="1" showErrorMessage="1" error="Enter the number of floors/stories." sqref="Z9:AC9" xr:uid="{D92F7CF0-FD81-4170-B42C-FE0192327099}">
      <formula1>1</formula1>
      <formula2>100</formula2>
    </dataValidation>
    <dataValidation type="decimal" allowBlank="1" showInputMessage="1" showErrorMessage="1" errorTitle="Error" error="Enter the number of residential units as a number. Must be 5 units or more per building." sqref="AD9:AI9" xr:uid="{4A5E8AE4-5822-4587-BA6E-1023D708D139}">
      <formula1>5</formula1>
      <formula2>10000</formula2>
    </dataValidation>
  </dataValidations>
  <printOptions horizontalCentered="1"/>
  <pageMargins left="0.25" right="0.25" top="0.25" bottom="0.25" header="0.1" footer="0.5"/>
  <pageSetup scale="7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3B77-751F-4E43-BCB4-004A7B6424FD}">
  <sheetPr codeName="Sheet12"/>
  <dimension ref="A1:K1101"/>
  <sheetViews>
    <sheetView workbookViewId="0"/>
  </sheetViews>
  <sheetFormatPr defaultRowHeight="12.75"/>
  <cols>
    <col min="1" max="1" width="40.85546875" customWidth="1"/>
    <col min="2" max="2" width="8.42578125" customWidth="1"/>
    <col min="4" max="4" width="15" customWidth="1"/>
    <col min="5" max="5" width="27.42578125" customWidth="1"/>
    <col min="6" max="6" width="40.85546875" customWidth="1"/>
    <col min="8" max="8" width="8.5703125" customWidth="1"/>
    <col min="9" max="9" width="14.42578125" customWidth="1"/>
  </cols>
  <sheetData>
    <row r="1" spans="1:10" s="517" customFormat="1" ht="25.5">
      <c r="A1" s="516" t="s">
        <v>156</v>
      </c>
      <c r="B1" s="515" t="s">
        <v>157</v>
      </c>
      <c r="C1" s="515" t="s">
        <v>158</v>
      </c>
      <c r="D1" s="515" t="s">
        <v>159</v>
      </c>
      <c r="E1" s="515" t="s">
        <v>160</v>
      </c>
      <c r="F1" s="516" t="s">
        <v>161</v>
      </c>
      <c r="G1" s="515" t="s">
        <v>157</v>
      </c>
      <c r="H1" s="515" t="s">
        <v>158</v>
      </c>
      <c r="I1" s="515" t="s">
        <v>160</v>
      </c>
      <c r="J1" s="515" t="s">
        <v>162</v>
      </c>
    </row>
    <row r="2" spans="1:10">
      <c r="A2" s="511" t="s">
        <v>163</v>
      </c>
      <c r="B2" s="84" t="s">
        <v>164</v>
      </c>
      <c r="C2">
        <v>1</v>
      </c>
      <c r="F2" s="511" t="s">
        <v>163</v>
      </c>
      <c r="G2" s="84" t="s">
        <v>164</v>
      </c>
      <c r="H2">
        <v>1</v>
      </c>
      <c r="J2" t="b">
        <f>A2=F2</f>
        <v>1</v>
      </c>
    </row>
    <row r="3" spans="1:10">
      <c r="A3" s="511" t="s">
        <v>165</v>
      </c>
      <c r="B3" s="84" t="s">
        <v>166</v>
      </c>
      <c r="C3">
        <v>2</v>
      </c>
      <c r="F3" s="511" t="s">
        <v>165</v>
      </c>
      <c r="G3" s="84" t="s">
        <v>166</v>
      </c>
      <c r="H3">
        <v>2</v>
      </c>
      <c r="J3" t="b">
        <f t="shared" ref="J3:J66" si="0">A3=F3</f>
        <v>1</v>
      </c>
    </row>
    <row r="4" spans="1:10">
      <c r="A4" s="511" t="s">
        <v>167</v>
      </c>
      <c r="B4" s="84" t="s">
        <v>168</v>
      </c>
      <c r="C4">
        <v>3</v>
      </c>
      <c r="F4" s="511" t="s">
        <v>167</v>
      </c>
      <c r="G4" s="84" t="s">
        <v>168</v>
      </c>
      <c r="H4">
        <v>3</v>
      </c>
      <c r="J4" t="b">
        <f t="shared" si="0"/>
        <v>1</v>
      </c>
    </row>
    <row r="5" spans="1:10">
      <c r="A5" s="511" t="s">
        <v>169</v>
      </c>
      <c r="B5" s="84" t="s">
        <v>170</v>
      </c>
      <c r="C5">
        <v>4</v>
      </c>
      <c r="F5" s="511" t="s">
        <v>169</v>
      </c>
      <c r="G5" s="84" t="s">
        <v>170</v>
      </c>
      <c r="H5">
        <v>4</v>
      </c>
      <c r="J5" t="b">
        <f t="shared" si="0"/>
        <v>1</v>
      </c>
    </row>
    <row r="6" spans="1:10">
      <c r="A6" s="511" t="s">
        <v>171</v>
      </c>
      <c r="B6" s="84" t="s">
        <v>172</v>
      </c>
      <c r="C6">
        <v>5</v>
      </c>
      <c r="F6" s="511" t="s">
        <v>171</v>
      </c>
      <c r="G6" s="84" t="s">
        <v>172</v>
      </c>
      <c r="H6">
        <v>5</v>
      </c>
      <c r="J6" t="b">
        <f t="shared" si="0"/>
        <v>1</v>
      </c>
    </row>
    <row r="7" spans="1:10">
      <c r="A7" s="511" t="s">
        <v>173</v>
      </c>
      <c r="B7" s="84" t="s">
        <v>174</v>
      </c>
      <c r="C7">
        <v>6</v>
      </c>
      <c r="F7" s="511" t="s">
        <v>173</v>
      </c>
      <c r="G7" s="84" t="s">
        <v>174</v>
      </c>
      <c r="H7">
        <v>6</v>
      </c>
      <c r="J7" t="b">
        <f t="shared" si="0"/>
        <v>1</v>
      </c>
    </row>
    <row r="8" spans="1:10">
      <c r="A8" s="511" t="s">
        <v>175</v>
      </c>
      <c r="B8" s="84" t="s">
        <v>176</v>
      </c>
      <c r="C8">
        <v>7</v>
      </c>
      <c r="F8" s="511" t="s">
        <v>175</v>
      </c>
      <c r="G8" s="84" t="s">
        <v>176</v>
      </c>
      <c r="H8">
        <v>7</v>
      </c>
      <c r="J8" t="b">
        <f t="shared" si="0"/>
        <v>1</v>
      </c>
    </row>
    <row r="9" spans="1:10">
      <c r="A9" s="511" t="s">
        <v>177</v>
      </c>
      <c r="B9" s="84" t="s">
        <v>178</v>
      </c>
      <c r="C9">
        <v>8</v>
      </c>
      <c r="F9" s="511" t="s">
        <v>177</v>
      </c>
      <c r="G9" s="84" t="s">
        <v>178</v>
      </c>
      <c r="H9">
        <v>8</v>
      </c>
      <c r="J9" t="b">
        <f t="shared" si="0"/>
        <v>1</v>
      </c>
    </row>
    <row r="10" spans="1:10">
      <c r="A10" s="511" t="s">
        <v>179</v>
      </c>
      <c r="B10" s="84" t="s">
        <v>180</v>
      </c>
      <c r="C10">
        <v>9</v>
      </c>
      <c r="F10" s="511" t="s">
        <v>179</v>
      </c>
      <c r="G10" s="84" t="s">
        <v>180</v>
      </c>
      <c r="H10">
        <v>9</v>
      </c>
      <c r="J10" t="b">
        <f t="shared" si="0"/>
        <v>1</v>
      </c>
    </row>
    <row r="11" spans="1:10">
      <c r="A11" s="511" t="s">
        <v>181</v>
      </c>
      <c r="B11" s="84" t="s">
        <v>182</v>
      </c>
      <c r="C11">
        <v>10</v>
      </c>
      <c r="F11" s="511" t="s">
        <v>181</v>
      </c>
      <c r="G11" s="84" t="s">
        <v>182</v>
      </c>
      <c r="H11">
        <v>10</v>
      </c>
      <c r="J11" t="b">
        <f t="shared" si="0"/>
        <v>1</v>
      </c>
    </row>
    <row r="12" spans="1:10">
      <c r="A12" s="511" t="s">
        <v>183</v>
      </c>
      <c r="B12" s="84" t="s">
        <v>184</v>
      </c>
      <c r="C12">
        <v>11</v>
      </c>
      <c r="F12" s="511" t="s">
        <v>183</v>
      </c>
      <c r="G12" s="84" t="s">
        <v>184</v>
      </c>
      <c r="H12">
        <v>11</v>
      </c>
      <c r="J12" t="b">
        <f t="shared" si="0"/>
        <v>1</v>
      </c>
    </row>
    <row r="13" spans="1:10">
      <c r="A13" s="511" t="s">
        <v>185</v>
      </c>
      <c r="B13" s="84" t="s">
        <v>186</v>
      </c>
      <c r="C13">
        <v>12</v>
      </c>
      <c r="F13" s="511" t="s">
        <v>185</v>
      </c>
      <c r="G13" s="84" t="s">
        <v>186</v>
      </c>
      <c r="H13">
        <v>12</v>
      </c>
      <c r="J13" t="b">
        <f t="shared" si="0"/>
        <v>1</v>
      </c>
    </row>
    <row r="14" spans="1:10">
      <c r="A14" s="511" t="s">
        <v>187</v>
      </c>
      <c r="B14" s="84" t="s">
        <v>188</v>
      </c>
      <c r="C14">
        <v>13</v>
      </c>
      <c r="F14" s="511" t="s">
        <v>187</v>
      </c>
      <c r="G14" s="84" t="s">
        <v>188</v>
      </c>
      <c r="H14">
        <v>13</v>
      </c>
      <c r="J14" t="b">
        <f t="shared" si="0"/>
        <v>1</v>
      </c>
    </row>
    <row r="15" spans="1:10">
      <c r="A15" s="511" t="s">
        <v>189</v>
      </c>
      <c r="B15" s="84" t="s">
        <v>190</v>
      </c>
      <c r="C15">
        <v>14</v>
      </c>
      <c r="F15" s="511" t="s">
        <v>189</v>
      </c>
      <c r="G15" s="84" t="s">
        <v>190</v>
      </c>
      <c r="H15">
        <v>14</v>
      </c>
      <c r="J15" t="b">
        <f t="shared" si="0"/>
        <v>1</v>
      </c>
    </row>
    <row r="16" spans="1:10">
      <c r="A16" s="511" t="s">
        <v>191</v>
      </c>
      <c r="B16" s="84" t="s">
        <v>192</v>
      </c>
      <c r="C16">
        <v>15</v>
      </c>
      <c r="F16" s="511" t="s">
        <v>191</v>
      </c>
      <c r="G16" s="84" t="s">
        <v>192</v>
      </c>
      <c r="H16">
        <v>15</v>
      </c>
      <c r="J16" t="b">
        <f t="shared" si="0"/>
        <v>1</v>
      </c>
    </row>
    <row r="17" spans="1:10">
      <c r="A17" s="511" t="s">
        <v>75</v>
      </c>
      <c r="B17" s="84" t="s">
        <v>193</v>
      </c>
      <c r="C17">
        <v>16</v>
      </c>
      <c r="F17" s="511" t="s">
        <v>75</v>
      </c>
      <c r="G17" s="84" t="s">
        <v>193</v>
      </c>
      <c r="H17">
        <v>16</v>
      </c>
      <c r="J17" t="b">
        <f t="shared" si="0"/>
        <v>1</v>
      </c>
    </row>
    <row r="18" spans="1:10">
      <c r="A18" s="511" t="s">
        <v>194</v>
      </c>
      <c r="B18" s="84" t="s">
        <v>195</v>
      </c>
      <c r="C18">
        <v>17</v>
      </c>
      <c r="F18" s="511" t="s">
        <v>194</v>
      </c>
      <c r="G18" s="84" t="s">
        <v>195</v>
      </c>
      <c r="H18">
        <v>17</v>
      </c>
      <c r="J18" t="b">
        <f t="shared" si="0"/>
        <v>1</v>
      </c>
    </row>
    <row r="19" spans="1:10">
      <c r="A19" s="511" t="s">
        <v>196</v>
      </c>
      <c r="B19" s="84" t="s">
        <v>197</v>
      </c>
      <c r="C19">
        <v>18</v>
      </c>
      <c r="F19" s="511" t="s">
        <v>196</v>
      </c>
      <c r="G19" s="84" t="s">
        <v>197</v>
      </c>
      <c r="H19">
        <v>18</v>
      </c>
      <c r="J19" t="b">
        <f t="shared" si="0"/>
        <v>1</v>
      </c>
    </row>
    <row r="20" spans="1:10">
      <c r="A20" s="511" t="s">
        <v>198</v>
      </c>
      <c r="B20" s="84" t="s">
        <v>199</v>
      </c>
      <c r="C20">
        <v>19</v>
      </c>
      <c r="F20" s="511" t="s">
        <v>198</v>
      </c>
      <c r="G20" s="84" t="s">
        <v>199</v>
      </c>
      <c r="H20">
        <v>19</v>
      </c>
      <c r="J20" t="b">
        <f t="shared" si="0"/>
        <v>1</v>
      </c>
    </row>
    <row r="21" spans="1:10">
      <c r="A21" s="511" t="s">
        <v>200</v>
      </c>
      <c r="B21" s="84" t="s">
        <v>201</v>
      </c>
      <c r="C21">
        <v>20</v>
      </c>
      <c r="F21" s="511" t="s">
        <v>200</v>
      </c>
      <c r="G21" s="84" t="s">
        <v>201</v>
      </c>
      <c r="H21">
        <v>20</v>
      </c>
      <c r="J21" t="b">
        <f t="shared" si="0"/>
        <v>1</v>
      </c>
    </row>
    <row r="22" spans="1:10">
      <c r="A22" s="511" t="s">
        <v>202</v>
      </c>
      <c r="B22" s="84" t="s">
        <v>203</v>
      </c>
      <c r="C22">
        <v>21</v>
      </c>
      <c r="F22" s="511" t="s">
        <v>202</v>
      </c>
      <c r="G22" s="84" t="s">
        <v>203</v>
      </c>
      <c r="H22">
        <v>21</v>
      </c>
      <c r="J22" t="b">
        <f t="shared" si="0"/>
        <v>1</v>
      </c>
    </row>
    <row r="23" spans="1:10">
      <c r="A23" s="511" t="s">
        <v>204</v>
      </c>
      <c r="B23" s="84" t="s">
        <v>205</v>
      </c>
      <c r="C23">
        <v>22</v>
      </c>
      <c r="F23" s="511" t="s">
        <v>204</v>
      </c>
      <c r="G23" s="84" t="s">
        <v>205</v>
      </c>
      <c r="H23">
        <v>22</v>
      </c>
      <c r="J23" t="b">
        <f t="shared" si="0"/>
        <v>1</v>
      </c>
    </row>
    <row r="24" spans="1:10">
      <c r="A24" s="511" t="s">
        <v>206</v>
      </c>
      <c r="B24" s="84" t="s">
        <v>207</v>
      </c>
      <c r="C24">
        <v>23</v>
      </c>
      <c r="F24" s="511" t="s">
        <v>206</v>
      </c>
      <c r="G24" s="84" t="s">
        <v>207</v>
      </c>
      <c r="H24">
        <v>23</v>
      </c>
      <c r="J24" t="b">
        <f t="shared" si="0"/>
        <v>1</v>
      </c>
    </row>
    <row r="25" spans="1:10">
      <c r="A25" s="511" t="s">
        <v>208</v>
      </c>
      <c r="B25" s="84" t="s">
        <v>153</v>
      </c>
      <c r="C25">
        <v>24</v>
      </c>
      <c r="F25" s="511" t="s">
        <v>208</v>
      </c>
      <c r="G25" s="84" t="s">
        <v>153</v>
      </c>
      <c r="H25">
        <v>24</v>
      </c>
      <c r="J25" t="b">
        <f t="shared" si="0"/>
        <v>1</v>
      </c>
    </row>
    <row r="26" spans="1:10">
      <c r="A26" s="511" t="s">
        <v>209</v>
      </c>
      <c r="B26" s="84" t="s">
        <v>210</v>
      </c>
      <c r="C26">
        <v>25</v>
      </c>
      <c r="F26" s="511" t="s">
        <v>209</v>
      </c>
      <c r="G26" s="84" t="s">
        <v>210</v>
      </c>
      <c r="H26">
        <v>25</v>
      </c>
      <c r="J26" t="b">
        <f t="shared" si="0"/>
        <v>1</v>
      </c>
    </row>
    <row r="27" spans="1:10">
      <c r="A27" s="511" t="s">
        <v>211</v>
      </c>
      <c r="B27" s="84" t="s">
        <v>212</v>
      </c>
      <c r="C27">
        <v>26</v>
      </c>
      <c r="F27" s="511" t="s">
        <v>211</v>
      </c>
      <c r="G27" s="84" t="s">
        <v>212</v>
      </c>
      <c r="H27">
        <v>26</v>
      </c>
      <c r="J27" t="b">
        <f t="shared" si="0"/>
        <v>1</v>
      </c>
    </row>
    <row r="28" spans="1:10">
      <c r="A28" s="511" t="s">
        <v>213</v>
      </c>
      <c r="B28" s="84" t="s">
        <v>214</v>
      </c>
      <c r="C28">
        <v>27</v>
      </c>
      <c r="F28" s="511" t="s">
        <v>213</v>
      </c>
      <c r="G28" s="84" t="s">
        <v>214</v>
      </c>
      <c r="H28">
        <v>27</v>
      </c>
      <c r="J28" t="b">
        <f t="shared" si="0"/>
        <v>1</v>
      </c>
    </row>
    <row r="29" spans="1:10">
      <c r="A29" s="511" t="s">
        <v>215</v>
      </c>
      <c r="B29" s="84" t="s">
        <v>216</v>
      </c>
      <c r="C29">
        <v>28</v>
      </c>
      <c r="F29" s="511" t="s">
        <v>215</v>
      </c>
      <c r="G29" s="84" t="s">
        <v>216</v>
      </c>
      <c r="H29">
        <v>28</v>
      </c>
      <c r="J29" t="b">
        <f t="shared" si="0"/>
        <v>1</v>
      </c>
    </row>
    <row r="30" spans="1:10">
      <c r="A30" s="511" t="s">
        <v>217</v>
      </c>
      <c r="B30" s="84" t="s">
        <v>218</v>
      </c>
      <c r="C30">
        <v>29</v>
      </c>
      <c r="F30" s="511" t="s">
        <v>217</v>
      </c>
      <c r="G30" s="84" t="s">
        <v>218</v>
      </c>
      <c r="H30">
        <v>29</v>
      </c>
      <c r="J30" t="b">
        <f t="shared" si="0"/>
        <v>1</v>
      </c>
    </row>
    <row r="31" spans="1:10">
      <c r="A31" s="511" t="s">
        <v>88</v>
      </c>
      <c r="B31" s="84" t="s">
        <v>219</v>
      </c>
      <c r="C31">
        <v>30</v>
      </c>
      <c r="F31" s="511" t="s">
        <v>88</v>
      </c>
      <c r="G31" s="84" t="s">
        <v>219</v>
      </c>
      <c r="H31">
        <v>30</v>
      </c>
      <c r="J31" t="b">
        <f t="shared" si="0"/>
        <v>1</v>
      </c>
    </row>
    <row r="32" spans="1:10">
      <c r="A32" s="511" t="s">
        <v>220</v>
      </c>
      <c r="B32" s="84" t="s">
        <v>221</v>
      </c>
      <c r="C32">
        <v>31</v>
      </c>
      <c r="F32" s="511" t="s">
        <v>220</v>
      </c>
      <c r="G32" s="84" t="s">
        <v>221</v>
      </c>
      <c r="H32">
        <v>31</v>
      </c>
      <c r="J32" t="b">
        <f t="shared" si="0"/>
        <v>1</v>
      </c>
    </row>
    <row r="33" spans="1:10">
      <c r="A33" s="511" t="s">
        <v>222</v>
      </c>
      <c r="B33" s="84" t="s">
        <v>223</v>
      </c>
      <c r="C33">
        <v>32</v>
      </c>
      <c r="F33" s="511" t="s">
        <v>222</v>
      </c>
      <c r="G33" s="84" t="s">
        <v>223</v>
      </c>
      <c r="H33">
        <v>32</v>
      </c>
      <c r="J33" t="b">
        <f t="shared" si="0"/>
        <v>1</v>
      </c>
    </row>
    <row r="34" spans="1:10">
      <c r="A34" s="511" t="s">
        <v>224</v>
      </c>
      <c r="B34" s="84" t="s">
        <v>225</v>
      </c>
      <c r="C34">
        <v>33</v>
      </c>
      <c r="F34" s="511" t="s">
        <v>224</v>
      </c>
      <c r="G34" s="84" t="s">
        <v>225</v>
      </c>
      <c r="H34">
        <v>33</v>
      </c>
      <c r="J34" t="b">
        <f t="shared" si="0"/>
        <v>1</v>
      </c>
    </row>
    <row r="35" spans="1:10">
      <c r="A35" s="511" t="s">
        <v>226</v>
      </c>
      <c r="B35" s="84" t="s">
        <v>227</v>
      </c>
      <c r="C35">
        <v>34</v>
      </c>
      <c r="F35" s="511" t="s">
        <v>226</v>
      </c>
      <c r="G35" s="84" t="s">
        <v>227</v>
      </c>
      <c r="H35">
        <v>34</v>
      </c>
      <c r="J35" t="b">
        <f t="shared" si="0"/>
        <v>1</v>
      </c>
    </row>
    <row r="36" spans="1:10">
      <c r="A36" s="511" t="s">
        <v>228</v>
      </c>
      <c r="B36" s="84" t="s">
        <v>229</v>
      </c>
      <c r="C36">
        <v>35</v>
      </c>
      <c r="F36" s="511" t="s">
        <v>228</v>
      </c>
      <c r="G36" s="84" t="s">
        <v>229</v>
      </c>
      <c r="H36">
        <v>35</v>
      </c>
      <c r="J36" t="b">
        <f t="shared" si="0"/>
        <v>1</v>
      </c>
    </row>
    <row r="37" spans="1:10">
      <c r="A37" s="511" t="s">
        <v>230</v>
      </c>
      <c r="B37" s="84" t="s">
        <v>231</v>
      </c>
      <c r="C37">
        <v>36</v>
      </c>
      <c r="F37" s="511" t="s">
        <v>230</v>
      </c>
      <c r="G37" s="84" t="s">
        <v>231</v>
      </c>
      <c r="H37">
        <v>36</v>
      </c>
      <c r="J37" t="b">
        <f t="shared" si="0"/>
        <v>1</v>
      </c>
    </row>
    <row r="38" spans="1:10">
      <c r="A38" s="511" t="s">
        <v>232</v>
      </c>
      <c r="B38" s="84" t="s">
        <v>233</v>
      </c>
      <c r="C38">
        <v>37</v>
      </c>
      <c r="F38" s="511" t="s">
        <v>232</v>
      </c>
      <c r="G38" s="84" t="s">
        <v>233</v>
      </c>
      <c r="H38">
        <v>37</v>
      </c>
      <c r="J38" t="b">
        <f t="shared" si="0"/>
        <v>1</v>
      </c>
    </row>
    <row r="39" spans="1:10">
      <c r="A39" s="511" t="s">
        <v>234</v>
      </c>
      <c r="B39" s="84" t="s">
        <v>235</v>
      </c>
      <c r="C39">
        <v>38</v>
      </c>
      <c r="F39" s="511" t="s">
        <v>234</v>
      </c>
      <c r="G39" s="84" t="s">
        <v>235</v>
      </c>
      <c r="H39">
        <v>38</v>
      </c>
      <c r="J39" t="b">
        <f t="shared" si="0"/>
        <v>1</v>
      </c>
    </row>
    <row r="40" spans="1:10">
      <c r="A40" s="511" t="s">
        <v>236</v>
      </c>
      <c r="B40" s="84" t="s">
        <v>237</v>
      </c>
      <c r="C40">
        <v>39</v>
      </c>
      <c r="F40" s="511" t="s">
        <v>236</v>
      </c>
      <c r="G40" s="84" t="s">
        <v>237</v>
      </c>
      <c r="H40">
        <v>39</v>
      </c>
      <c r="J40" t="b">
        <f t="shared" si="0"/>
        <v>1</v>
      </c>
    </row>
    <row r="41" spans="1:10">
      <c r="A41" s="511" t="s">
        <v>238</v>
      </c>
      <c r="B41" s="84" t="s">
        <v>239</v>
      </c>
      <c r="C41">
        <v>40</v>
      </c>
      <c r="F41" s="511" t="s">
        <v>238</v>
      </c>
      <c r="G41" s="84" t="s">
        <v>239</v>
      </c>
      <c r="H41">
        <v>40</v>
      </c>
      <c r="J41" t="b">
        <f t="shared" si="0"/>
        <v>1</v>
      </c>
    </row>
    <row r="42" spans="1:10">
      <c r="A42" s="511" t="s">
        <v>113</v>
      </c>
      <c r="B42" s="84" t="s">
        <v>240</v>
      </c>
      <c r="C42">
        <v>41</v>
      </c>
      <c r="F42" s="511" t="s">
        <v>113</v>
      </c>
      <c r="G42" s="84" t="s">
        <v>240</v>
      </c>
      <c r="H42">
        <v>41</v>
      </c>
      <c r="J42" t="b">
        <f t="shared" si="0"/>
        <v>1</v>
      </c>
    </row>
    <row r="43" spans="1:10">
      <c r="A43" s="511" t="s">
        <v>241</v>
      </c>
      <c r="B43" s="84" t="s">
        <v>242</v>
      </c>
      <c r="C43">
        <v>42</v>
      </c>
      <c r="F43" s="511" t="s">
        <v>241</v>
      </c>
      <c r="G43" s="84" t="s">
        <v>242</v>
      </c>
      <c r="H43">
        <v>42</v>
      </c>
      <c r="J43" t="b">
        <f t="shared" si="0"/>
        <v>1</v>
      </c>
    </row>
    <row r="44" spans="1:10">
      <c r="A44" s="511" t="s">
        <v>243</v>
      </c>
      <c r="B44" s="84" t="s">
        <v>244</v>
      </c>
      <c r="C44">
        <v>43</v>
      </c>
      <c r="F44" s="511" t="s">
        <v>243</v>
      </c>
      <c r="G44" s="84" t="s">
        <v>244</v>
      </c>
      <c r="H44">
        <v>43</v>
      </c>
      <c r="J44" t="b">
        <f t="shared" si="0"/>
        <v>1</v>
      </c>
    </row>
    <row r="45" spans="1:10">
      <c r="A45" s="511" t="s">
        <v>245</v>
      </c>
      <c r="B45" s="84" t="s">
        <v>246</v>
      </c>
      <c r="C45">
        <v>44</v>
      </c>
      <c r="F45" s="511" t="s">
        <v>245</v>
      </c>
      <c r="G45" s="84" t="s">
        <v>246</v>
      </c>
      <c r="H45">
        <v>44</v>
      </c>
      <c r="J45" t="b">
        <f t="shared" si="0"/>
        <v>1</v>
      </c>
    </row>
    <row r="46" spans="1:10">
      <c r="A46" s="511" t="s">
        <v>115</v>
      </c>
      <c r="B46" s="84" t="s">
        <v>247</v>
      </c>
      <c r="C46">
        <v>45</v>
      </c>
      <c r="F46" s="511" t="s">
        <v>115</v>
      </c>
      <c r="G46" s="84" t="s">
        <v>247</v>
      </c>
      <c r="H46">
        <v>45</v>
      </c>
      <c r="J46" t="b">
        <f t="shared" si="0"/>
        <v>1</v>
      </c>
    </row>
    <row r="47" spans="1:10">
      <c r="A47" s="511" t="s">
        <v>248</v>
      </c>
      <c r="B47" s="84" t="s">
        <v>249</v>
      </c>
      <c r="C47">
        <v>46</v>
      </c>
      <c r="F47" s="511" t="s">
        <v>248</v>
      </c>
      <c r="G47" s="84" t="s">
        <v>249</v>
      </c>
      <c r="H47">
        <v>46</v>
      </c>
      <c r="J47" t="b">
        <f t="shared" si="0"/>
        <v>1</v>
      </c>
    </row>
    <row r="48" spans="1:10">
      <c r="A48" s="511" t="s">
        <v>250</v>
      </c>
      <c r="B48" s="84" t="s">
        <v>251</v>
      </c>
      <c r="C48">
        <v>47</v>
      </c>
      <c r="F48" s="511" t="s">
        <v>250</v>
      </c>
      <c r="G48" s="84" t="s">
        <v>251</v>
      </c>
      <c r="H48">
        <v>47</v>
      </c>
      <c r="J48" t="b">
        <f t="shared" si="0"/>
        <v>1</v>
      </c>
    </row>
    <row r="49" spans="1:10">
      <c r="A49" s="511" t="s">
        <v>252</v>
      </c>
      <c r="B49" s="84" t="s">
        <v>253</v>
      </c>
      <c r="C49">
        <v>48</v>
      </c>
      <c r="F49" s="511" t="s">
        <v>252</v>
      </c>
      <c r="G49" s="84" t="s">
        <v>253</v>
      </c>
      <c r="H49">
        <v>48</v>
      </c>
      <c r="J49" t="b">
        <f t="shared" si="0"/>
        <v>1</v>
      </c>
    </row>
    <row r="50" spans="1:10">
      <c r="A50" s="511" t="s">
        <v>116</v>
      </c>
      <c r="B50" s="84" t="s">
        <v>254</v>
      </c>
      <c r="C50">
        <v>49</v>
      </c>
      <c r="F50" s="511" t="s">
        <v>116</v>
      </c>
      <c r="G50" s="84" t="s">
        <v>254</v>
      </c>
      <c r="H50">
        <v>49</v>
      </c>
      <c r="J50" t="b">
        <f t="shared" si="0"/>
        <v>1</v>
      </c>
    </row>
    <row r="51" spans="1:10">
      <c r="A51" s="511" t="s">
        <v>255</v>
      </c>
      <c r="B51" s="84" t="s">
        <v>256</v>
      </c>
      <c r="C51">
        <v>50</v>
      </c>
      <c r="F51" s="511" t="s">
        <v>255</v>
      </c>
      <c r="G51" s="84" t="s">
        <v>256</v>
      </c>
      <c r="H51">
        <v>50</v>
      </c>
      <c r="J51" t="b">
        <f t="shared" si="0"/>
        <v>1</v>
      </c>
    </row>
    <row r="52" spans="1:10">
      <c r="A52" s="511" t="s">
        <v>257</v>
      </c>
      <c r="B52" s="84" t="s">
        <v>258</v>
      </c>
      <c r="C52">
        <v>51</v>
      </c>
      <c r="F52" s="511" t="s">
        <v>257</v>
      </c>
      <c r="G52" s="84" t="s">
        <v>258</v>
      </c>
      <c r="H52">
        <v>51</v>
      </c>
      <c r="J52" t="b">
        <f t="shared" si="0"/>
        <v>1</v>
      </c>
    </row>
    <row r="53" spans="1:10">
      <c r="A53" s="511" t="s">
        <v>259</v>
      </c>
      <c r="B53" s="84" t="s">
        <v>260</v>
      </c>
      <c r="C53">
        <v>52</v>
      </c>
      <c r="F53" s="511" t="s">
        <v>259</v>
      </c>
      <c r="G53" s="84" t="s">
        <v>260</v>
      </c>
      <c r="H53">
        <v>52</v>
      </c>
      <c r="J53" t="b">
        <f t="shared" si="0"/>
        <v>1</v>
      </c>
    </row>
    <row r="54" spans="1:10">
      <c r="A54" s="511" t="s">
        <v>117</v>
      </c>
      <c r="B54" s="84" t="s">
        <v>261</v>
      </c>
      <c r="C54">
        <v>53</v>
      </c>
      <c r="F54" s="511" t="s">
        <v>117</v>
      </c>
      <c r="G54" s="84" t="s">
        <v>261</v>
      </c>
      <c r="H54">
        <v>53</v>
      </c>
      <c r="J54" t="b">
        <f t="shared" si="0"/>
        <v>1</v>
      </c>
    </row>
    <row r="55" spans="1:10">
      <c r="A55" s="511" t="s">
        <v>262</v>
      </c>
      <c r="B55" s="84" t="s">
        <v>263</v>
      </c>
      <c r="C55">
        <v>54</v>
      </c>
      <c r="F55" s="511" t="s">
        <v>262</v>
      </c>
      <c r="G55" s="84" t="s">
        <v>263</v>
      </c>
      <c r="H55">
        <v>54</v>
      </c>
      <c r="J55" t="b">
        <f t="shared" si="0"/>
        <v>1</v>
      </c>
    </row>
    <row r="56" spans="1:10">
      <c r="A56" s="511" t="s">
        <v>264</v>
      </c>
      <c r="B56" s="84" t="s">
        <v>265</v>
      </c>
      <c r="C56">
        <v>55</v>
      </c>
      <c r="F56" s="511" t="s">
        <v>264</v>
      </c>
      <c r="G56" s="84" t="s">
        <v>265</v>
      </c>
      <c r="H56">
        <v>55</v>
      </c>
      <c r="J56" t="b">
        <f t="shared" si="0"/>
        <v>1</v>
      </c>
    </row>
    <row r="57" spans="1:10">
      <c r="A57" s="511" t="s">
        <v>266</v>
      </c>
      <c r="B57" s="84" t="s">
        <v>267</v>
      </c>
      <c r="C57">
        <v>56</v>
      </c>
      <c r="F57" s="511" t="s">
        <v>266</v>
      </c>
      <c r="G57" s="84" t="s">
        <v>267</v>
      </c>
      <c r="H57">
        <v>56</v>
      </c>
      <c r="J57" t="b">
        <f t="shared" si="0"/>
        <v>1</v>
      </c>
    </row>
    <row r="58" spans="1:10">
      <c r="A58" s="511" t="s">
        <v>268</v>
      </c>
      <c r="B58" s="84" t="s">
        <v>269</v>
      </c>
      <c r="C58">
        <v>57</v>
      </c>
      <c r="F58" s="511" t="s">
        <v>268</v>
      </c>
      <c r="G58" s="84" t="s">
        <v>269</v>
      </c>
      <c r="H58">
        <v>57</v>
      </c>
      <c r="J58" t="b">
        <f t="shared" si="0"/>
        <v>1</v>
      </c>
    </row>
    <row r="59" spans="1:10">
      <c r="A59" s="511" t="s">
        <v>270</v>
      </c>
      <c r="B59" s="84" t="s">
        <v>271</v>
      </c>
      <c r="C59">
        <v>58</v>
      </c>
      <c r="F59" s="511" t="s">
        <v>270</v>
      </c>
      <c r="G59" s="84" t="s">
        <v>271</v>
      </c>
      <c r="H59">
        <v>58</v>
      </c>
      <c r="J59" t="b">
        <f t="shared" si="0"/>
        <v>1</v>
      </c>
    </row>
    <row r="60" spans="1:10">
      <c r="A60" s="511" t="s">
        <v>272</v>
      </c>
      <c r="B60" s="84" t="s">
        <v>273</v>
      </c>
      <c r="C60">
        <v>59</v>
      </c>
      <c r="F60" s="511" t="s">
        <v>272</v>
      </c>
      <c r="G60" s="84" t="s">
        <v>273</v>
      </c>
      <c r="H60">
        <v>59</v>
      </c>
      <c r="J60" t="b">
        <f t="shared" si="0"/>
        <v>1</v>
      </c>
    </row>
    <row r="61" spans="1:10">
      <c r="A61" s="511" t="s">
        <v>274</v>
      </c>
      <c r="B61" s="84" t="s">
        <v>275</v>
      </c>
      <c r="C61">
        <v>60</v>
      </c>
      <c r="F61" s="511" t="s">
        <v>274</v>
      </c>
      <c r="G61" s="84" t="s">
        <v>275</v>
      </c>
      <c r="H61">
        <v>60</v>
      </c>
      <c r="J61" t="b">
        <f t="shared" si="0"/>
        <v>1</v>
      </c>
    </row>
    <row r="62" spans="1:10">
      <c r="A62" s="511" t="s">
        <v>276</v>
      </c>
      <c r="B62" s="84" t="s">
        <v>277</v>
      </c>
      <c r="C62">
        <v>61</v>
      </c>
      <c r="F62" s="511" t="s">
        <v>276</v>
      </c>
      <c r="G62" s="84" t="s">
        <v>277</v>
      </c>
      <c r="H62">
        <v>61</v>
      </c>
      <c r="J62" t="b">
        <f t="shared" si="0"/>
        <v>1</v>
      </c>
    </row>
    <row r="63" spans="1:10">
      <c r="A63" s="511" t="s">
        <v>123</v>
      </c>
      <c r="B63" s="84" t="s">
        <v>278</v>
      </c>
      <c r="C63">
        <v>62</v>
      </c>
      <c r="F63" s="511" t="s">
        <v>123</v>
      </c>
      <c r="G63" s="84" t="s">
        <v>278</v>
      </c>
      <c r="H63">
        <v>62</v>
      </c>
      <c r="J63" t="b">
        <f t="shared" si="0"/>
        <v>1</v>
      </c>
    </row>
    <row r="64" spans="1:10">
      <c r="A64" s="511" t="s">
        <v>279</v>
      </c>
      <c r="B64" s="84" t="s">
        <v>280</v>
      </c>
      <c r="C64">
        <v>63</v>
      </c>
      <c r="F64" s="511" t="s">
        <v>279</v>
      </c>
      <c r="G64" s="84" t="s">
        <v>280</v>
      </c>
      <c r="H64">
        <v>63</v>
      </c>
      <c r="J64" t="b">
        <f t="shared" si="0"/>
        <v>1</v>
      </c>
    </row>
    <row r="65" spans="1:10">
      <c r="A65" s="511" t="s">
        <v>281</v>
      </c>
      <c r="B65" s="84" t="s">
        <v>282</v>
      </c>
      <c r="C65">
        <v>64</v>
      </c>
      <c r="F65" s="511" t="s">
        <v>281</v>
      </c>
      <c r="G65" s="84" t="s">
        <v>282</v>
      </c>
      <c r="H65">
        <v>64</v>
      </c>
      <c r="J65" t="b">
        <f t="shared" si="0"/>
        <v>1</v>
      </c>
    </row>
    <row r="66" spans="1:10">
      <c r="A66" s="511" t="s">
        <v>283</v>
      </c>
      <c r="B66" s="84" t="s">
        <v>284</v>
      </c>
      <c r="C66">
        <v>65</v>
      </c>
      <c r="F66" s="511" t="s">
        <v>283</v>
      </c>
      <c r="G66" s="84" t="s">
        <v>284</v>
      </c>
      <c r="H66">
        <v>65</v>
      </c>
      <c r="J66" t="b">
        <f t="shared" si="0"/>
        <v>1</v>
      </c>
    </row>
    <row r="67" spans="1:10">
      <c r="A67" s="511" t="s">
        <v>285</v>
      </c>
      <c r="B67" s="84" t="s">
        <v>286</v>
      </c>
      <c r="C67">
        <v>66</v>
      </c>
      <c r="F67" s="511" t="s">
        <v>285</v>
      </c>
      <c r="G67" s="84" t="s">
        <v>286</v>
      </c>
      <c r="H67">
        <v>66</v>
      </c>
      <c r="J67" t="b">
        <f t="shared" ref="J67:J77" si="1">A67=F67</f>
        <v>1</v>
      </c>
    </row>
    <row r="68" spans="1:10">
      <c r="A68" s="511" t="s">
        <v>287</v>
      </c>
      <c r="B68" s="84" t="s">
        <v>288</v>
      </c>
      <c r="C68">
        <v>67</v>
      </c>
      <c r="F68" s="511" t="s">
        <v>287</v>
      </c>
      <c r="G68" s="84" t="s">
        <v>288</v>
      </c>
      <c r="H68">
        <v>67</v>
      </c>
      <c r="J68" t="b">
        <f t="shared" si="1"/>
        <v>1</v>
      </c>
    </row>
    <row r="69" spans="1:10">
      <c r="A69" s="511" t="s">
        <v>289</v>
      </c>
      <c r="B69" s="84" t="s">
        <v>290</v>
      </c>
      <c r="C69">
        <v>68</v>
      </c>
      <c r="F69" s="511" t="s">
        <v>289</v>
      </c>
      <c r="G69" s="84" t="s">
        <v>290</v>
      </c>
      <c r="H69">
        <v>68</v>
      </c>
      <c r="J69" t="b">
        <f t="shared" si="1"/>
        <v>1</v>
      </c>
    </row>
    <row r="70" spans="1:10">
      <c r="A70" s="511" t="s">
        <v>291</v>
      </c>
      <c r="B70" s="84" t="s">
        <v>292</v>
      </c>
      <c r="C70">
        <v>69</v>
      </c>
      <c r="F70" s="511" t="s">
        <v>291</v>
      </c>
      <c r="G70" s="84" t="s">
        <v>292</v>
      </c>
      <c r="H70">
        <v>69</v>
      </c>
      <c r="J70" t="b">
        <f t="shared" si="1"/>
        <v>1</v>
      </c>
    </row>
    <row r="71" spans="1:10">
      <c r="A71" s="511" t="s">
        <v>293</v>
      </c>
      <c r="B71" s="84" t="s">
        <v>294</v>
      </c>
      <c r="C71">
        <v>70</v>
      </c>
      <c r="F71" s="511" t="s">
        <v>293</v>
      </c>
      <c r="G71" s="84" t="s">
        <v>294</v>
      </c>
      <c r="H71">
        <v>70</v>
      </c>
      <c r="J71" t="b">
        <f t="shared" si="1"/>
        <v>1</v>
      </c>
    </row>
    <row r="72" spans="1:10">
      <c r="A72" s="511" t="s">
        <v>295</v>
      </c>
      <c r="B72" s="84" t="s">
        <v>296</v>
      </c>
      <c r="C72">
        <v>71</v>
      </c>
      <c r="F72" s="511" t="s">
        <v>295</v>
      </c>
      <c r="G72" s="84" t="s">
        <v>296</v>
      </c>
      <c r="H72">
        <v>71</v>
      </c>
      <c r="J72" t="b">
        <f t="shared" si="1"/>
        <v>1</v>
      </c>
    </row>
    <row r="73" spans="1:10">
      <c r="A73" s="511" t="s">
        <v>297</v>
      </c>
      <c r="B73" s="84" t="s">
        <v>298</v>
      </c>
      <c r="C73">
        <v>72</v>
      </c>
      <c r="F73" s="511" t="s">
        <v>297</v>
      </c>
      <c r="G73" s="84" t="s">
        <v>298</v>
      </c>
      <c r="H73">
        <v>72</v>
      </c>
      <c r="J73" t="b">
        <f t="shared" si="1"/>
        <v>1</v>
      </c>
    </row>
    <row r="74" spans="1:10">
      <c r="A74" s="511" t="s">
        <v>299</v>
      </c>
      <c r="B74" s="84" t="s">
        <v>300</v>
      </c>
      <c r="C74">
        <v>73</v>
      </c>
      <c r="F74" s="511" t="s">
        <v>299</v>
      </c>
      <c r="G74" s="84" t="s">
        <v>300</v>
      </c>
      <c r="H74">
        <v>73</v>
      </c>
      <c r="J74" t="b">
        <f t="shared" si="1"/>
        <v>1</v>
      </c>
    </row>
    <row r="75" spans="1:10">
      <c r="A75" s="511" t="s">
        <v>301</v>
      </c>
      <c r="B75" s="84" t="s">
        <v>302</v>
      </c>
      <c r="C75">
        <v>74</v>
      </c>
      <c r="F75" s="511" t="s">
        <v>301</v>
      </c>
      <c r="G75" s="84" t="s">
        <v>302</v>
      </c>
      <c r="H75">
        <v>74</v>
      </c>
      <c r="J75" t="b">
        <f t="shared" si="1"/>
        <v>1</v>
      </c>
    </row>
    <row r="76" spans="1:10">
      <c r="A76" s="511" t="s">
        <v>303</v>
      </c>
      <c r="B76" s="84" t="s">
        <v>304</v>
      </c>
      <c r="C76">
        <v>75</v>
      </c>
      <c r="F76" s="511" t="s">
        <v>303</v>
      </c>
      <c r="G76" s="84" t="s">
        <v>304</v>
      </c>
      <c r="H76">
        <v>75</v>
      </c>
      <c r="J76" t="b">
        <f t="shared" si="1"/>
        <v>1</v>
      </c>
    </row>
    <row r="77" spans="1:10">
      <c r="A77" s="511" t="s">
        <v>305</v>
      </c>
      <c r="B77" s="84" t="s">
        <v>306</v>
      </c>
      <c r="C77">
        <v>76</v>
      </c>
      <c r="F77" s="511" t="s">
        <v>305</v>
      </c>
      <c r="G77" s="84" t="s">
        <v>306</v>
      </c>
      <c r="H77">
        <v>76</v>
      </c>
      <c r="J77" t="b">
        <f t="shared" si="1"/>
        <v>1</v>
      </c>
    </row>
    <row r="78" spans="1:10">
      <c r="A78" s="511" t="s">
        <v>307</v>
      </c>
      <c r="B78" s="84" t="s">
        <v>308</v>
      </c>
      <c r="C78">
        <v>77</v>
      </c>
      <c r="F78" s="511" t="s">
        <v>309</v>
      </c>
      <c r="G78" s="84" t="s">
        <v>308</v>
      </c>
      <c r="H78">
        <v>77</v>
      </c>
      <c r="J78" t="b">
        <v>1</v>
      </c>
    </row>
    <row r="79" spans="1:10">
      <c r="A79" s="511" t="s">
        <v>310</v>
      </c>
      <c r="B79" s="84" t="s">
        <v>311</v>
      </c>
      <c r="C79">
        <v>78</v>
      </c>
      <c r="F79" s="511" t="s">
        <v>310</v>
      </c>
      <c r="G79" s="84" t="s">
        <v>311</v>
      </c>
      <c r="H79">
        <v>78</v>
      </c>
      <c r="J79" t="b">
        <f t="shared" ref="J79:J107" si="2">A79=F79</f>
        <v>1</v>
      </c>
    </row>
    <row r="80" spans="1:10">
      <c r="A80" s="511" t="s">
        <v>312</v>
      </c>
      <c r="B80" s="84" t="s">
        <v>313</v>
      </c>
      <c r="C80">
        <v>79</v>
      </c>
      <c r="F80" s="511" t="s">
        <v>312</v>
      </c>
      <c r="G80" s="84" t="s">
        <v>313</v>
      </c>
      <c r="H80">
        <v>79</v>
      </c>
      <c r="J80" t="b">
        <f t="shared" si="2"/>
        <v>1</v>
      </c>
    </row>
    <row r="81" spans="1:10">
      <c r="A81" s="511" t="s">
        <v>314</v>
      </c>
      <c r="B81" s="84" t="s">
        <v>315</v>
      </c>
      <c r="C81">
        <v>80</v>
      </c>
      <c r="F81" s="511" t="s">
        <v>314</v>
      </c>
      <c r="G81" s="84" t="s">
        <v>315</v>
      </c>
      <c r="H81">
        <v>80</v>
      </c>
      <c r="J81" t="b">
        <f t="shared" si="2"/>
        <v>1</v>
      </c>
    </row>
    <row r="82" spans="1:10">
      <c r="A82" s="511" t="s">
        <v>316</v>
      </c>
      <c r="B82" s="84" t="s">
        <v>317</v>
      </c>
      <c r="C82">
        <v>81</v>
      </c>
      <c r="F82" s="511" t="s">
        <v>316</v>
      </c>
      <c r="G82" s="84" t="s">
        <v>317</v>
      </c>
      <c r="H82">
        <v>81</v>
      </c>
      <c r="J82" t="b">
        <f t="shared" si="2"/>
        <v>1</v>
      </c>
    </row>
    <row r="83" spans="1:10">
      <c r="A83" s="511" t="s">
        <v>318</v>
      </c>
      <c r="B83" s="84" t="s">
        <v>319</v>
      </c>
      <c r="C83">
        <v>82</v>
      </c>
      <c r="F83" s="511" t="s">
        <v>318</v>
      </c>
      <c r="G83" s="84" t="s">
        <v>319</v>
      </c>
      <c r="H83">
        <v>82</v>
      </c>
      <c r="J83" t="b">
        <f t="shared" si="2"/>
        <v>1</v>
      </c>
    </row>
    <row r="84" spans="1:10">
      <c r="A84" s="511" t="s">
        <v>320</v>
      </c>
      <c r="B84" s="84" t="s">
        <v>321</v>
      </c>
      <c r="C84">
        <v>83</v>
      </c>
      <c r="F84" s="511" t="s">
        <v>320</v>
      </c>
      <c r="G84" s="84" t="s">
        <v>321</v>
      </c>
      <c r="H84">
        <v>83</v>
      </c>
      <c r="J84" t="b">
        <f t="shared" si="2"/>
        <v>1</v>
      </c>
    </row>
    <row r="85" spans="1:10">
      <c r="A85" s="511" t="s">
        <v>322</v>
      </c>
      <c r="B85" s="84" t="s">
        <v>323</v>
      </c>
      <c r="C85">
        <v>84</v>
      </c>
      <c r="F85" s="511" t="s">
        <v>322</v>
      </c>
      <c r="G85" s="84" t="s">
        <v>323</v>
      </c>
      <c r="H85">
        <v>84</v>
      </c>
      <c r="J85" t="b">
        <f t="shared" si="2"/>
        <v>1</v>
      </c>
    </row>
    <row r="86" spans="1:10">
      <c r="A86" s="511" t="s">
        <v>324</v>
      </c>
      <c r="B86" s="84" t="s">
        <v>325</v>
      </c>
      <c r="C86">
        <v>85</v>
      </c>
      <c r="F86" s="511" t="s">
        <v>324</v>
      </c>
      <c r="G86" s="84" t="s">
        <v>325</v>
      </c>
      <c r="H86">
        <v>85</v>
      </c>
      <c r="J86" t="b">
        <f t="shared" si="2"/>
        <v>1</v>
      </c>
    </row>
    <row r="87" spans="1:10">
      <c r="A87" s="511" t="s">
        <v>326</v>
      </c>
      <c r="B87" s="84" t="s">
        <v>327</v>
      </c>
      <c r="C87">
        <v>86</v>
      </c>
      <c r="F87" s="511" t="s">
        <v>326</v>
      </c>
      <c r="G87" s="84" t="s">
        <v>327</v>
      </c>
      <c r="H87">
        <v>86</v>
      </c>
      <c r="J87" t="b">
        <f t="shared" si="2"/>
        <v>1</v>
      </c>
    </row>
    <row r="88" spans="1:10">
      <c r="A88" s="511" t="s">
        <v>150</v>
      </c>
      <c r="B88" s="84" t="s">
        <v>328</v>
      </c>
      <c r="C88">
        <v>87</v>
      </c>
      <c r="F88" s="511" t="s">
        <v>150</v>
      </c>
      <c r="G88" s="84" t="s">
        <v>328</v>
      </c>
      <c r="H88">
        <v>87</v>
      </c>
      <c r="J88" t="b">
        <f t="shared" si="2"/>
        <v>1</v>
      </c>
    </row>
    <row r="89" spans="1:10">
      <c r="A89" s="511" t="s">
        <v>329</v>
      </c>
      <c r="B89" s="84" t="s">
        <v>330</v>
      </c>
      <c r="C89">
        <v>88</v>
      </c>
      <c r="F89" s="511" t="s">
        <v>329</v>
      </c>
      <c r="G89" s="84" t="s">
        <v>330</v>
      </c>
      <c r="H89">
        <v>88</v>
      </c>
      <c r="J89" t="b">
        <f t="shared" si="2"/>
        <v>1</v>
      </c>
    </row>
    <row r="90" spans="1:10">
      <c r="A90" s="511" t="s">
        <v>331</v>
      </c>
      <c r="B90" s="84" t="s">
        <v>332</v>
      </c>
      <c r="C90">
        <v>89</v>
      </c>
      <c r="F90" s="511" t="s">
        <v>331</v>
      </c>
      <c r="G90" s="84" t="s">
        <v>332</v>
      </c>
      <c r="H90">
        <v>89</v>
      </c>
      <c r="J90" t="b">
        <f t="shared" si="2"/>
        <v>1</v>
      </c>
    </row>
    <row r="91" spans="1:10">
      <c r="A91" s="511" t="s">
        <v>333</v>
      </c>
      <c r="B91" s="84" t="s">
        <v>334</v>
      </c>
      <c r="C91">
        <v>90</v>
      </c>
      <c r="F91" s="511" t="s">
        <v>333</v>
      </c>
      <c r="G91" s="84" t="s">
        <v>334</v>
      </c>
      <c r="H91">
        <v>90</v>
      </c>
      <c r="J91" t="b">
        <f t="shared" si="2"/>
        <v>1</v>
      </c>
    </row>
    <row r="92" spans="1:10">
      <c r="A92" s="511" t="s">
        <v>335</v>
      </c>
      <c r="B92" s="84" t="s">
        <v>336</v>
      </c>
      <c r="C92">
        <v>91</v>
      </c>
      <c r="F92" s="511" t="s">
        <v>335</v>
      </c>
      <c r="G92" s="84" t="s">
        <v>336</v>
      </c>
      <c r="H92">
        <v>91</v>
      </c>
      <c r="J92" t="b">
        <f t="shared" si="2"/>
        <v>1</v>
      </c>
    </row>
    <row r="93" spans="1:10">
      <c r="A93" s="511" t="s">
        <v>337</v>
      </c>
      <c r="B93" s="84" t="s">
        <v>338</v>
      </c>
      <c r="C93">
        <v>92</v>
      </c>
      <c r="F93" s="511" t="s">
        <v>337</v>
      </c>
      <c r="G93" s="84" t="s">
        <v>338</v>
      </c>
      <c r="H93">
        <v>92</v>
      </c>
      <c r="J93" t="b">
        <f t="shared" si="2"/>
        <v>1</v>
      </c>
    </row>
    <row r="94" spans="1:10">
      <c r="A94" s="511" t="s">
        <v>339</v>
      </c>
      <c r="B94" s="84" t="s">
        <v>340</v>
      </c>
      <c r="C94">
        <v>93</v>
      </c>
      <c r="F94" s="511" t="s">
        <v>339</v>
      </c>
      <c r="G94" s="84" t="s">
        <v>340</v>
      </c>
      <c r="H94">
        <v>93</v>
      </c>
      <c r="J94" t="b">
        <f t="shared" si="2"/>
        <v>1</v>
      </c>
    </row>
    <row r="95" spans="1:10">
      <c r="A95" s="511" t="s">
        <v>341</v>
      </c>
      <c r="B95" s="84" t="s">
        <v>342</v>
      </c>
      <c r="C95">
        <v>94</v>
      </c>
      <c r="F95" s="511" t="s">
        <v>341</v>
      </c>
      <c r="G95" s="84" t="s">
        <v>342</v>
      </c>
      <c r="H95">
        <v>94</v>
      </c>
      <c r="J95" t="b">
        <f t="shared" si="2"/>
        <v>1</v>
      </c>
    </row>
    <row r="96" spans="1:10">
      <c r="A96" s="511" t="s">
        <v>343</v>
      </c>
      <c r="B96" s="84" t="s">
        <v>344</v>
      </c>
      <c r="C96">
        <v>95</v>
      </c>
      <c r="F96" s="511" t="s">
        <v>343</v>
      </c>
      <c r="G96" s="84" t="s">
        <v>344</v>
      </c>
      <c r="H96">
        <v>95</v>
      </c>
      <c r="J96" t="b">
        <f t="shared" si="2"/>
        <v>1</v>
      </c>
    </row>
    <row r="97" spans="1:10">
      <c r="A97" s="511" t="s">
        <v>345</v>
      </c>
      <c r="B97" s="84" t="s">
        <v>173</v>
      </c>
      <c r="C97">
        <v>96</v>
      </c>
      <c r="F97" s="511" t="s">
        <v>345</v>
      </c>
      <c r="G97" s="84" t="s">
        <v>173</v>
      </c>
      <c r="H97">
        <v>96</v>
      </c>
      <c r="J97" t="b">
        <f t="shared" si="2"/>
        <v>1</v>
      </c>
    </row>
    <row r="98" spans="1:10">
      <c r="A98" s="511" t="s">
        <v>346</v>
      </c>
      <c r="B98" s="84" t="s">
        <v>347</v>
      </c>
      <c r="C98">
        <v>97</v>
      </c>
      <c r="F98" s="511" t="s">
        <v>346</v>
      </c>
      <c r="G98" s="84" t="s">
        <v>347</v>
      </c>
      <c r="H98">
        <v>97</v>
      </c>
      <c r="J98" t="b">
        <f t="shared" si="2"/>
        <v>1</v>
      </c>
    </row>
    <row r="99" spans="1:10">
      <c r="A99" s="511" t="s">
        <v>348</v>
      </c>
      <c r="B99" s="84" t="s">
        <v>349</v>
      </c>
      <c r="C99">
        <v>98</v>
      </c>
      <c r="F99" s="511" t="s">
        <v>348</v>
      </c>
      <c r="G99" s="84" t="s">
        <v>349</v>
      </c>
      <c r="H99">
        <v>98</v>
      </c>
      <c r="J99" t="b">
        <f t="shared" si="2"/>
        <v>1</v>
      </c>
    </row>
    <row r="100" spans="1:10">
      <c r="A100" s="511" t="s">
        <v>350</v>
      </c>
      <c r="B100" s="84" t="s">
        <v>351</v>
      </c>
      <c r="C100">
        <v>99</v>
      </c>
      <c r="F100" s="511" t="s">
        <v>350</v>
      </c>
      <c r="G100" s="84" t="s">
        <v>351</v>
      </c>
      <c r="H100">
        <v>99</v>
      </c>
      <c r="J100" t="b">
        <f t="shared" si="2"/>
        <v>1</v>
      </c>
    </row>
    <row r="101" spans="1:10">
      <c r="A101" s="511" t="s">
        <v>352</v>
      </c>
      <c r="B101" s="84" t="s">
        <v>353</v>
      </c>
      <c r="C101">
        <v>100</v>
      </c>
      <c r="F101" s="511" t="s">
        <v>352</v>
      </c>
      <c r="G101" s="84" t="s">
        <v>353</v>
      </c>
      <c r="H101">
        <v>100</v>
      </c>
      <c r="J101" t="b">
        <f t="shared" si="2"/>
        <v>1</v>
      </c>
    </row>
    <row r="102" spans="1:10">
      <c r="A102" s="511" t="s">
        <v>354</v>
      </c>
      <c r="B102" s="84" t="s">
        <v>355</v>
      </c>
      <c r="C102">
        <v>101</v>
      </c>
      <c r="F102" s="511" t="s">
        <v>354</v>
      </c>
      <c r="G102" s="84" t="s">
        <v>355</v>
      </c>
      <c r="H102">
        <v>101</v>
      </c>
      <c r="J102" t="b">
        <f t="shared" si="2"/>
        <v>1</v>
      </c>
    </row>
    <row r="103" spans="1:10">
      <c r="A103" s="511" t="s">
        <v>356</v>
      </c>
      <c r="B103" s="84" t="s">
        <v>357</v>
      </c>
      <c r="C103">
        <v>102</v>
      </c>
      <c r="F103" s="511" t="s">
        <v>356</v>
      </c>
      <c r="G103" s="84" t="s">
        <v>357</v>
      </c>
      <c r="H103">
        <v>102</v>
      </c>
      <c r="J103" t="b">
        <f t="shared" si="2"/>
        <v>1</v>
      </c>
    </row>
    <row r="104" spans="1:10">
      <c r="A104" s="511" t="s">
        <v>358</v>
      </c>
      <c r="B104" s="84" t="s">
        <v>359</v>
      </c>
      <c r="C104">
        <v>103</v>
      </c>
      <c r="F104" s="511" t="s">
        <v>358</v>
      </c>
      <c r="G104" s="84" t="s">
        <v>359</v>
      </c>
      <c r="H104">
        <v>103</v>
      </c>
      <c r="J104" t="b">
        <f t="shared" si="2"/>
        <v>1</v>
      </c>
    </row>
    <row r="105" spans="1:10">
      <c r="A105" s="511" t="s">
        <v>360</v>
      </c>
      <c r="B105" s="84" t="s">
        <v>361</v>
      </c>
      <c r="C105">
        <v>104</v>
      </c>
      <c r="F105" s="511" t="s">
        <v>360</v>
      </c>
      <c r="G105" s="84" t="s">
        <v>361</v>
      </c>
      <c r="H105">
        <v>104</v>
      </c>
      <c r="J105" t="b">
        <f t="shared" si="2"/>
        <v>1</v>
      </c>
    </row>
    <row r="106" spans="1:10">
      <c r="A106" s="511" t="s">
        <v>362</v>
      </c>
      <c r="B106" s="84" t="s">
        <v>363</v>
      </c>
      <c r="C106">
        <v>105</v>
      </c>
      <c r="F106" s="511" t="s">
        <v>362</v>
      </c>
      <c r="G106" s="84" t="s">
        <v>363</v>
      </c>
      <c r="H106">
        <v>105</v>
      </c>
      <c r="J106" t="b">
        <f t="shared" si="2"/>
        <v>1</v>
      </c>
    </row>
    <row r="107" spans="1:10">
      <c r="A107" s="511" t="s">
        <v>364</v>
      </c>
      <c r="B107" s="84" t="s">
        <v>365</v>
      </c>
      <c r="C107">
        <v>106</v>
      </c>
      <c r="F107" s="511" t="s">
        <v>364</v>
      </c>
      <c r="G107" s="84" t="s">
        <v>365</v>
      </c>
      <c r="H107">
        <v>106</v>
      </c>
      <c r="J107" t="b">
        <f t="shared" si="2"/>
        <v>1</v>
      </c>
    </row>
    <row r="108" spans="1:10">
      <c r="A108" s="511" t="s">
        <v>366</v>
      </c>
      <c r="B108" s="84" t="s">
        <v>367</v>
      </c>
      <c r="C108">
        <v>107</v>
      </c>
      <c r="E108" t="s">
        <v>368</v>
      </c>
      <c r="F108" s="511" t="s">
        <v>369</v>
      </c>
      <c r="G108" s="84" t="s">
        <v>367</v>
      </c>
      <c r="H108">
        <v>107</v>
      </c>
      <c r="I108" t="s">
        <v>370</v>
      </c>
    </row>
    <row r="109" spans="1:10">
      <c r="A109" s="511" t="s">
        <v>371</v>
      </c>
      <c r="B109" s="84" t="s">
        <v>372</v>
      </c>
      <c r="C109">
        <v>108</v>
      </c>
      <c r="E109" t="s">
        <v>368</v>
      </c>
      <c r="F109" s="511" t="s">
        <v>373</v>
      </c>
      <c r="G109" s="84" t="s">
        <v>372</v>
      </c>
      <c r="H109">
        <v>108</v>
      </c>
      <c r="I109" t="s">
        <v>370</v>
      </c>
    </row>
    <row r="110" spans="1:10">
      <c r="A110" s="511" t="s">
        <v>374</v>
      </c>
      <c r="B110" s="84" t="s">
        <v>375</v>
      </c>
      <c r="C110">
        <v>109</v>
      </c>
      <c r="E110" t="s">
        <v>368</v>
      </c>
      <c r="F110" s="511" t="s">
        <v>376</v>
      </c>
      <c r="G110" s="84" t="s">
        <v>375</v>
      </c>
      <c r="H110">
        <v>109</v>
      </c>
      <c r="I110" t="s">
        <v>370</v>
      </c>
    </row>
    <row r="111" spans="1:10">
      <c r="A111" s="511" t="s">
        <v>377</v>
      </c>
      <c r="B111" s="84" t="s">
        <v>378</v>
      </c>
      <c r="C111">
        <v>110</v>
      </c>
      <c r="E111" t="s">
        <v>368</v>
      </c>
      <c r="F111" s="511" t="s">
        <v>379</v>
      </c>
      <c r="G111" s="84" t="s">
        <v>378</v>
      </c>
      <c r="H111">
        <v>110</v>
      </c>
      <c r="I111" t="s">
        <v>370</v>
      </c>
    </row>
    <row r="112" spans="1:10">
      <c r="A112" s="511" t="s">
        <v>380</v>
      </c>
      <c r="B112" s="84" t="s">
        <v>381</v>
      </c>
      <c r="C112">
        <v>111</v>
      </c>
      <c r="E112" t="s">
        <v>368</v>
      </c>
      <c r="F112" s="511" t="s">
        <v>382</v>
      </c>
      <c r="G112" s="84" t="s">
        <v>381</v>
      </c>
      <c r="H112">
        <v>111</v>
      </c>
      <c r="I112" t="s">
        <v>370</v>
      </c>
    </row>
    <row r="113" spans="1:10">
      <c r="A113" s="511" t="s">
        <v>383</v>
      </c>
      <c r="B113" s="84" t="s">
        <v>384</v>
      </c>
      <c r="C113">
        <v>112</v>
      </c>
      <c r="E113" t="s">
        <v>368</v>
      </c>
      <c r="F113" s="511" t="s">
        <v>385</v>
      </c>
      <c r="G113" s="84" t="s">
        <v>384</v>
      </c>
      <c r="H113">
        <v>112</v>
      </c>
      <c r="I113" t="s">
        <v>370</v>
      </c>
    </row>
    <row r="114" spans="1:10">
      <c r="A114" s="511" t="s">
        <v>386</v>
      </c>
      <c r="B114" s="84" t="s">
        <v>387</v>
      </c>
      <c r="C114">
        <v>113</v>
      </c>
      <c r="D114">
        <v>123</v>
      </c>
      <c r="F114" s="511" t="s">
        <v>388</v>
      </c>
      <c r="G114" s="84" t="s">
        <v>387</v>
      </c>
      <c r="H114">
        <v>113</v>
      </c>
      <c r="I114" t="s">
        <v>370</v>
      </c>
    </row>
    <row r="115" spans="1:10">
      <c r="A115" s="511" t="s">
        <v>389</v>
      </c>
      <c r="B115" s="84" t="s">
        <v>390</v>
      </c>
      <c r="C115">
        <v>114</v>
      </c>
      <c r="D115">
        <v>124</v>
      </c>
      <c r="F115" s="511" t="s">
        <v>391</v>
      </c>
      <c r="G115" s="84" t="s">
        <v>390</v>
      </c>
      <c r="H115">
        <v>114</v>
      </c>
      <c r="I115" t="s">
        <v>370</v>
      </c>
    </row>
    <row r="116" spans="1:10">
      <c r="A116" s="511" t="s">
        <v>392</v>
      </c>
      <c r="B116" s="84" t="s">
        <v>393</v>
      </c>
      <c r="C116">
        <v>115</v>
      </c>
      <c r="D116">
        <v>125</v>
      </c>
      <c r="F116" s="511" t="s">
        <v>394</v>
      </c>
      <c r="G116" s="84" t="s">
        <v>393</v>
      </c>
      <c r="H116">
        <v>115</v>
      </c>
      <c r="I116" t="s">
        <v>370</v>
      </c>
    </row>
    <row r="117" spans="1:10">
      <c r="A117" s="511" t="s">
        <v>395</v>
      </c>
      <c r="B117" s="84" t="s">
        <v>396</v>
      </c>
      <c r="C117">
        <v>116</v>
      </c>
      <c r="D117">
        <v>126</v>
      </c>
      <c r="F117" s="511" t="s">
        <v>397</v>
      </c>
      <c r="G117" s="84" t="s">
        <v>396</v>
      </c>
      <c r="H117">
        <v>116</v>
      </c>
      <c r="I117" t="s">
        <v>370</v>
      </c>
    </row>
    <row r="118" spans="1:10">
      <c r="A118" s="511" t="s">
        <v>398</v>
      </c>
      <c r="B118" s="84" t="s">
        <v>399</v>
      </c>
      <c r="C118">
        <v>117</v>
      </c>
      <c r="D118">
        <v>127</v>
      </c>
      <c r="F118" s="511" t="s">
        <v>400</v>
      </c>
      <c r="G118" s="84" t="s">
        <v>399</v>
      </c>
      <c r="H118">
        <v>117</v>
      </c>
      <c r="I118" t="s">
        <v>370</v>
      </c>
    </row>
    <row r="119" spans="1:10">
      <c r="A119" s="511" t="s">
        <v>401</v>
      </c>
      <c r="B119" s="84" t="s">
        <v>402</v>
      </c>
      <c r="C119">
        <v>118</v>
      </c>
      <c r="D119">
        <v>128</v>
      </c>
      <c r="F119" s="511" t="s">
        <v>403</v>
      </c>
      <c r="G119" s="84" t="s">
        <v>402</v>
      </c>
      <c r="H119">
        <v>118</v>
      </c>
      <c r="I119" t="s">
        <v>370</v>
      </c>
    </row>
    <row r="120" spans="1:10">
      <c r="A120" s="511" t="s">
        <v>404</v>
      </c>
      <c r="B120" s="84" t="s">
        <v>405</v>
      </c>
      <c r="C120">
        <v>119</v>
      </c>
      <c r="D120">
        <v>129</v>
      </c>
      <c r="F120" s="511" t="s">
        <v>406</v>
      </c>
      <c r="G120" s="84" t="s">
        <v>405</v>
      </c>
      <c r="H120">
        <v>119</v>
      </c>
      <c r="I120" t="s">
        <v>370</v>
      </c>
    </row>
    <row r="121" spans="1:10">
      <c r="A121" s="511" t="s">
        <v>407</v>
      </c>
      <c r="B121" s="84" t="s">
        <v>408</v>
      </c>
      <c r="C121">
        <v>120</v>
      </c>
      <c r="D121">
        <v>130</v>
      </c>
      <c r="F121" s="511" t="s">
        <v>409</v>
      </c>
      <c r="G121" s="84" t="s">
        <v>408</v>
      </c>
      <c r="H121">
        <v>120</v>
      </c>
      <c r="I121" t="s">
        <v>370</v>
      </c>
    </row>
    <row r="122" spans="1:10">
      <c r="A122" s="511" t="s">
        <v>410</v>
      </c>
      <c r="B122" s="84" t="s">
        <v>411</v>
      </c>
      <c r="C122">
        <v>121</v>
      </c>
      <c r="D122">
        <v>131</v>
      </c>
      <c r="F122" s="511" t="s">
        <v>412</v>
      </c>
      <c r="G122" s="84" t="s">
        <v>411</v>
      </c>
      <c r="H122">
        <v>121</v>
      </c>
      <c r="I122" t="s">
        <v>370</v>
      </c>
    </row>
    <row r="123" spans="1:10">
      <c r="A123" s="511" t="s">
        <v>413</v>
      </c>
      <c r="B123" s="84" t="s">
        <v>414</v>
      </c>
      <c r="C123">
        <v>122</v>
      </c>
      <c r="D123">
        <v>132</v>
      </c>
      <c r="F123" s="511" t="s">
        <v>415</v>
      </c>
      <c r="G123" s="84" t="s">
        <v>414</v>
      </c>
      <c r="H123">
        <v>122</v>
      </c>
      <c r="I123" t="s">
        <v>370</v>
      </c>
    </row>
    <row r="124" spans="1:10">
      <c r="A124" s="511" t="s">
        <v>416</v>
      </c>
      <c r="B124" s="84" t="s">
        <v>417</v>
      </c>
      <c r="C124">
        <v>123</v>
      </c>
      <c r="D124">
        <v>133</v>
      </c>
      <c r="F124" s="511" t="s">
        <v>386</v>
      </c>
      <c r="G124" s="84" t="s">
        <v>417</v>
      </c>
      <c r="H124">
        <v>123</v>
      </c>
      <c r="J124" t="b">
        <f>A114=F124</f>
        <v>1</v>
      </c>
    </row>
    <row r="125" spans="1:10">
      <c r="A125" s="511" t="s">
        <v>418</v>
      </c>
      <c r="B125" s="84" t="s">
        <v>419</v>
      </c>
      <c r="C125">
        <v>124</v>
      </c>
      <c r="D125">
        <v>134</v>
      </c>
      <c r="F125" s="511" t="s">
        <v>389</v>
      </c>
      <c r="G125" s="84" t="s">
        <v>419</v>
      </c>
      <c r="H125">
        <v>124</v>
      </c>
      <c r="J125" t="b">
        <f t="shared" ref="J125:J171" si="3">A115=F125</f>
        <v>1</v>
      </c>
    </row>
    <row r="126" spans="1:10">
      <c r="A126" s="511" t="s">
        <v>420</v>
      </c>
      <c r="B126" s="84" t="s">
        <v>421</v>
      </c>
      <c r="C126">
        <v>125</v>
      </c>
      <c r="D126">
        <v>135</v>
      </c>
      <c r="F126" s="511" t="s">
        <v>392</v>
      </c>
      <c r="G126" s="84" t="s">
        <v>421</v>
      </c>
      <c r="H126">
        <v>125</v>
      </c>
      <c r="J126" t="b">
        <f t="shared" si="3"/>
        <v>1</v>
      </c>
    </row>
    <row r="127" spans="1:10">
      <c r="A127" s="511" t="s">
        <v>422</v>
      </c>
      <c r="B127" s="84" t="s">
        <v>423</v>
      </c>
      <c r="C127">
        <v>126</v>
      </c>
      <c r="D127">
        <v>136</v>
      </c>
      <c r="F127" s="511" t="s">
        <v>395</v>
      </c>
      <c r="G127" s="84" t="s">
        <v>423</v>
      </c>
      <c r="H127">
        <v>126</v>
      </c>
      <c r="J127" t="b">
        <f t="shared" si="3"/>
        <v>1</v>
      </c>
    </row>
    <row r="128" spans="1:10">
      <c r="A128" s="511" t="s">
        <v>424</v>
      </c>
      <c r="B128" s="84" t="s">
        <v>425</v>
      </c>
      <c r="C128">
        <v>127</v>
      </c>
      <c r="D128">
        <v>137</v>
      </c>
      <c r="F128" s="511" t="s">
        <v>398</v>
      </c>
      <c r="G128" s="84" t="s">
        <v>425</v>
      </c>
      <c r="H128">
        <v>127</v>
      </c>
      <c r="J128" t="b">
        <f t="shared" si="3"/>
        <v>1</v>
      </c>
    </row>
    <row r="129" spans="1:10">
      <c r="A129" s="511" t="s">
        <v>426</v>
      </c>
      <c r="B129" s="84" t="s">
        <v>427</v>
      </c>
      <c r="C129">
        <v>128</v>
      </c>
      <c r="D129">
        <v>138</v>
      </c>
      <c r="F129" s="511" t="s">
        <v>401</v>
      </c>
      <c r="G129" s="84" t="s">
        <v>427</v>
      </c>
      <c r="H129">
        <v>128</v>
      </c>
      <c r="J129" t="b">
        <f t="shared" si="3"/>
        <v>1</v>
      </c>
    </row>
    <row r="130" spans="1:10">
      <c r="A130" s="511" t="s">
        <v>428</v>
      </c>
      <c r="B130" s="84" t="s">
        <v>429</v>
      </c>
      <c r="C130">
        <v>129</v>
      </c>
      <c r="D130">
        <v>139</v>
      </c>
      <c r="F130" s="511" t="s">
        <v>404</v>
      </c>
      <c r="G130" s="84" t="s">
        <v>429</v>
      </c>
      <c r="H130">
        <v>129</v>
      </c>
      <c r="J130" t="b">
        <f t="shared" si="3"/>
        <v>1</v>
      </c>
    </row>
    <row r="131" spans="1:10">
      <c r="A131" s="511" t="s">
        <v>430</v>
      </c>
      <c r="B131" s="84" t="s">
        <v>431</v>
      </c>
      <c r="C131">
        <v>130</v>
      </c>
      <c r="D131">
        <v>140</v>
      </c>
      <c r="F131" s="511" t="s">
        <v>407</v>
      </c>
      <c r="G131" s="84" t="s">
        <v>431</v>
      </c>
      <c r="H131">
        <v>130</v>
      </c>
      <c r="J131" t="b">
        <f t="shared" si="3"/>
        <v>1</v>
      </c>
    </row>
    <row r="132" spans="1:10">
      <c r="A132" s="511" t="s">
        <v>432</v>
      </c>
      <c r="B132" s="84" t="s">
        <v>433</v>
      </c>
      <c r="C132">
        <v>131</v>
      </c>
      <c r="D132">
        <v>141</v>
      </c>
      <c r="F132" s="511" t="s">
        <v>410</v>
      </c>
      <c r="G132" s="84" t="s">
        <v>433</v>
      </c>
      <c r="H132">
        <v>131</v>
      </c>
      <c r="J132" t="b">
        <f t="shared" si="3"/>
        <v>1</v>
      </c>
    </row>
    <row r="133" spans="1:10">
      <c r="A133" s="511" t="s">
        <v>434</v>
      </c>
      <c r="B133" s="84" t="s">
        <v>435</v>
      </c>
      <c r="C133">
        <v>132</v>
      </c>
      <c r="D133">
        <v>142</v>
      </c>
      <c r="F133" s="511" t="s">
        <v>413</v>
      </c>
      <c r="G133" s="84" t="s">
        <v>435</v>
      </c>
      <c r="H133">
        <v>132</v>
      </c>
      <c r="J133" t="b">
        <f t="shared" si="3"/>
        <v>1</v>
      </c>
    </row>
    <row r="134" spans="1:10">
      <c r="A134" s="511" t="s">
        <v>436</v>
      </c>
      <c r="B134" s="84" t="s">
        <v>437</v>
      </c>
      <c r="C134">
        <v>133</v>
      </c>
      <c r="D134">
        <v>143</v>
      </c>
      <c r="F134" s="511" t="s">
        <v>416</v>
      </c>
      <c r="G134" s="84" t="s">
        <v>437</v>
      </c>
      <c r="H134">
        <v>133</v>
      </c>
      <c r="J134" t="b">
        <f t="shared" si="3"/>
        <v>1</v>
      </c>
    </row>
    <row r="135" spans="1:10">
      <c r="A135" s="511" t="s">
        <v>438</v>
      </c>
      <c r="B135" s="84" t="s">
        <v>439</v>
      </c>
      <c r="C135">
        <v>134</v>
      </c>
      <c r="D135">
        <v>144</v>
      </c>
      <c r="F135" s="511" t="s">
        <v>418</v>
      </c>
      <c r="G135" s="84" t="s">
        <v>439</v>
      </c>
      <c r="H135">
        <v>134</v>
      </c>
      <c r="J135" t="b">
        <f t="shared" si="3"/>
        <v>1</v>
      </c>
    </row>
    <row r="136" spans="1:10">
      <c r="A136" s="511" t="s">
        <v>440</v>
      </c>
      <c r="B136" s="84" t="s">
        <v>441</v>
      </c>
      <c r="C136">
        <v>135</v>
      </c>
      <c r="D136">
        <v>145</v>
      </c>
      <c r="F136" s="511" t="s">
        <v>420</v>
      </c>
      <c r="G136" s="84" t="s">
        <v>441</v>
      </c>
      <c r="H136">
        <v>135</v>
      </c>
      <c r="J136" t="b">
        <f t="shared" si="3"/>
        <v>1</v>
      </c>
    </row>
    <row r="137" spans="1:10">
      <c r="A137" s="511" t="s">
        <v>442</v>
      </c>
      <c r="B137" s="84" t="s">
        <v>443</v>
      </c>
      <c r="C137">
        <v>136</v>
      </c>
      <c r="D137">
        <v>146</v>
      </c>
      <c r="F137" s="511" t="s">
        <v>422</v>
      </c>
      <c r="G137" s="84" t="s">
        <v>443</v>
      </c>
      <c r="H137">
        <v>136</v>
      </c>
      <c r="J137" t="b">
        <f t="shared" si="3"/>
        <v>1</v>
      </c>
    </row>
    <row r="138" spans="1:10">
      <c r="A138" s="511" t="s">
        <v>444</v>
      </c>
      <c r="B138" s="84" t="s">
        <v>445</v>
      </c>
      <c r="C138">
        <v>137</v>
      </c>
      <c r="D138">
        <v>147</v>
      </c>
      <c r="F138" s="511" t="s">
        <v>424</v>
      </c>
      <c r="G138" s="84" t="s">
        <v>445</v>
      </c>
      <c r="H138">
        <v>137</v>
      </c>
      <c r="J138" t="b">
        <f t="shared" si="3"/>
        <v>1</v>
      </c>
    </row>
    <row r="139" spans="1:10">
      <c r="A139" s="511" t="s">
        <v>446</v>
      </c>
      <c r="B139" s="84" t="s">
        <v>447</v>
      </c>
      <c r="C139">
        <v>138</v>
      </c>
      <c r="D139">
        <v>148</v>
      </c>
      <c r="F139" s="511" t="s">
        <v>426</v>
      </c>
      <c r="G139" s="84" t="s">
        <v>447</v>
      </c>
      <c r="H139">
        <v>138</v>
      </c>
      <c r="J139" t="b">
        <f t="shared" si="3"/>
        <v>1</v>
      </c>
    </row>
    <row r="140" spans="1:10">
      <c r="A140" s="511" t="s">
        <v>448</v>
      </c>
      <c r="B140" s="84" t="s">
        <v>449</v>
      </c>
      <c r="C140">
        <v>139</v>
      </c>
      <c r="D140">
        <v>149</v>
      </c>
      <c r="F140" s="511" t="s">
        <v>428</v>
      </c>
      <c r="G140" s="84" t="s">
        <v>449</v>
      </c>
      <c r="H140">
        <v>139</v>
      </c>
      <c r="J140" t="b">
        <f t="shared" si="3"/>
        <v>1</v>
      </c>
    </row>
    <row r="141" spans="1:10">
      <c r="A141" s="511" t="s">
        <v>450</v>
      </c>
      <c r="B141" s="84" t="s">
        <v>451</v>
      </c>
      <c r="C141">
        <v>140</v>
      </c>
      <c r="D141">
        <v>150</v>
      </c>
      <c r="F141" s="511" t="s">
        <v>430</v>
      </c>
      <c r="G141" s="84" t="s">
        <v>451</v>
      </c>
      <c r="H141">
        <v>140</v>
      </c>
      <c r="J141" t="b">
        <f t="shared" si="3"/>
        <v>1</v>
      </c>
    </row>
    <row r="142" spans="1:10">
      <c r="A142" s="511" t="s">
        <v>452</v>
      </c>
      <c r="B142" s="84" t="s">
        <v>453</v>
      </c>
      <c r="C142">
        <v>141</v>
      </c>
      <c r="D142">
        <v>156</v>
      </c>
      <c r="F142" s="511" t="s">
        <v>432</v>
      </c>
      <c r="G142" s="84" t="s">
        <v>453</v>
      </c>
      <c r="H142">
        <v>141</v>
      </c>
      <c r="J142" t="b">
        <f t="shared" si="3"/>
        <v>1</v>
      </c>
    </row>
    <row r="143" spans="1:10">
      <c r="A143" s="511" t="s">
        <v>454</v>
      </c>
      <c r="B143" s="84" t="s">
        <v>455</v>
      </c>
      <c r="C143">
        <v>142</v>
      </c>
      <c r="D143">
        <v>157</v>
      </c>
      <c r="F143" s="511" t="s">
        <v>434</v>
      </c>
      <c r="G143" s="84" t="s">
        <v>455</v>
      </c>
      <c r="H143">
        <v>142</v>
      </c>
      <c r="J143" t="b">
        <f t="shared" si="3"/>
        <v>1</v>
      </c>
    </row>
    <row r="144" spans="1:10">
      <c r="A144" s="511" t="s">
        <v>456</v>
      </c>
      <c r="B144" s="84" t="s">
        <v>457</v>
      </c>
      <c r="C144">
        <v>143</v>
      </c>
      <c r="D144">
        <v>158</v>
      </c>
      <c r="F144" s="511" t="s">
        <v>436</v>
      </c>
      <c r="G144" s="84" t="s">
        <v>457</v>
      </c>
      <c r="H144">
        <v>143</v>
      </c>
      <c r="J144" t="b">
        <f t="shared" si="3"/>
        <v>1</v>
      </c>
    </row>
    <row r="145" spans="1:10">
      <c r="A145" s="511" t="s">
        <v>458</v>
      </c>
      <c r="B145" s="84" t="s">
        <v>459</v>
      </c>
      <c r="C145">
        <v>144</v>
      </c>
      <c r="D145">
        <v>159</v>
      </c>
      <c r="F145" s="511" t="s">
        <v>438</v>
      </c>
      <c r="G145" s="84" t="s">
        <v>459</v>
      </c>
      <c r="H145">
        <v>144</v>
      </c>
      <c r="J145" t="b">
        <f t="shared" si="3"/>
        <v>1</v>
      </c>
    </row>
    <row r="146" spans="1:10">
      <c r="A146" s="511" t="s">
        <v>460</v>
      </c>
      <c r="B146" s="84" t="s">
        <v>461</v>
      </c>
      <c r="C146">
        <v>145</v>
      </c>
      <c r="D146">
        <v>160</v>
      </c>
      <c r="F146" s="511" t="s">
        <v>440</v>
      </c>
      <c r="G146" s="84" t="s">
        <v>461</v>
      </c>
      <c r="H146">
        <v>145</v>
      </c>
      <c r="J146" t="b">
        <f t="shared" si="3"/>
        <v>1</v>
      </c>
    </row>
    <row r="147" spans="1:10">
      <c r="A147" s="511" t="s">
        <v>462</v>
      </c>
      <c r="B147" s="84" t="s">
        <v>463</v>
      </c>
      <c r="C147">
        <v>146</v>
      </c>
      <c r="D147">
        <v>166</v>
      </c>
      <c r="F147" s="511" t="s">
        <v>464</v>
      </c>
      <c r="G147" s="84" t="s">
        <v>463</v>
      </c>
      <c r="H147">
        <v>146</v>
      </c>
      <c r="J147" t="b">
        <f t="shared" si="3"/>
        <v>0</v>
      </c>
    </row>
    <row r="148" spans="1:10">
      <c r="A148" s="511" t="s">
        <v>465</v>
      </c>
      <c r="B148" s="84" t="s">
        <v>466</v>
      </c>
      <c r="C148">
        <v>147</v>
      </c>
      <c r="D148">
        <v>167</v>
      </c>
      <c r="F148" s="511" t="s">
        <v>467</v>
      </c>
      <c r="G148" s="84" t="s">
        <v>466</v>
      </c>
      <c r="H148">
        <v>147</v>
      </c>
      <c r="J148" t="b">
        <f t="shared" si="3"/>
        <v>0</v>
      </c>
    </row>
    <row r="149" spans="1:10">
      <c r="A149" s="511" t="s">
        <v>468</v>
      </c>
      <c r="B149" s="84" t="s">
        <v>469</v>
      </c>
      <c r="C149">
        <v>148</v>
      </c>
      <c r="D149">
        <v>168</v>
      </c>
      <c r="F149" s="511" t="s">
        <v>470</v>
      </c>
      <c r="G149" s="84" t="s">
        <v>469</v>
      </c>
      <c r="H149">
        <v>148</v>
      </c>
      <c r="J149" t="b">
        <f t="shared" si="3"/>
        <v>0</v>
      </c>
    </row>
    <row r="150" spans="1:10">
      <c r="A150" s="511" t="s">
        <v>471</v>
      </c>
      <c r="B150" s="84" t="s">
        <v>472</v>
      </c>
      <c r="C150">
        <v>149</v>
      </c>
      <c r="D150">
        <v>169</v>
      </c>
      <c r="F150" s="511" t="s">
        <v>473</v>
      </c>
      <c r="G150" s="84" t="s">
        <v>472</v>
      </c>
      <c r="H150">
        <v>149</v>
      </c>
      <c r="J150" t="b">
        <f t="shared" si="3"/>
        <v>0</v>
      </c>
    </row>
    <row r="151" spans="1:10">
      <c r="A151" s="511" t="s">
        <v>474</v>
      </c>
      <c r="B151" s="84" t="s">
        <v>475</v>
      </c>
      <c r="C151">
        <v>150</v>
      </c>
      <c r="D151">
        <v>170</v>
      </c>
      <c r="F151" s="511" t="s">
        <v>476</v>
      </c>
      <c r="G151" s="84" t="s">
        <v>475</v>
      </c>
      <c r="H151">
        <v>150</v>
      </c>
      <c r="J151" t="b">
        <f t="shared" si="3"/>
        <v>0</v>
      </c>
    </row>
    <row r="152" spans="1:10">
      <c r="A152" s="511" t="s">
        <v>477</v>
      </c>
      <c r="B152" s="84" t="s">
        <v>478</v>
      </c>
      <c r="C152">
        <v>151</v>
      </c>
      <c r="D152">
        <v>176</v>
      </c>
      <c r="F152" s="511" t="s">
        <v>479</v>
      </c>
      <c r="G152" s="84" t="s">
        <v>478</v>
      </c>
      <c r="H152">
        <v>151</v>
      </c>
      <c r="I152" t="s">
        <v>370</v>
      </c>
    </row>
    <row r="153" spans="1:10">
      <c r="A153" s="511" t="s">
        <v>480</v>
      </c>
      <c r="B153" s="84" t="s">
        <v>481</v>
      </c>
      <c r="C153">
        <v>152</v>
      </c>
      <c r="D153">
        <v>177</v>
      </c>
      <c r="F153" s="511" t="s">
        <v>482</v>
      </c>
      <c r="G153" s="84" t="s">
        <v>481</v>
      </c>
      <c r="H153">
        <v>152</v>
      </c>
      <c r="I153" t="s">
        <v>370</v>
      </c>
    </row>
    <row r="154" spans="1:10">
      <c r="A154" s="511" t="s">
        <v>483</v>
      </c>
      <c r="B154" s="84" t="s">
        <v>484</v>
      </c>
      <c r="C154">
        <v>153</v>
      </c>
      <c r="D154">
        <v>178</v>
      </c>
      <c r="F154" s="511" t="s">
        <v>485</v>
      </c>
      <c r="G154" s="84" t="s">
        <v>484</v>
      </c>
      <c r="H154">
        <v>153</v>
      </c>
      <c r="I154" t="s">
        <v>370</v>
      </c>
    </row>
    <row r="155" spans="1:10">
      <c r="A155" s="511" t="s">
        <v>486</v>
      </c>
      <c r="B155" s="84" t="s">
        <v>487</v>
      </c>
      <c r="C155">
        <v>154</v>
      </c>
      <c r="D155">
        <v>179</v>
      </c>
      <c r="F155" s="511" t="s">
        <v>488</v>
      </c>
      <c r="G155" s="84" t="s">
        <v>487</v>
      </c>
      <c r="H155">
        <v>154</v>
      </c>
      <c r="I155" t="s">
        <v>370</v>
      </c>
    </row>
    <row r="156" spans="1:10">
      <c r="A156" s="511" t="s">
        <v>489</v>
      </c>
      <c r="B156" s="84" t="s">
        <v>490</v>
      </c>
      <c r="C156">
        <v>155</v>
      </c>
      <c r="D156">
        <v>180</v>
      </c>
      <c r="F156" s="511" t="s">
        <v>491</v>
      </c>
      <c r="G156" s="84" t="s">
        <v>490</v>
      </c>
      <c r="H156">
        <v>155</v>
      </c>
      <c r="I156" t="s">
        <v>370</v>
      </c>
    </row>
    <row r="157" spans="1:10">
      <c r="A157" s="511" t="s">
        <v>492</v>
      </c>
      <c r="B157" s="84" t="s">
        <v>493</v>
      </c>
      <c r="C157">
        <v>156</v>
      </c>
      <c r="D157">
        <v>181</v>
      </c>
      <c r="F157" s="511" t="s">
        <v>494</v>
      </c>
      <c r="G157" s="84" t="s">
        <v>493</v>
      </c>
      <c r="H157">
        <v>156</v>
      </c>
      <c r="J157" t="b">
        <f t="shared" si="3"/>
        <v>0</v>
      </c>
    </row>
    <row r="158" spans="1:10">
      <c r="A158" s="511" t="s">
        <v>495</v>
      </c>
      <c r="B158" s="84" t="s">
        <v>496</v>
      </c>
      <c r="C158">
        <v>157</v>
      </c>
      <c r="D158">
        <v>182</v>
      </c>
      <c r="F158" s="511" t="s">
        <v>497</v>
      </c>
      <c r="G158" s="84" t="s">
        <v>496</v>
      </c>
      <c r="H158">
        <v>157</v>
      </c>
      <c r="J158" t="b">
        <f t="shared" si="3"/>
        <v>0</v>
      </c>
    </row>
    <row r="159" spans="1:10">
      <c r="A159" s="511" t="s">
        <v>498</v>
      </c>
      <c r="B159" s="84" t="s">
        <v>499</v>
      </c>
      <c r="C159">
        <v>158</v>
      </c>
      <c r="D159">
        <v>183</v>
      </c>
      <c r="F159" s="511" t="s">
        <v>500</v>
      </c>
      <c r="G159" s="84" t="s">
        <v>499</v>
      </c>
      <c r="H159">
        <v>158</v>
      </c>
      <c r="J159" t="b">
        <f t="shared" si="3"/>
        <v>0</v>
      </c>
    </row>
    <row r="160" spans="1:10">
      <c r="A160" s="511" t="s">
        <v>501</v>
      </c>
      <c r="B160" s="84" t="s">
        <v>502</v>
      </c>
      <c r="C160">
        <v>159</v>
      </c>
      <c r="D160">
        <v>184</v>
      </c>
      <c r="F160" s="511" t="s">
        <v>503</v>
      </c>
      <c r="G160" s="84" t="s">
        <v>502</v>
      </c>
      <c r="H160">
        <v>159</v>
      </c>
      <c r="J160" t="b">
        <f t="shared" si="3"/>
        <v>0</v>
      </c>
    </row>
    <row r="161" spans="1:10">
      <c r="A161" s="511" t="s">
        <v>504</v>
      </c>
      <c r="B161" s="84" t="s">
        <v>505</v>
      </c>
      <c r="C161">
        <v>160</v>
      </c>
      <c r="D161">
        <v>185</v>
      </c>
      <c r="F161" s="511" t="s">
        <v>506</v>
      </c>
      <c r="G161" s="84" t="s">
        <v>505</v>
      </c>
      <c r="H161">
        <v>160</v>
      </c>
      <c r="J161" t="b">
        <f t="shared" si="3"/>
        <v>0</v>
      </c>
    </row>
    <row r="162" spans="1:10">
      <c r="A162" s="511" t="s">
        <v>507</v>
      </c>
      <c r="B162" s="84" t="s">
        <v>508</v>
      </c>
      <c r="C162">
        <v>161</v>
      </c>
      <c r="D162">
        <v>186</v>
      </c>
      <c r="F162" s="511" t="s">
        <v>509</v>
      </c>
      <c r="G162" s="84" t="s">
        <v>508</v>
      </c>
      <c r="H162">
        <v>161</v>
      </c>
      <c r="I162" t="s">
        <v>370</v>
      </c>
    </row>
    <row r="163" spans="1:10">
      <c r="A163" s="511" t="s">
        <v>510</v>
      </c>
      <c r="B163" s="84" t="s">
        <v>511</v>
      </c>
      <c r="C163">
        <v>162</v>
      </c>
      <c r="D163">
        <v>187</v>
      </c>
      <c r="F163" s="511" t="s">
        <v>512</v>
      </c>
      <c r="G163" s="84" t="s">
        <v>511</v>
      </c>
      <c r="H163">
        <v>162</v>
      </c>
      <c r="I163" t="s">
        <v>370</v>
      </c>
    </row>
    <row r="164" spans="1:10">
      <c r="A164" s="511" t="s">
        <v>513</v>
      </c>
      <c r="B164" s="84" t="s">
        <v>514</v>
      </c>
      <c r="C164">
        <v>163</v>
      </c>
      <c r="D164">
        <v>188</v>
      </c>
      <c r="F164" s="511" t="s">
        <v>515</v>
      </c>
      <c r="G164" s="84" t="s">
        <v>514</v>
      </c>
      <c r="H164">
        <v>163</v>
      </c>
      <c r="I164" t="s">
        <v>370</v>
      </c>
    </row>
    <row r="165" spans="1:10">
      <c r="A165" s="511" t="s">
        <v>516</v>
      </c>
      <c r="B165" s="84" t="s">
        <v>517</v>
      </c>
      <c r="C165">
        <v>164</v>
      </c>
      <c r="D165">
        <v>189</v>
      </c>
      <c r="F165" s="511" t="s">
        <v>518</v>
      </c>
      <c r="G165" s="84" t="s">
        <v>517</v>
      </c>
      <c r="H165">
        <v>164</v>
      </c>
      <c r="I165" t="s">
        <v>370</v>
      </c>
    </row>
    <row r="166" spans="1:10">
      <c r="A166" s="511" t="s">
        <v>519</v>
      </c>
      <c r="B166" s="84" t="s">
        <v>520</v>
      </c>
      <c r="C166">
        <v>165</v>
      </c>
      <c r="D166">
        <v>190</v>
      </c>
      <c r="F166" s="511" t="s">
        <v>521</v>
      </c>
      <c r="G166" s="84" t="s">
        <v>520</v>
      </c>
      <c r="H166">
        <v>165</v>
      </c>
      <c r="I166" t="s">
        <v>370</v>
      </c>
    </row>
    <row r="167" spans="1:10">
      <c r="A167" s="511" t="s">
        <v>522</v>
      </c>
      <c r="B167" s="84" t="s">
        <v>523</v>
      </c>
      <c r="C167">
        <v>166</v>
      </c>
      <c r="D167">
        <v>191</v>
      </c>
      <c r="F167" s="511" t="s">
        <v>462</v>
      </c>
      <c r="G167" s="84" t="s">
        <v>523</v>
      </c>
      <c r="H167">
        <v>166</v>
      </c>
      <c r="J167" t="b">
        <f t="shared" si="3"/>
        <v>0</v>
      </c>
    </row>
    <row r="168" spans="1:10">
      <c r="A168" s="511" t="s">
        <v>524</v>
      </c>
      <c r="B168" s="84" t="s">
        <v>525</v>
      </c>
      <c r="C168">
        <v>167</v>
      </c>
      <c r="D168">
        <v>192</v>
      </c>
      <c r="F168" s="511" t="s">
        <v>526</v>
      </c>
      <c r="G168" s="84" t="s">
        <v>525</v>
      </c>
      <c r="H168">
        <v>167</v>
      </c>
      <c r="J168" t="b">
        <f t="shared" si="3"/>
        <v>0</v>
      </c>
    </row>
    <row r="169" spans="1:10">
      <c r="A169" s="511" t="s">
        <v>527</v>
      </c>
      <c r="B169" s="84" t="s">
        <v>528</v>
      </c>
      <c r="C169">
        <v>168</v>
      </c>
      <c r="D169">
        <v>193</v>
      </c>
      <c r="F169" s="511" t="s">
        <v>468</v>
      </c>
      <c r="G169" s="84" t="s">
        <v>528</v>
      </c>
      <c r="H169">
        <v>168</v>
      </c>
      <c r="J169" t="b">
        <f t="shared" si="3"/>
        <v>0</v>
      </c>
    </row>
    <row r="170" spans="1:10">
      <c r="A170" s="511" t="s">
        <v>529</v>
      </c>
      <c r="B170" s="84" t="s">
        <v>530</v>
      </c>
      <c r="C170">
        <v>169</v>
      </c>
      <c r="D170">
        <v>194</v>
      </c>
      <c r="F170" s="511" t="s">
        <v>471</v>
      </c>
      <c r="G170" s="84" t="s">
        <v>530</v>
      </c>
      <c r="H170">
        <v>169</v>
      </c>
      <c r="J170" t="b">
        <f t="shared" si="3"/>
        <v>0</v>
      </c>
    </row>
    <row r="171" spans="1:10">
      <c r="A171" s="511" t="s">
        <v>531</v>
      </c>
      <c r="B171" s="84" t="s">
        <v>532</v>
      </c>
      <c r="C171">
        <v>170</v>
      </c>
      <c r="D171">
        <v>195</v>
      </c>
      <c r="F171" s="511" t="s">
        <v>474</v>
      </c>
      <c r="G171" s="84" t="s">
        <v>532</v>
      </c>
      <c r="H171">
        <v>170</v>
      </c>
      <c r="J171" t="b">
        <f t="shared" si="3"/>
        <v>0</v>
      </c>
    </row>
    <row r="172" spans="1:10">
      <c r="A172" s="511" t="s">
        <v>533</v>
      </c>
      <c r="B172" s="84" t="s">
        <v>534</v>
      </c>
      <c r="C172">
        <v>171</v>
      </c>
      <c r="D172">
        <v>196</v>
      </c>
      <c r="F172" s="511" t="s">
        <v>535</v>
      </c>
      <c r="G172" s="84" t="s">
        <v>534</v>
      </c>
      <c r="H172">
        <v>171</v>
      </c>
      <c r="I172" t="s">
        <v>370</v>
      </c>
    </row>
    <row r="173" spans="1:10">
      <c r="A173" s="511" t="s">
        <v>536</v>
      </c>
      <c r="B173" s="84" t="s">
        <v>537</v>
      </c>
      <c r="C173">
        <v>172</v>
      </c>
      <c r="D173">
        <v>197</v>
      </c>
      <c r="F173" s="511" t="s">
        <v>538</v>
      </c>
      <c r="G173" s="84" t="s">
        <v>537</v>
      </c>
      <c r="H173">
        <v>172</v>
      </c>
      <c r="I173" t="s">
        <v>370</v>
      </c>
    </row>
    <row r="174" spans="1:10">
      <c r="A174" s="511" t="s">
        <v>539</v>
      </c>
      <c r="B174" s="84" t="s">
        <v>540</v>
      </c>
      <c r="C174">
        <v>173</v>
      </c>
      <c r="D174">
        <v>198</v>
      </c>
      <c r="F174" s="511" t="s">
        <v>541</v>
      </c>
      <c r="G174" s="84" t="s">
        <v>540</v>
      </c>
      <c r="H174">
        <v>173</v>
      </c>
      <c r="I174" t="s">
        <v>370</v>
      </c>
    </row>
    <row r="175" spans="1:10">
      <c r="A175" s="511" t="s">
        <v>542</v>
      </c>
      <c r="B175" s="84" t="s">
        <v>543</v>
      </c>
      <c r="C175">
        <v>174</v>
      </c>
      <c r="D175">
        <v>199</v>
      </c>
      <c r="F175" s="511" t="s">
        <v>544</v>
      </c>
      <c r="G175" s="84" t="s">
        <v>543</v>
      </c>
      <c r="H175">
        <v>174</v>
      </c>
      <c r="I175" t="s">
        <v>370</v>
      </c>
    </row>
    <row r="176" spans="1:10">
      <c r="A176" s="511" t="s">
        <v>545</v>
      </c>
      <c r="B176" s="84" t="s">
        <v>546</v>
      </c>
      <c r="C176">
        <v>175</v>
      </c>
      <c r="D176">
        <v>200</v>
      </c>
      <c r="F176" s="511" t="s">
        <v>547</v>
      </c>
      <c r="G176" s="84" t="s">
        <v>546</v>
      </c>
      <c r="H176">
        <v>175</v>
      </c>
      <c r="I176" t="s">
        <v>370</v>
      </c>
    </row>
    <row r="177" spans="1:10">
      <c r="A177" s="511" t="s">
        <v>548</v>
      </c>
      <c r="B177" s="84" t="s">
        <v>549</v>
      </c>
      <c r="C177">
        <v>176</v>
      </c>
      <c r="D177">
        <v>201</v>
      </c>
      <c r="F177" s="511" t="s">
        <v>477</v>
      </c>
      <c r="G177" s="84" t="s">
        <v>549</v>
      </c>
      <c r="H177">
        <v>176</v>
      </c>
      <c r="J177" t="b">
        <f>F177=A152</f>
        <v>1</v>
      </c>
    </row>
    <row r="178" spans="1:10">
      <c r="A178" s="511" t="s">
        <v>550</v>
      </c>
      <c r="B178" s="84" t="s">
        <v>551</v>
      </c>
      <c r="C178">
        <v>177</v>
      </c>
      <c r="D178">
        <v>202</v>
      </c>
      <c r="F178" s="511" t="s">
        <v>480</v>
      </c>
      <c r="G178" s="84" t="s">
        <v>551</v>
      </c>
      <c r="H178">
        <v>177</v>
      </c>
      <c r="J178" t="b">
        <f t="shared" ref="J178:J205" si="4">F178=A153</f>
        <v>1</v>
      </c>
    </row>
    <row r="179" spans="1:10">
      <c r="A179" s="511" t="s">
        <v>552</v>
      </c>
      <c r="B179" s="84" t="s">
        <v>553</v>
      </c>
      <c r="C179">
        <v>178</v>
      </c>
      <c r="D179">
        <v>203</v>
      </c>
      <c r="F179" s="511" t="s">
        <v>483</v>
      </c>
      <c r="G179" s="84" t="s">
        <v>553</v>
      </c>
      <c r="H179">
        <v>178</v>
      </c>
      <c r="J179" t="b">
        <f t="shared" si="4"/>
        <v>1</v>
      </c>
    </row>
    <row r="180" spans="1:10">
      <c r="A180" s="511" t="s">
        <v>554</v>
      </c>
      <c r="B180" s="84" t="s">
        <v>555</v>
      </c>
      <c r="C180">
        <v>179</v>
      </c>
      <c r="D180">
        <v>204</v>
      </c>
      <c r="F180" s="511" t="s">
        <v>486</v>
      </c>
      <c r="G180" s="84" t="s">
        <v>555</v>
      </c>
      <c r="H180">
        <v>179</v>
      </c>
      <c r="J180" t="b">
        <f t="shared" si="4"/>
        <v>1</v>
      </c>
    </row>
    <row r="181" spans="1:10">
      <c r="A181" s="511" t="s">
        <v>556</v>
      </c>
      <c r="B181" s="84" t="s">
        <v>557</v>
      </c>
      <c r="C181">
        <v>180</v>
      </c>
      <c r="D181">
        <v>246</v>
      </c>
      <c r="F181" s="511" t="s">
        <v>489</v>
      </c>
      <c r="G181" s="84" t="s">
        <v>557</v>
      </c>
      <c r="H181">
        <v>180</v>
      </c>
      <c r="J181" t="b">
        <f t="shared" si="4"/>
        <v>1</v>
      </c>
    </row>
    <row r="182" spans="1:10">
      <c r="A182" s="511" t="s">
        <v>558</v>
      </c>
      <c r="B182" s="84" t="s">
        <v>559</v>
      </c>
      <c r="C182">
        <v>181</v>
      </c>
      <c r="D182">
        <v>247</v>
      </c>
      <c r="F182" s="511" t="s">
        <v>492</v>
      </c>
      <c r="G182" s="84" t="s">
        <v>559</v>
      </c>
      <c r="H182">
        <v>181</v>
      </c>
      <c r="J182" t="b">
        <f t="shared" si="4"/>
        <v>1</v>
      </c>
    </row>
    <row r="183" spans="1:10">
      <c r="A183" s="511" t="s">
        <v>560</v>
      </c>
      <c r="B183" s="84" t="s">
        <v>561</v>
      </c>
      <c r="C183">
        <v>182</v>
      </c>
      <c r="D183">
        <v>248</v>
      </c>
      <c r="F183" s="511" t="s">
        <v>495</v>
      </c>
      <c r="G183" s="84" t="s">
        <v>561</v>
      </c>
      <c r="H183">
        <v>182</v>
      </c>
      <c r="J183" t="b">
        <f t="shared" si="4"/>
        <v>1</v>
      </c>
    </row>
    <row r="184" spans="1:10">
      <c r="A184" s="511" t="s">
        <v>562</v>
      </c>
      <c r="B184" s="84" t="s">
        <v>563</v>
      </c>
      <c r="C184">
        <v>183</v>
      </c>
      <c r="D184">
        <v>249</v>
      </c>
      <c r="F184" s="511" t="s">
        <v>498</v>
      </c>
      <c r="G184" s="84" t="s">
        <v>563</v>
      </c>
      <c r="H184">
        <v>183</v>
      </c>
      <c r="J184" t="b">
        <f t="shared" si="4"/>
        <v>1</v>
      </c>
    </row>
    <row r="185" spans="1:10">
      <c r="A185" s="511" t="s">
        <v>564</v>
      </c>
      <c r="B185" s="84" t="s">
        <v>565</v>
      </c>
      <c r="C185">
        <v>184</v>
      </c>
      <c r="D185">
        <v>250</v>
      </c>
      <c r="F185" s="511" t="s">
        <v>501</v>
      </c>
      <c r="G185" s="84" t="s">
        <v>565</v>
      </c>
      <c r="H185">
        <v>184</v>
      </c>
      <c r="J185" t="b">
        <f t="shared" si="4"/>
        <v>1</v>
      </c>
    </row>
    <row r="186" spans="1:10">
      <c r="A186" s="511" t="s">
        <v>566</v>
      </c>
      <c r="B186" s="84" t="s">
        <v>567</v>
      </c>
      <c r="C186">
        <v>185</v>
      </c>
      <c r="D186">
        <v>251</v>
      </c>
      <c r="F186" s="511" t="s">
        <v>504</v>
      </c>
      <c r="G186" s="84" t="s">
        <v>567</v>
      </c>
      <c r="H186">
        <v>185</v>
      </c>
      <c r="J186" t="b">
        <f t="shared" si="4"/>
        <v>1</v>
      </c>
    </row>
    <row r="187" spans="1:10">
      <c r="A187" s="511" t="s">
        <v>568</v>
      </c>
      <c r="B187" s="84" t="s">
        <v>569</v>
      </c>
      <c r="C187">
        <v>186</v>
      </c>
      <c r="D187">
        <v>252</v>
      </c>
      <c r="F187" s="511" t="s">
        <v>507</v>
      </c>
      <c r="G187" s="84" t="s">
        <v>569</v>
      </c>
      <c r="H187">
        <v>186</v>
      </c>
      <c r="J187" t="b">
        <f t="shared" si="4"/>
        <v>1</v>
      </c>
    </row>
    <row r="188" spans="1:10">
      <c r="A188" s="511" t="s">
        <v>570</v>
      </c>
      <c r="B188" s="84" t="s">
        <v>571</v>
      </c>
      <c r="C188">
        <v>187</v>
      </c>
      <c r="D188">
        <v>253</v>
      </c>
      <c r="F188" s="511" t="s">
        <v>510</v>
      </c>
      <c r="G188" s="84" t="s">
        <v>571</v>
      </c>
      <c r="H188">
        <v>187</v>
      </c>
      <c r="J188" t="b">
        <f t="shared" si="4"/>
        <v>1</v>
      </c>
    </row>
    <row r="189" spans="1:10">
      <c r="A189" s="511" t="s">
        <v>572</v>
      </c>
      <c r="B189" s="84" t="s">
        <v>573</v>
      </c>
      <c r="C189">
        <v>188</v>
      </c>
      <c r="D189">
        <v>254</v>
      </c>
      <c r="F189" s="511" t="s">
        <v>513</v>
      </c>
      <c r="G189" s="84" t="s">
        <v>573</v>
      </c>
      <c r="H189">
        <v>188</v>
      </c>
      <c r="J189" t="b">
        <f t="shared" si="4"/>
        <v>1</v>
      </c>
    </row>
    <row r="190" spans="1:10">
      <c r="A190" s="511" t="s">
        <v>574</v>
      </c>
      <c r="B190" s="84" t="s">
        <v>575</v>
      </c>
      <c r="C190">
        <v>189</v>
      </c>
      <c r="D190">
        <v>255</v>
      </c>
      <c r="F190" s="511" t="s">
        <v>516</v>
      </c>
      <c r="G190" s="84" t="s">
        <v>575</v>
      </c>
      <c r="H190">
        <v>189</v>
      </c>
      <c r="J190" t="b">
        <f t="shared" si="4"/>
        <v>1</v>
      </c>
    </row>
    <row r="191" spans="1:10">
      <c r="A191" s="511" t="s">
        <v>576</v>
      </c>
      <c r="B191" s="84" t="s">
        <v>577</v>
      </c>
      <c r="C191">
        <v>190</v>
      </c>
      <c r="D191">
        <v>210</v>
      </c>
      <c r="F191" s="511" t="s">
        <v>519</v>
      </c>
      <c r="G191" s="84" t="s">
        <v>577</v>
      </c>
      <c r="H191">
        <v>190</v>
      </c>
      <c r="J191" t="b">
        <f t="shared" si="4"/>
        <v>1</v>
      </c>
    </row>
    <row r="192" spans="1:10">
      <c r="A192" s="511" t="s">
        <v>578</v>
      </c>
      <c r="B192" s="84" t="s">
        <v>579</v>
      </c>
      <c r="C192">
        <v>191</v>
      </c>
      <c r="D192">
        <v>211</v>
      </c>
      <c r="F192" s="511" t="s">
        <v>522</v>
      </c>
      <c r="G192" s="84" t="s">
        <v>579</v>
      </c>
      <c r="H192">
        <v>191</v>
      </c>
      <c r="J192" t="b">
        <f t="shared" si="4"/>
        <v>1</v>
      </c>
    </row>
    <row r="193" spans="1:10">
      <c r="A193" s="511" t="s">
        <v>580</v>
      </c>
      <c r="B193" s="84" t="s">
        <v>581</v>
      </c>
      <c r="C193">
        <v>192</v>
      </c>
      <c r="D193">
        <v>212</v>
      </c>
      <c r="F193" s="511" t="s">
        <v>524</v>
      </c>
      <c r="G193" s="84" t="s">
        <v>581</v>
      </c>
      <c r="H193">
        <v>192</v>
      </c>
      <c r="J193" t="b">
        <f t="shared" si="4"/>
        <v>1</v>
      </c>
    </row>
    <row r="194" spans="1:10">
      <c r="A194" s="511" t="s">
        <v>582</v>
      </c>
      <c r="B194" s="84" t="s">
        <v>583</v>
      </c>
      <c r="C194">
        <v>193</v>
      </c>
      <c r="D194">
        <v>213</v>
      </c>
      <c r="F194" s="511" t="s">
        <v>527</v>
      </c>
      <c r="G194" s="84" t="s">
        <v>583</v>
      </c>
      <c r="H194">
        <v>193</v>
      </c>
      <c r="J194" t="b">
        <f t="shared" si="4"/>
        <v>1</v>
      </c>
    </row>
    <row r="195" spans="1:10">
      <c r="A195" s="511" t="s">
        <v>584</v>
      </c>
      <c r="B195" s="84" t="s">
        <v>585</v>
      </c>
      <c r="C195">
        <v>194</v>
      </c>
      <c r="D195">
        <v>214</v>
      </c>
      <c r="F195" s="511" t="s">
        <v>529</v>
      </c>
      <c r="G195" s="84" t="s">
        <v>585</v>
      </c>
      <c r="H195">
        <v>194</v>
      </c>
      <c r="J195" t="b">
        <f t="shared" si="4"/>
        <v>1</v>
      </c>
    </row>
    <row r="196" spans="1:10">
      <c r="A196" s="511" t="s">
        <v>586</v>
      </c>
      <c r="B196" s="84" t="s">
        <v>587</v>
      </c>
      <c r="C196">
        <v>195</v>
      </c>
      <c r="E196" t="s">
        <v>368</v>
      </c>
      <c r="F196" s="511" t="s">
        <v>531</v>
      </c>
      <c r="G196" s="84" t="s">
        <v>587</v>
      </c>
      <c r="H196">
        <v>195</v>
      </c>
      <c r="J196" t="b">
        <f t="shared" si="4"/>
        <v>1</v>
      </c>
    </row>
    <row r="197" spans="1:10">
      <c r="A197" s="511" t="s">
        <v>588</v>
      </c>
      <c r="B197" s="84" t="s">
        <v>589</v>
      </c>
      <c r="C197">
        <v>196</v>
      </c>
      <c r="E197" t="s">
        <v>368</v>
      </c>
      <c r="F197" s="511" t="s">
        <v>533</v>
      </c>
      <c r="G197" s="84" t="s">
        <v>589</v>
      </c>
      <c r="H197">
        <v>196</v>
      </c>
      <c r="J197" t="b">
        <f t="shared" si="4"/>
        <v>1</v>
      </c>
    </row>
    <row r="198" spans="1:10">
      <c r="A198" s="511" t="s">
        <v>590</v>
      </c>
      <c r="B198" s="84" t="s">
        <v>591</v>
      </c>
      <c r="C198">
        <v>197</v>
      </c>
      <c r="E198" t="s">
        <v>368</v>
      </c>
      <c r="F198" s="511" t="s">
        <v>536</v>
      </c>
      <c r="G198" s="84" t="s">
        <v>591</v>
      </c>
      <c r="H198">
        <v>197</v>
      </c>
      <c r="J198" t="b">
        <f t="shared" si="4"/>
        <v>1</v>
      </c>
    </row>
    <row r="199" spans="1:10">
      <c r="A199" s="511" t="s">
        <v>592</v>
      </c>
      <c r="B199" s="84" t="s">
        <v>593</v>
      </c>
      <c r="C199">
        <v>198</v>
      </c>
      <c r="E199" t="s">
        <v>368</v>
      </c>
      <c r="F199" s="511" t="s">
        <v>539</v>
      </c>
      <c r="G199" s="84" t="s">
        <v>593</v>
      </c>
      <c r="H199">
        <v>198</v>
      </c>
      <c r="J199" t="b">
        <f t="shared" si="4"/>
        <v>1</v>
      </c>
    </row>
    <row r="200" spans="1:10">
      <c r="A200" s="511" t="s">
        <v>594</v>
      </c>
      <c r="B200" s="84" t="s">
        <v>595</v>
      </c>
      <c r="C200">
        <v>199</v>
      </c>
      <c r="E200" t="s">
        <v>368</v>
      </c>
      <c r="F200" s="511" t="s">
        <v>542</v>
      </c>
      <c r="G200" s="84" t="s">
        <v>595</v>
      </c>
      <c r="H200">
        <v>199</v>
      </c>
      <c r="J200" t="b">
        <f t="shared" si="4"/>
        <v>1</v>
      </c>
    </row>
    <row r="201" spans="1:10">
      <c r="A201" s="511" t="s">
        <v>596</v>
      </c>
      <c r="B201" s="84" t="s">
        <v>597</v>
      </c>
      <c r="C201">
        <v>200</v>
      </c>
      <c r="E201" t="s">
        <v>368</v>
      </c>
      <c r="F201" s="511" t="s">
        <v>545</v>
      </c>
      <c r="G201" s="84" t="s">
        <v>597</v>
      </c>
      <c r="H201">
        <v>200</v>
      </c>
      <c r="J201" t="b">
        <f t="shared" si="4"/>
        <v>1</v>
      </c>
    </row>
    <row r="202" spans="1:10">
      <c r="A202" s="511" t="s">
        <v>598</v>
      </c>
      <c r="B202" s="84" t="s">
        <v>599</v>
      </c>
      <c r="C202">
        <v>201</v>
      </c>
      <c r="E202" t="s">
        <v>368</v>
      </c>
      <c r="F202" s="511" t="s">
        <v>548</v>
      </c>
      <c r="G202" s="84" t="s">
        <v>599</v>
      </c>
      <c r="H202">
        <v>201</v>
      </c>
      <c r="J202" t="b">
        <f t="shared" si="4"/>
        <v>1</v>
      </c>
    </row>
    <row r="203" spans="1:10">
      <c r="A203" s="511" t="s">
        <v>600</v>
      </c>
      <c r="B203" s="84" t="s">
        <v>601</v>
      </c>
      <c r="C203">
        <v>202</v>
      </c>
      <c r="E203" t="s">
        <v>368</v>
      </c>
      <c r="F203" s="511" t="s">
        <v>550</v>
      </c>
      <c r="G203" s="84" t="s">
        <v>601</v>
      </c>
      <c r="H203">
        <v>202</v>
      </c>
      <c r="J203" t="b">
        <f t="shared" si="4"/>
        <v>1</v>
      </c>
    </row>
    <row r="204" spans="1:10">
      <c r="A204" s="511" t="s">
        <v>602</v>
      </c>
      <c r="B204" s="84" t="s">
        <v>603</v>
      </c>
      <c r="C204">
        <v>203</v>
      </c>
      <c r="E204" t="s">
        <v>368</v>
      </c>
      <c r="F204" s="511" t="s">
        <v>552</v>
      </c>
      <c r="G204" s="84" t="s">
        <v>603</v>
      </c>
      <c r="H204">
        <v>203</v>
      </c>
      <c r="J204" t="b">
        <f t="shared" si="4"/>
        <v>1</v>
      </c>
    </row>
    <row r="205" spans="1:10">
      <c r="A205" s="511" t="s">
        <v>604</v>
      </c>
      <c r="B205" s="84" t="s">
        <v>605</v>
      </c>
      <c r="C205">
        <v>204</v>
      </c>
      <c r="E205" t="s">
        <v>368</v>
      </c>
      <c r="F205" s="511" t="s">
        <v>554</v>
      </c>
      <c r="G205" s="84" t="s">
        <v>605</v>
      </c>
      <c r="H205">
        <v>204</v>
      </c>
      <c r="J205" t="b">
        <f t="shared" si="4"/>
        <v>1</v>
      </c>
    </row>
    <row r="206" spans="1:10">
      <c r="A206" s="511" t="s">
        <v>606</v>
      </c>
      <c r="B206" s="84" t="s">
        <v>607</v>
      </c>
      <c r="C206">
        <v>205</v>
      </c>
      <c r="E206" t="s">
        <v>368</v>
      </c>
      <c r="F206" s="511" t="s">
        <v>608</v>
      </c>
      <c r="G206" s="84" t="s">
        <v>607</v>
      </c>
      <c r="H206">
        <v>205</v>
      </c>
      <c r="I206" t="s">
        <v>370</v>
      </c>
    </row>
    <row r="207" spans="1:10">
      <c r="A207" s="511" t="s">
        <v>609</v>
      </c>
      <c r="B207" s="84" t="s">
        <v>610</v>
      </c>
      <c r="C207">
        <v>206</v>
      </c>
      <c r="E207" t="s">
        <v>368</v>
      </c>
      <c r="F207" s="511" t="s">
        <v>611</v>
      </c>
      <c r="G207" s="84" t="s">
        <v>610</v>
      </c>
      <c r="H207">
        <v>206</v>
      </c>
      <c r="I207" t="s">
        <v>370</v>
      </c>
    </row>
    <row r="208" spans="1:10">
      <c r="A208" s="511" t="s">
        <v>612</v>
      </c>
      <c r="B208" s="84" t="s">
        <v>613</v>
      </c>
      <c r="C208">
        <v>207</v>
      </c>
      <c r="E208" t="s">
        <v>368</v>
      </c>
      <c r="F208" s="511" t="s">
        <v>614</v>
      </c>
      <c r="G208" s="84" t="s">
        <v>613</v>
      </c>
      <c r="H208">
        <v>207</v>
      </c>
      <c r="I208" t="s">
        <v>370</v>
      </c>
    </row>
    <row r="209" spans="1:9">
      <c r="A209" s="511" t="s">
        <v>615</v>
      </c>
      <c r="B209" s="84" t="s">
        <v>616</v>
      </c>
      <c r="C209">
        <v>208</v>
      </c>
      <c r="E209" t="s">
        <v>368</v>
      </c>
      <c r="F209" s="511" t="s">
        <v>617</v>
      </c>
      <c r="G209" s="84" t="s">
        <v>616</v>
      </c>
      <c r="H209">
        <v>208</v>
      </c>
      <c r="I209" t="s">
        <v>370</v>
      </c>
    </row>
    <row r="210" spans="1:9">
      <c r="A210" s="511" t="s">
        <v>618</v>
      </c>
      <c r="B210" s="84" t="s">
        <v>619</v>
      </c>
      <c r="C210">
        <v>209</v>
      </c>
      <c r="E210" t="s">
        <v>368</v>
      </c>
      <c r="F210" s="511" t="s">
        <v>620</v>
      </c>
      <c r="G210" s="84" t="s">
        <v>619</v>
      </c>
      <c r="H210">
        <v>209</v>
      </c>
      <c r="I210" t="s">
        <v>370</v>
      </c>
    </row>
    <row r="211" spans="1:9">
      <c r="A211" s="511" t="s">
        <v>621</v>
      </c>
      <c r="B211" s="84" t="s">
        <v>622</v>
      </c>
      <c r="C211">
        <v>210</v>
      </c>
      <c r="E211" t="s">
        <v>368</v>
      </c>
      <c r="F211" s="511" t="s">
        <v>576</v>
      </c>
      <c r="G211" s="84" t="s">
        <v>622</v>
      </c>
      <c r="H211">
        <v>210</v>
      </c>
    </row>
    <row r="212" spans="1:9">
      <c r="A212" s="511" t="s">
        <v>623</v>
      </c>
      <c r="B212" s="84" t="s">
        <v>624</v>
      </c>
      <c r="C212">
        <v>211</v>
      </c>
      <c r="E212" t="s">
        <v>368</v>
      </c>
      <c r="F212" s="511" t="s">
        <v>578</v>
      </c>
      <c r="G212" s="84" t="s">
        <v>624</v>
      </c>
      <c r="H212">
        <v>211</v>
      </c>
    </row>
    <row r="213" spans="1:9">
      <c r="A213" s="511" t="s">
        <v>625</v>
      </c>
      <c r="B213" s="84" t="s">
        <v>626</v>
      </c>
      <c r="C213">
        <v>212</v>
      </c>
      <c r="E213" t="s">
        <v>368</v>
      </c>
      <c r="F213" s="511" t="s">
        <v>580</v>
      </c>
      <c r="G213" s="84" t="s">
        <v>626</v>
      </c>
      <c r="H213">
        <v>212</v>
      </c>
    </row>
    <row r="214" spans="1:9">
      <c r="A214" s="511" t="s">
        <v>627</v>
      </c>
      <c r="B214" s="84" t="s">
        <v>628</v>
      </c>
      <c r="C214">
        <v>213</v>
      </c>
      <c r="E214" t="s">
        <v>368</v>
      </c>
      <c r="F214" s="511" t="s">
        <v>582</v>
      </c>
      <c r="G214" s="84" t="s">
        <v>628</v>
      </c>
      <c r="H214">
        <v>213</v>
      </c>
    </row>
    <row r="215" spans="1:9">
      <c r="A215" s="511" t="s">
        <v>629</v>
      </c>
      <c r="B215" s="84" t="s">
        <v>630</v>
      </c>
      <c r="C215">
        <v>214</v>
      </c>
      <c r="E215" t="s">
        <v>368</v>
      </c>
      <c r="F215" s="511" t="s">
        <v>584</v>
      </c>
      <c r="G215" s="84" t="s">
        <v>630</v>
      </c>
      <c r="H215">
        <v>214</v>
      </c>
    </row>
    <row r="216" spans="1:9">
      <c r="A216" s="511" t="s">
        <v>631</v>
      </c>
      <c r="B216" s="84" t="s">
        <v>632</v>
      </c>
      <c r="C216">
        <v>215</v>
      </c>
      <c r="D216">
        <v>256</v>
      </c>
      <c r="F216" s="511" t="s">
        <v>633</v>
      </c>
      <c r="G216" s="84" t="s">
        <v>632</v>
      </c>
      <c r="H216">
        <v>215</v>
      </c>
      <c r="I216" t="s">
        <v>370</v>
      </c>
    </row>
    <row r="217" spans="1:9">
      <c r="A217" s="511" t="s">
        <v>634</v>
      </c>
      <c r="B217" s="84" t="s">
        <v>635</v>
      </c>
      <c r="C217">
        <v>216</v>
      </c>
      <c r="D217">
        <v>257</v>
      </c>
      <c r="F217" s="511" t="s">
        <v>636</v>
      </c>
      <c r="G217" s="84" t="s">
        <v>635</v>
      </c>
      <c r="H217">
        <v>216</v>
      </c>
      <c r="I217" t="s">
        <v>370</v>
      </c>
    </row>
    <row r="218" spans="1:9">
      <c r="A218" s="511" t="s">
        <v>637</v>
      </c>
      <c r="B218" s="84" t="s">
        <v>638</v>
      </c>
      <c r="C218">
        <v>217</v>
      </c>
      <c r="D218">
        <v>258</v>
      </c>
      <c r="F218" s="511" t="s">
        <v>639</v>
      </c>
      <c r="G218" s="84" t="s">
        <v>638</v>
      </c>
      <c r="H218">
        <v>217</v>
      </c>
      <c r="I218" t="s">
        <v>370</v>
      </c>
    </row>
    <row r="219" spans="1:9">
      <c r="A219" s="511" t="s">
        <v>640</v>
      </c>
      <c r="B219" s="84" t="s">
        <v>641</v>
      </c>
      <c r="C219">
        <v>218</v>
      </c>
      <c r="D219">
        <v>259</v>
      </c>
      <c r="F219" s="511" t="s">
        <v>642</v>
      </c>
      <c r="G219" s="84" t="s">
        <v>641</v>
      </c>
      <c r="H219">
        <v>218</v>
      </c>
      <c r="I219" t="s">
        <v>370</v>
      </c>
    </row>
    <row r="220" spans="1:9">
      <c r="A220" s="511" t="s">
        <v>643</v>
      </c>
      <c r="B220" s="84" t="s">
        <v>644</v>
      </c>
      <c r="C220">
        <v>219</v>
      </c>
      <c r="D220">
        <v>260</v>
      </c>
      <c r="F220" s="511" t="s">
        <v>645</v>
      </c>
      <c r="G220" s="84" t="s">
        <v>644</v>
      </c>
      <c r="H220">
        <v>219</v>
      </c>
      <c r="I220" t="s">
        <v>370</v>
      </c>
    </row>
    <row r="221" spans="1:9">
      <c r="A221" s="511" t="s">
        <v>646</v>
      </c>
      <c r="B221" s="84" t="s">
        <v>647</v>
      </c>
      <c r="C221">
        <v>220</v>
      </c>
      <c r="E221" t="s">
        <v>368</v>
      </c>
      <c r="F221" s="511" t="s">
        <v>648</v>
      </c>
      <c r="G221" s="84" t="s">
        <v>647</v>
      </c>
      <c r="H221">
        <v>220</v>
      </c>
      <c r="I221" t="s">
        <v>370</v>
      </c>
    </row>
    <row r="222" spans="1:9">
      <c r="A222" s="511" t="s">
        <v>649</v>
      </c>
      <c r="B222" s="84" t="s">
        <v>650</v>
      </c>
      <c r="C222">
        <v>221</v>
      </c>
      <c r="E222" t="s">
        <v>368</v>
      </c>
      <c r="F222" s="511" t="s">
        <v>651</v>
      </c>
      <c r="G222" s="84" t="s">
        <v>650</v>
      </c>
      <c r="H222">
        <v>221</v>
      </c>
      <c r="I222" t="s">
        <v>370</v>
      </c>
    </row>
    <row r="223" spans="1:9">
      <c r="A223" s="511" t="s">
        <v>652</v>
      </c>
      <c r="B223" s="84" t="s">
        <v>653</v>
      </c>
      <c r="C223">
        <v>222</v>
      </c>
      <c r="E223" t="s">
        <v>368</v>
      </c>
      <c r="F223" s="511" t="s">
        <v>654</v>
      </c>
      <c r="G223" s="84" t="s">
        <v>653</v>
      </c>
      <c r="H223">
        <v>222</v>
      </c>
      <c r="I223" t="s">
        <v>370</v>
      </c>
    </row>
    <row r="224" spans="1:9">
      <c r="A224" s="511" t="s">
        <v>655</v>
      </c>
      <c r="B224" s="84" t="s">
        <v>656</v>
      </c>
      <c r="C224">
        <v>223</v>
      </c>
      <c r="E224" t="s">
        <v>368</v>
      </c>
      <c r="F224" s="511" t="s">
        <v>657</v>
      </c>
      <c r="G224" s="84" t="s">
        <v>656</v>
      </c>
      <c r="H224">
        <v>223</v>
      </c>
      <c r="I224" t="s">
        <v>370</v>
      </c>
    </row>
    <row r="225" spans="1:9">
      <c r="A225" s="511" t="s">
        <v>658</v>
      </c>
      <c r="B225" s="84" t="s">
        <v>659</v>
      </c>
      <c r="C225">
        <v>224</v>
      </c>
      <c r="E225" t="s">
        <v>368</v>
      </c>
      <c r="F225" s="511" t="s">
        <v>660</v>
      </c>
      <c r="G225" s="84" t="s">
        <v>659</v>
      </c>
      <c r="H225">
        <v>224</v>
      </c>
      <c r="I225" t="s">
        <v>370</v>
      </c>
    </row>
    <row r="226" spans="1:9">
      <c r="A226" s="511" t="s">
        <v>661</v>
      </c>
      <c r="B226" s="84" t="s">
        <v>662</v>
      </c>
      <c r="C226">
        <v>225</v>
      </c>
      <c r="E226" t="s">
        <v>368</v>
      </c>
      <c r="F226" s="511" t="s">
        <v>663</v>
      </c>
      <c r="G226" s="84" t="s">
        <v>662</v>
      </c>
      <c r="H226">
        <v>225</v>
      </c>
      <c r="I226" t="s">
        <v>370</v>
      </c>
    </row>
    <row r="227" spans="1:9">
      <c r="A227" s="511" t="s">
        <v>664</v>
      </c>
      <c r="B227" s="84" t="s">
        <v>665</v>
      </c>
      <c r="C227">
        <v>226</v>
      </c>
      <c r="E227" t="s">
        <v>368</v>
      </c>
      <c r="F227" s="511" t="s">
        <v>666</v>
      </c>
      <c r="G227" s="84" t="s">
        <v>665</v>
      </c>
      <c r="H227">
        <v>226</v>
      </c>
      <c r="I227" t="s">
        <v>370</v>
      </c>
    </row>
    <row r="228" spans="1:9">
      <c r="A228" s="511" t="s">
        <v>667</v>
      </c>
      <c r="B228" s="84" t="s">
        <v>668</v>
      </c>
      <c r="C228">
        <v>227</v>
      </c>
      <c r="E228" t="s">
        <v>368</v>
      </c>
      <c r="F228" s="511" t="s">
        <v>669</v>
      </c>
      <c r="G228" s="84" t="s">
        <v>668</v>
      </c>
      <c r="H228">
        <v>227</v>
      </c>
      <c r="I228" t="s">
        <v>370</v>
      </c>
    </row>
    <row r="229" spans="1:9">
      <c r="A229" s="511" t="s">
        <v>670</v>
      </c>
      <c r="B229" s="84" t="s">
        <v>671</v>
      </c>
      <c r="C229">
        <v>228</v>
      </c>
      <c r="E229" t="s">
        <v>368</v>
      </c>
      <c r="F229" s="511" t="s">
        <v>672</v>
      </c>
      <c r="G229" s="84" t="s">
        <v>671</v>
      </c>
      <c r="H229">
        <v>228</v>
      </c>
      <c r="I229" t="s">
        <v>370</v>
      </c>
    </row>
    <row r="230" spans="1:9">
      <c r="A230" s="511" t="s">
        <v>673</v>
      </c>
      <c r="B230" s="84" t="s">
        <v>674</v>
      </c>
      <c r="C230">
        <v>229</v>
      </c>
      <c r="E230" t="s">
        <v>368</v>
      </c>
      <c r="F230" s="511" t="s">
        <v>675</v>
      </c>
      <c r="G230" s="84" t="s">
        <v>674</v>
      </c>
      <c r="H230">
        <v>229</v>
      </c>
      <c r="I230" t="s">
        <v>370</v>
      </c>
    </row>
    <row r="231" spans="1:9">
      <c r="A231" s="511" t="s">
        <v>676</v>
      </c>
      <c r="B231" s="84" t="s">
        <v>677</v>
      </c>
      <c r="C231">
        <v>230</v>
      </c>
      <c r="E231" t="s">
        <v>678</v>
      </c>
      <c r="F231" s="511" t="s">
        <v>679</v>
      </c>
      <c r="G231" s="84" t="s">
        <v>677</v>
      </c>
      <c r="H231">
        <v>230</v>
      </c>
      <c r="I231" t="s">
        <v>370</v>
      </c>
    </row>
    <row r="232" spans="1:9">
      <c r="A232" s="511" t="s">
        <v>680</v>
      </c>
      <c r="B232" s="84" t="s">
        <v>681</v>
      </c>
      <c r="C232">
        <v>231</v>
      </c>
      <c r="E232" t="s">
        <v>682</v>
      </c>
      <c r="F232" s="511" t="s">
        <v>683</v>
      </c>
      <c r="G232" s="84" t="s">
        <v>681</v>
      </c>
      <c r="H232">
        <v>231</v>
      </c>
      <c r="I232" t="s">
        <v>370</v>
      </c>
    </row>
    <row r="233" spans="1:9">
      <c r="A233" s="511" t="s">
        <v>684</v>
      </c>
      <c r="B233" s="84" t="s">
        <v>685</v>
      </c>
      <c r="C233">
        <v>232</v>
      </c>
      <c r="E233" t="s">
        <v>686</v>
      </c>
      <c r="F233" s="511" t="s">
        <v>687</v>
      </c>
      <c r="G233" s="84" t="s">
        <v>685</v>
      </c>
      <c r="H233">
        <v>232</v>
      </c>
      <c r="I233" t="s">
        <v>370</v>
      </c>
    </row>
    <row r="234" spans="1:9">
      <c r="A234" s="511" t="s">
        <v>688</v>
      </c>
      <c r="B234" s="84" t="s">
        <v>689</v>
      </c>
      <c r="C234">
        <v>233</v>
      </c>
      <c r="E234" t="s">
        <v>690</v>
      </c>
      <c r="F234" s="511" t="s">
        <v>691</v>
      </c>
      <c r="G234" s="84" t="s">
        <v>689</v>
      </c>
      <c r="H234">
        <v>233</v>
      </c>
      <c r="I234" t="s">
        <v>370</v>
      </c>
    </row>
    <row r="235" spans="1:9">
      <c r="A235" s="511" t="s">
        <v>692</v>
      </c>
      <c r="B235" s="84" t="s">
        <v>693</v>
      </c>
      <c r="C235">
        <v>234</v>
      </c>
      <c r="E235" t="s">
        <v>694</v>
      </c>
      <c r="F235" s="511" t="s">
        <v>695</v>
      </c>
      <c r="G235" s="84" t="s">
        <v>693</v>
      </c>
      <c r="H235">
        <v>234</v>
      </c>
      <c r="I235" t="s">
        <v>370</v>
      </c>
    </row>
    <row r="236" spans="1:9">
      <c r="A236" s="511" t="s">
        <v>696</v>
      </c>
      <c r="B236" s="84" t="s">
        <v>697</v>
      </c>
      <c r="C236">
        <v>235</v>
      </c>
      <c r="E236" t="s">
        <v>698</v>
      </c>
      <c r="F236" s="511" t="s">
        <v>699</v>
      </c>
      <c r="G236" s="84" t="s">
        <v>697</v>
      </c>
      <c r="H236">
        <v>235</v>
      </c>
      <c r="I236" t="s">
        <v>370</v>
      </c>
    </row>
    <row r="237" spans="1:9">
      <c r="A237" s="511" t="s">
        <v>700</v>
      </c>
      <c r="B237" s="84" t="s">
        <v>701</v>
      </c>
      <c r="C237">
        <v>236</v>
      </c>
      <c r="E237" t="s">
        <v>702</v>
      </c>
      <c r="F237" s="511" t="s">
        <v>703</v>
      </c>
      <c r="G237" s="84" t="s">
        <v>701</v>
      </c>
      <c r="H237">
        <v>236</v>
      </c>
      <c r="I237" t="s">
        <v>370</v>
      </c>
    </row>
    <row r="238" spans="1:9">
      <c r="A238" s="511" t="s">
        <v>704</v>
      </c>
      <c r="B238" s="84" t="s">
        <v>705</v>
      </c>
      <c r="C238">
        <v>237</v>
      </c>
      <c r="E238" t="s">
        <v>706</v>
      </c>
      <c r="F238" s="511" t="s">
        <v>707</v>
      </c>
      <c r="G238" s="84" t="s">
        <v>705</v>
      </c>
      <c r="H238">
        <v>237</v>
      </c>
      <c r="I238" t="s">
        <v>370</v>
      </c>
    </row>
    <row r="239" spans="1:9">
      <c r="A239" s="511" t="s">
        <v>708</v>
      </c>
      <c r="B239" s="84" t="s">
        <v>709</v>
      </c>
      <c r="C239">
        <v>238</v>
      </c>
      <c r="E239" t="s">
        <v>710</v>
      </c>
      <c r="F239" s="511" t="s">
        <v>711</v>
      </c>
      <c r="G239" s="84" t="s">
        <v>709</v>
      </c>
      <c r="H239">
        <v>238</v>
      </c>
      <c r="I239" t="s">
        <v>370</v>
      </c>
    </row>
    <row r="240" spans="1:9">
      <c r="A240" s="511" t="s">
        <v>712</v>
      </c>
      <c r="B240" s="84" t="s">
        <v>713</v>
      </c>
      <c r="C240">
        <v>239</v>
      </c>
      <c r="E240" t="s">
        <v>714</v>
      </c>
      <c r="F240" s="511" t="s">
        <v>715</v>
      </c>
      <c r="G240" s="84" t="s">
        <v>713</v>
      </c>
      <c r="H240">
        <v>239</v>
      </c>
      <c r="I240" t="s">
        <v>370</v>
      </c>
    </row>
    <row r="241" spans="1:9">
      <c r="A241" s="511" t="s">
        <v>716</v>
      </c>
      <c r="B241" s="84" t="s">
        <v>717</v>
      </c>
      <c r="C241">
        <v>240</v>
      </c>
      <c r="E241" t="s">
        <v>368</v>
      </c>
      <c r="F241" s="511" t="s">
        <v>718</v>
      </c>
      <c r="G241" s="84" t="s">
        <v>717</v>
      </c>
      <c r="H241">
        <v>240</v>
      </c>
      <c r="I241" t="s">
        <v>370</v>
      </c>
    </row>
    <row r="242" spans="1:9">
      <c r="A242" s="511" t="s">
        <v>719</v>
      </c>
      <c r="B242" s="84" t="s">
        <v>720</v>
      </c>
      <c r="C242">
        <v>241</v>
      </c>
      <c r="E242" t="s">
        <v>368</v>
      </c>
      <c r="F242" s="511" t="s">
        <v>721</v>
      </c>
      <c r="G242" s="84" t="s">
        <v>720</v>
      </c>
      <c r="H242">
        <v>241</v>
      </c>
      <c r="I242" t="s">
        <v>370</v>
      </c>
    </row>
    <row r="243" spans="1:9">
      <c r="A243" s="511" t="s">
        <v>722</v>
      </c>
      <c r="B243" s="84" t="s">
        <v>723</v>
      </c>
      <c r="C243">
        <v>242</v>
      </c>
      <c r="E243" t="s">
        <v>368</v>
      </c>
      <c r="F243" s="511" t="s">
        <v>724</v>
      </c>
      <c r="G243" s="84" t="s">
        <v>723</v>
      </c>
      <c r="H243">
        <v>242</v>
      </c>
      <c r="I243" t="s">
        <v>370</v>
      </c>
    </row>
    <row r="244" spans="1:9">
      <c r="A244" s="511" t="s">
        <v>725</v>
      </c>
      <c r="B244" s="84" t="s">
        <v>726</v>
      </c>
      <c r="C244">
        <v>243</v>
      </c>
      <c r="E244" t="s">
        <v>368</v>
      </c>
      <c r="F244" s="511" t="s">
        <v>727</v>
      </c>
      <c r="G244" s="84" t="s">
        <v>726</v>
      </c>
      <c r="H244">
        <v>243</v>
      </c>
      <c r="I244" t="s">
        <v>370</v>
      </c>
    </row>
    <row r="245" spans="1:9">
      <c r="A245" s="511" t="s">
        <v>728</v>
      </c>
      <c r="B245" s="84" t="s">
        <v>729</v>
      </c>
      <c r="C245">
        <v>244</v>
      </c>
      <c r="D245">
        <v>281</v>
      </c>
      <c r="F245" s="511" t="s">
        <v>730</v>
      </c>
      <c r="G245" s="84" t="s">
        <v>729</v>
      </c>
      <c r="H245">
        <v>244</v>
      </c>
      <c r="I245" t="s">
        <v>370</v>
      </c>
    </row>
    <row r="246" spans="1:9">
      <c r="A246" s="511" t="s">
        <v>731</v>
      </c>
      <c r="B246" s="84" t="s">
        <v>732</v>
      </c>
      <c r="C246">
        <v>245</v>
      </c>
      <c r="D246">
        <v>282</v>
      </c>
      <c r="F246" s="511" t="s">
        <v>733</v>
      </c>
      <c r="G246" s="84" t="s">
        <v>732</v>
      </c>
      <c r="H246">
        <v>245</v>
      </c>
      <c r="I246" t="s">
        <v>370</v>
      </c>
    </row>
    <row r="247" spans="1:9">
      <c r="A247" s="511" t="s">
        <v>734</v>
      </c>
      <c r="B247" s="84" t="s">
        <v>735</v>
      </c>
      <c r="C247">
        <v>246</v>
      </c>
      <c r="D247">
        <v>283</v>
      </c>
      <c r="F247" s="511" t="s">
        <v>736</v>
      </c>
      <c r="G247" s="84" t="s">
        <v>735</v>
      </c>
      <c r="H247">
        <v>246</v>
      </c>
    </row>
    <row r="248" spans="1:9">
      <c r="A248" s="511" t="s">
        <v>737</v>
      </c>
      <c r="B248" s="84" t="s">
        <v>738</v>
      </c>
      <c r="C248">
        <v>247</v>
      </c>
      <c r="D248">
        <v>284</v>
      </c>
      <c r="F248" s="511" t="s">
        <v>739</v>
      </c>
      <c r="G248" s="84" t="s">
        <v>738</v>
      </c>
      <c r="H248">
        <v>247</v>
      </c>
    </row>
    <row r="249" spans="1:9">
      <c r="A249" s="511" t="s">
        <v>740</v>
      </c>
      <c r="B249" s="84" t="s">
        <v>741</v>
      </c>
      <c r="C249">
        <v>248</v>
      </c>
      <c r="D249">
        <v>285</v>
      </c>
      <c r="F249" s="511" t="s">
        <v>742</v>
      </c>
      <c r="G249" s="84" t="s">
        <v>741</v>
      </c>
      <c r="H249">
        <v>248</v>
      </c>
    </row>
    <row r="250" spans="1:9">
      <c r="A250" s="511" t="s">
        <v>743</v>
      </c>
      <c r="B250" s="84" t="s">
        <v>744</v>
      </c>
      <c r="C250">
        <v>249</v>
      </c>
      <c r="D250">
        <v>286</v>
      </c>
      <c r="F250" s="511" t="s">
        <v>745</v>
      </c>
      <c r="G250" s="84" t="s">
        <v>744</v>
      </c>
      <c r="H250">
        <v>249</v>
      </c>
    </row>
    <row r="251" spans="1:9">
      <c r="A251" s="511" t="s">
        <v>746</v>
      </c>
      <c r="B251" s="84" t="s">
        <v>747</v>
      </c>
      <c r="C251">
        <v>250</v>
      </c>
      <c r="D251">
        <v>287</v>
      </c>
      <c r="F251" s="511" t="s">
        <v>748</v>
      </c>
      <c r="G251" s="84" t="s">
        <v>747</v>
      </c>
      <c r="H251">
        <v>250</v>
      </c>
    </row>
    <row r="252" spans="1:9">
      <c r="A252" s="511" t="s">
        <v>749</v>
      </c>
      <c r="B252" s="84" t="s">
        <v>750</v>
      </c>
      <c r="C252">
        <v>251</v>
      </c>
      <c r="D252">
        <v>288</v>
      </c>
      <c r="F252" s="511" t="s">
        <v>751</v>
      </c>
      <c r="G252" s="84" t="s">
        <v>750</v>
      </c>
      <c r="H252">
        <v>251</v>
      </c>
    </row>
    <row r="253" spans="1:9">
      <c r="A253" s="511" t="s">
        <v>752</v>
      </c>
      <c r="B253" s="84" t="s">
        <v>753</v>
      </c>
      <c r="C253">
        <v>252</v>
      </c>
      <c r="D253">
        <v>289</v>
      </c>
      <c r="F253" s="511" t="s">
        <v>754</v>
      </c>
      <c r="G253" s="84" t="s">
        <v>753</v>
      </c>
      <c r="H253">
        <v>252</v>
      </c>
    </row>
    <row r="254" spans="1:9">
      <c r="A254" s="511" t="s">
        <v>755</v>
      </c>
      <c r="B254" s="84" t="s">
        <v>756</v>
      </c>
      <c r="C254">
        <v>253</v>
      </c>
      <c r="D254">
        <v>290</v>
      </c>
      <c r="F254" s="511" t="s">
        <v>757</v>
      </c>
      <c r="G254" s="84" t="s">
        <v>756</v>
      </c>
      <c r="H254">
        <v>253</v>
      </c>
    </row>
    <row r="255" spans="1:9">
      <c r="A255" s="511" t="s">
        <v>758</v>
      </c>
      <c r="B255" s="84" t="s">
        <v>759</v>
      </c>
      <c r="C255">
        <v>254</v>
      </c>
      <c r="D255">
        <v>291</v>
      </c>
      <c r="F255" s="511" t="s">
        <v>760</v>
      </c>
      <c r="G255" s="84" t="s">
        <v>759</v>
      </c>
      <c r="H255">
        <v>254</v>
      </c>
    </row>
    <row r="256" spans="1:9">
      <c r="A256" s="511" t="s">
        <v>761</v>
      </c>
      <c r="B256" s="84" t="s">
        <v>762</v>
      </c>
      <c r="C256">
        <v>255</v>
      </c>
      <c r="D256">
        <v>292</v>
      </c>
      <c r="F256" s="511" t="s">
        <v>763</v>
      </c>
      <c r="G256" s="84" t="s">
        <v>762</v>
      </c>
      <c r="H256">
        <v>255</v>
      </c>
    </row>
    <row r="257" spans="1:9">
      <c r="A257" s="511" t="s">
        <v>764</v>
      </c>
      <c r="B257" s="84" t="s">
        <v>765</v>
      </c>
      <c r="C257">
        <v>256</v>
      </c>
      <c r="D257">
        <v>293</v>
      </c>
      <c r="F257" s="511" t="s">
        <v>766</v>
      </c>
      <c r="G257" s="84" t="s">
        <v>765</v>
      </c>
      <c r="H257">
        <v>256</v>
      </c>
    </row>
    <row r="258" spans="1:9">
      <c r="A258" s="511" t="s">
        <v>767</v>
      </c>
      <c r="B258" s="84" t="s">
        <v>768</v>
      </c>
      <c r="C258">
        <v>257</v>
      </c>
      <c r="D258">
        <v>294</v>
      </c>
      <c r="F258" s="511" t="s">
        <v>769</v>
      </c>
      <c r="G258" s="84" t="s">
        <v>768</v>
      </c>
      <c r="H258">
        <v>257</v>
      </c>
    </row>
    <row r="259" spans="1:9">
      <c r="A259" s="511" t="s">
        <v>770</v>
      </c>
      <c r="B259" s="84" t="s">
        <v>771</v>
      </c>
      <c r="C259">
        <v>258</v>
      </c>
      <c r="D259">
        <v>295</v>
      </c>
      <c r="F259" s="511" t="s">
        <v>612</v>
      </c>
      <c r="G259" s="84" t="s">
        <v>771</v>
      </c>
      <c r="H259">
        <v>258</v>
      </c>
    </row>
    <row r="260" spans="1:9">
      <c r="A260" s="511" t="s">
        <v>772</v>
      </c>
      <c r="B260" s="84" t="s">
        <v>773</v>
      </c>
      <c r="C260">
        <v>259</v>
      </c>
      <c r="D260">
        <v>296</v>
      </c>
      <c r="F260" s="511" t="s">
        <v>615</v>
      </c>
      <c r="G260" s="84" t="s">
        <v>773</v>
      </c>
      <c r="H260">
        <v>259</v>
      </c>
    </row>
    <row r="261" spans="1:9">
      <c r="A261" s="511" t="s">
        <v>774</v>
      </c>
      <c r="B261" s="84" t="s">
        <v>775</v>
      </c>
      <c r="C261">
        <v>260</v>
      </c>
      <c r="D261">
        <v>297</v>
      </c>
      <c r="F261" s="511" t="s">
        <v>618</v>
      </c>
      <c r="G261" s="84" t="s">
        <v>775</v>
      </c>
      <c r="H261">
        <v>260</v>
      </c>
    </row>
    <row r="262" spans="1:9">
      <c r="A262" s="511" t="s">
        <v>776</v>
      </c>
      <c r="B262" s="84" t="s">
        <v>777</v>
      </c>
      <c r="C262">
        <v>261</v>
      </c>
      <c r="D262">
        <v>298</v>
      </c>
      <c r="F262" s="511" t="s">
        <v>778</v>
      </c>
      <c r="G262" s="84" t="s">
        <v>777</v>
      </c>
      <c r="H262">
        <v>261</v>
      </c>
      <c r="I262" t="s">
        <v>370</v>
      </c>
    </row>
    <row r="263" spans="1:9">
      <c r="A263" s="511" t="s">
        <v>779</v>
      </c>
      <c r="B263" s="84" t="s">
        <v>780</v>
      </c>
      <c r="C263">
        <v>262</v>
      </c>
      <c r="D263">
        <v>299</v>
      </c>
      <c r="F263" s="511" t="s">
        <v>781</v>
      </c>
      <c r="G263" s="84" t="s">
        <v>780</v>
      </c>
      <c r="H263">
        <v>262</v>
      </c>
      <c r="I263" t="s">
        <v>370</v>
      </c>
    </row>
    <row r="264" spans="1:9">
      <c r="A264" s="511" t="s">
        <v>782</v>
      </c>
      <c r="B264" s="84" t="s">
        <v>783</v>
      </c>
      <c r="C264">
        <v>263</v>
      </c>
      <c r="D264">
        <v>300</v>
      </c>
      <c r="F264" s="511" t="s">
        <v>784</v>
      </c>
      <c r="G264" s="84" t="s">
        <v>783</v>
      </c>
      <c r="H264">
        <v>263</v>
      </c>
      <c r="I264" t="s">
        <v>370</v>
      </c>
    </row>
    <row r="265" spans="1:9">
      <c r="A265" s="511" t="s">
        <v>785</v>
      </c>
      <c r="B265" s="84" t="s">
        <v>786</v>
      </c>
      <c r="C265">
        <v>264</v>
      </c>
      <c r="E265" t="s">
        <v>678</v>
      </c>
      <c r="F265" s="511" t="s">
        <v>787</v>
      </c>
      <c r="G265" s="84" t="s">
        <v>786</v>
      </c>
      <c r="H265">
        <v>264</v>
      </c>
      <c r="I265" t="s">
        <v>370</v>
      </c>
    </row>
    <row r="266" spans="1:9">
      <c r="A266" s="511" t="s">
        <v>788</v>
      </c>
      <c r="B266" s="84" t="s">
        <v>789</v>
      </c>
      <c r="C266">
        <v>265</v>
      </c>
      <c r="E266" t="s">
        <v>678</v>
      </c>
      <c r="F266" s="511" t="s">
        <v>790</v>
      </c>
      <c r="G266" s="84" t="s">
        <v>789</v>
      </c>
      <c r="H266">
        <v>265</v>
      </c>
      <c r="I266" t="s">
        <v>370</v>
      </c>
    </row>
    <row r="267" spans="1:9">
      <c r="A267" s="511" t="s">
        <v>791</v>
      </c>
      <c r="B267" s="84" t="s">
        <v>792</v>
      </c>
      <c r="C267">
        <v>266</v>
      </c>
      <c r="E267" t="s">
        <v>678</v>
      </c>
      <c r="F267" s="511" t="s">
        <v>793</v>
      </c>
      <c r="G267" s="84" t="s">
        <v>792</v>
      </c>
      <c r="H267">
        <v>266</v>
      </c>
      <c r="I267" t="s">
        <v>678</v>
      </c>
    </row>
    <row r="268" spans="1:9">
      <c r="A268" s="511" t="s">
        <v>794</v>
      </c>
      <c r="B268" s="84" t="s">
        <v>795</v>
      </c>
      <c r="C268">
        <v>267</v>
      </c>
      <c r="E268" t="s">
        <v>678</v>
      </c>
      <c r="F268" s="511" t="s">
        <v>796</v>
      </c>
      <c r="G268" s="84" t="s">
        <v>795</v>
      </c>
      <c r="H268">
        <v>267</v>
      </c>
      <c r="I268" t="s">
        <v>682</v>
      </c>
    </row>
    <row r="269" spans="1:9">
      <c r="A269" s="511" t="s">
        <v>797</v>
      </c>
      <c r="B269" s="84" t="s">
        <v>798</v>
      </c>
      <c r="C269">
        <v>268</v>
      </c>
      <c r="E269" t="s">
        <v>678</v>
      </c>
      <c r="F269" s="511" t="s">
        <v>799</v>
      </c>
      <c r="G269" s="84" t="s">
        <v>798</v>
      </c>
      <c r="H269">
        <v>268</v>
      </c>
      <c r="I269" t="s">
        <v>686</v>
      </c>
    </row>
    <row r="270" spans="1:9">
      <c r="A270" s="511" t="s">
        <v>800</v>
      </c>
      <c r="B270" s="84" t="s">
        <v>801</v>
      </c>
      <c r="C270">
        <v>269</v>
      </c>
      <c r="E270" t="s">
        <v>678</v>
      </c>
      <c r="F270" s="511" t="s">
        <v>802</v>
      </c>
      <c r="G270" s="84" t="s">
        <v>801</v>
      </c>
      <c r="H270">
        <v>269</v>
      </c>
      <c r="I270" t="s">
        <v>690</v>
      </c>
    </row>
    <row r="271" spans="1:9">
      <c r="A271" s="511" t="s">
        <v>803</v>
      </c>
      <c r="B271" s="84" t="s">
        <v>804</v>
      </c>
      <c r="C271">
        <v>270</v>
      </c>
      <c r="E271" t="s">
        <v>678</v>
      </c>
      <c r="F271" s="511" t="s">
        <v>805</v>
      </c>
      <c r="G271" s="84" t="s">
        <v>804</v>
      </c>
      <c r="H271">
        <v>270</v>
      </c>
      <c r="I271" t="s">
        <v>694</v>
      </c>
    </row>
    <row r="272" spans="1:9">
      <c r="A272" s="511" t="s">
        <v>806</v>
      </c>
      <c r="B272" s="84" t="s">
        <v>807</v>
      </c>
      <c r="C272">
        <v>271</v>
      </c>
      <c r="E272" t="s">
        <v>678</v>
      </c>
      <c r="F272" s="511" t="s">
        <v>808</v>
      </c>
      <c r="G272" s="84" t="s">
        <v>807</v>
      </c>
      <c r="H272">
        <v>271</v>
      </c>
      <c r="I272" t="s">
        <v>698</v>
      </c>
    </row>
    <row r="273" spans="1:10">
      <c r="A273" s="511" t="s">
        <v>809</v>
      </c>
      <c r="B273" s="84" t="s">
        <v>810</v>
      </c>
      <c r="C273">
        <v>272</v>
      </c>
      <c r="E273" t="s">
        <v>678</v>
      </c>
      <c r="F273" s="511" t="s">
        <v>811</v>
      </c>
      <c r="G273" s="84" t="s">
        <v>810</v>
      </c>
      <c r="H273">
        <v>272</v>
      </c>
      <c r="I273" t="s">
        <v>702</v>
      </c>
    </row>
    <row r="274" spans="1:10">
      <c r="A274" s="511" t="s">
        <v>812</v>
      </c>
      <c r="B274" s="84" t="s">
        <v>813</v>
      </c>
      <c r="C274">
        <v>273</v>
      </c>
      <c r="E274" t="s">
        <v>678</v>
      </c>
      <c r="F274" s="511" t="s">
        <v>814</v>
      </c>
      <c r="G274" s="84" t="s">
        <v>813</v>
      </c>
      <c r="H274">
        <v>273</v>
      </c>
      <c r="I274" t="s">
        <v>706</v>
      </c>
    </row>
    <row r="275" spans="1:10">
      <c r="A275" s="511" t="s">
        <v>815</v>
      </c>
      <c r="B275" s="84" t="s">
        <v>816</v>
      </c>
      <c r="C275">
        <v>274</v>
      </c>
      <c r="D275">
        <v>306</v>
      </c>
      <c r="F275" s="511" t="s">
        <v>817</v>
      </c>
      <c r="G275" s="84" t="s">
        <v>816</v>
      </c>
      <c r="H275">
        <v>274</v>
      </c>
      <c r="I275" t="s">
        <v>710</v>
      </c>
    </row>
    <row r="276" spans="1:10">
      <c r="A276" s="511" t="s">
        <v>818</v>
      </c>
      <c r="B276" s="84" t="s">
        <v>819</v>
      </c>
      <c r="C276">
        <v>275</v>
      </c>
      <c r="D276">
        <v>307</v>
      </c>
      <c r="F276" s="511" t="s">
        <v>820</v>
      </c>
      <c r="G276" s="84" t="s">
        <v>819</v>
      </c>
      <c r="H276">
        <v>275</v>
      </c>
      <c r="I276" t="s">
        <v>714</v>
      </c>
    </row>
    <row r="277" spans="1:10">
      <c r="A277" s="511" t="s">
        <v>821</v>
      </c>
      <c r="B277" s="84" t="s">
        <v>822</v>
      </c>
      <c r="C277">
        <v>276</v>
      </c>
      <c r="D277">
        <v>308</v>
      </c>
      <c r="F277" s="511" t="s">
        <v>823</v>
      </c>
      <c r="G277" s="84" t="s">
        <v>822</v>
      </c>
      <c r="H277">
        <v>276</v>
      </c>
      <c r="I277" t="s">
        <v>370</v>
      </c>
    </row>
    <row r="278" spans="1:10">
      <c r="A278" s="511" t="s">
        <v>128</v>
      </c>
      <c r="B278" s="84" t="s">
        <v>824</v>
      </c>
      <c r="C278">
        <v>277</v>
      </c>
      <c r="D278">
        <v>309</v>
      </c>
      <c r="F278" s="511" t="s">
        <v>825</v>
      </c>
      <c r="G278" s="84" t="s">
        <v>824</v>
      </c>
      <c r="H278">
        <v>277</v>
      </c>
      <c r="I278" t="s">
        <v>370</v>
      </c>
    </row>
    <row r="279" spans="1:10">
      <c r="A279" s="511" t="s">
        <v>826</v>
      </c>
      <c r="B279" s="84" t="s">
        <v>827</v>
      </c>
      <c r="C279">
        <v>278</v>
      </c>
      <c r="D279">
        <v>310</v>
      </c>
      <c r="F279" s="511" t="s">
        <v>637</v>
      </c>
      <c r="G279" s="84" t="s">
        <v>827</v>
      </c>
      <c r="H279">
        <v>278</v>
      </c>
      <c r="I279" t="s">
        <v>370</v>
      </c>
    </row>
    <row r="280" spans="1:10">
      <c r="A280" s="511" t="s">
        <v>828</v>
      </c>
      <c r="B280" s="84" t="s">
        <v>829</v>
      </c>
      <c r="C280">
        <v>279</v>
      </c>
      <c r="D280">
        <v>311</v>
      </c>
      <c r="F280" s="511" t="s">
        <v>640</v>
      </c>
      <c r="G280" s="84" t="s">
        <v>829</v>
      </c>
      <c r="H280">
        <v>279</v>
      </c>
      <c r="I280" t="s">
        <v>370</v>
      </c>
    </row>
    <row r="281" spans="1:10">
      <c r="A281" s="511" t="s">
        <v>830</v>
      </c>
      <c r="B281" s="84" t="s">
        <v>831</v>
      </c>
      <c r="C281">
        <v>280</v>
      </c>
      <c r="D281">
        <v>312</v>
      </c>
      <c r="F281" s="511" t="s">
        <v>643</v>
      </c>
      <c r="G281" s="84" t="s">
        <v>831</v>
      </c>
      <c r="H281">
        <v>280</v>
      </c>
      <c r="I281" t="s">
        <v>370</v>
      </c>
    </row>
    <row r="282" spans="1:10">
      <c r="A282" s="511" t="s">
        <v>832</v>
      </c>
      <c r="B282" s="84" t="s">
        <v>833</v>
      </c>
      <c r="C282">
        <v>281</v>
      </c>
      <c r="D282">
        <v>313</v>
      </c>
      <c r="F282" s="511" t="s">
        <v>728</v>
      </c>
      <c r="G282" s="84" t="s">
        <v>833</v>
      </c>
      <c r="H282">
        <v>281</v>
      </c>
      <c r="J282" t="b">
        <f>F282=A245</f>
        <v>1</v>
      </c>
    </row>
    <row r="283" spans="1:10">
      <c r="A283" s="511" t="s">
        <v>834</v>
      </c>
      <c r="B283" s="84" t="s">
        <v>835</v>
      </c>
      <c r="C283">
        <v>282</v>
      </c>
      <c r="D283">
        <v>314</v>
      </c>
      <c r="F283" s="511" t="s">
        <v>731</v>
      </c>
      <c r="G283" s="84" t="s">
        <v>835</v>
      </c>
      <c r="H283">
        <v>282</v>
      </c>
      <c r="J283" t="b">
        <f t="shared" ref="J283:J301" si="5">F283=A246</f>
        <v>1</v>
      </c>
    </row>
    <row r="284" spans="1:10">
      <c r="A284" s="511" t="s">
        <v>836</v>
      </c>
      <c r="B284" s="84" t="s">
        <v>837</v>
      </c>
      <c r="C284">
        <v>283</v>
      </c>
      <c r="D284">
        <v>315</v>
      </c>
      <c r="F284" s="511" t="s">
        <v>734</v>
      </c>
      <c r="G284" s="84" t="s">
        <v>837</v>
      </c>
      <c r="H284">
        <v>283</v>
      </c>
      <c r="J284" t="b">
        <f t="shared" si="5"/>
        <v>1</v>
      </c>
    </row>
    <row r="285" spans="1:10">
      <c r="A285" s="511" t="s">
        <v>838</v>
      </c>
      <c r="B285" s="84" t="s">
        <v>839</v>
      </c>
      <c r="C285">
        <v>284</v>
      </c>
      <c r="D285">
        <v>316</v>
      </c>
      <c r="E285" t="s">
        <v>840</v>
      </c>
      <c r="F285" s="511" t="s">
        <v>737</v>
      </c>
      <c r="G285" s="84" t="s">
        <v>839</v>
      </c>
      <c r="H285">
        <v>284</v>
      </c>
      <c r="J285" t="b">
        <f t="shared" si="5"/>
        <v>1</v>
      </c>
    </row>
    <row r="286" spans="1:10">
      <c r="A286" s="511" t="s">
        <v>841</v>
      </c>
      <c r="B286" s="84" t="s">
        <v>842</v>
      </c>
      <c r="C286">
        <v>285</v>
      </c>
      <c r="D286">
        <v>317</v>
      </c>
      <c r="E286" t="s">
        <v>840</v>
      </c>
      <c r="F286" s="511" t="s">
        <v>740</v>
      </c>
      <c r="G286" s="84" t="s">
        <v>842</v>
      </c>
      <c r="H286">
        <v>285</v>
      </c>
      <c r="J286" t="b">
        <f t="shared" si="5"/>
        <v>1</v>
      </c>
    </row>
    <row r="287" spans="1:10">
      <c r="A287" s="511" t="s">
        <v>843</v>
      </c>
      <c r="B287" s="84" t="s">
        <v>844</v>
      </c>
      <c r="C287">
        <v>286</v>
      </c>
      <c r="D287">
        <v>320</v>
      </c>
      <c r="E287" s="394" t="s">
        <v>840</v>
      </c>
      <c r="F287" s="511" t="s">
        <v>743</v>
      </c>
      <c r="G287" s="84" t="s">
        <v>844</v>
      </c>
      <c r="H287">
        <v>286</v>
      </c>
      <c r="J287" t="b">
        <f t="shared" si="5"/>
        <v>1</v>
      </c>
    </row>
    <row r="288" spans="1:10">
      <c r="A288" s="511" t="s">
        <v>845</v>
      </c>
      <c r="B288" s="84" t="s">
        <v>846</v>
      </c>
      <c r="C288">
        <v>287</v>
      </c>
      <c r="D288">
        <v>322</v>
      </c>
      <c r="E288" t="s">
        <v>840</v>
      </c>
      <c r="F288" s="511" t="s">
        <v>746</v>
      </c>
      <c r="G288" s="84" t="s">
        <v>846</v>
      </c>
      <c r="H288">
        <v>287</v>
      </c>
      <c r="J288" t="b">
        <f t="shared" si="5"/>
        <v>1</v>
      </c>
    </row>
    <row r="289" spans="1:10">
      <c r="A289" s="511" t="s">
        <v>847</v>
      </c>
      <c r="B289" s="84" t="s">
        <v>848</v>
      </c>
      <c r="C289">
        <v>288</v>
      </c>
      <c r="D289">
        <v>323</v>
      </c>
      <c r="E289" t="s">
        <v>840</v>
      </c>
      <c r="F289" s="511" t="s">
        <v>749</v>
      </c>
      <c r="G289" s="84" t="s">
        <v>848</v>
      </c>
      <c r="H289">
        <v>288</v>
      </c>
      <c r="J289" t="b">
        <f t="shared" si="5"/>
        <v>1</v>
      </c>
    </row>
    <row r="290" spans="1:10">
      <c r="A290" s="511" t="s">
        <v>849</v>
      </c>
      <c r="B290" s="84" t="s">
        <v>850</v>
      </c>
      <c r="C290">
        <v>289</v>
      </c>
      <c r="D290">
        <v>325</v>
      </c>
      <c r="E290" t="s">
        <v>840</v>
      </c>
      <c r="F290" s="511" t="s">
        <v>752</v>
      </c>
      <c r="G290" s="84" t="s">
        <v>850</v>
      </c>
      <c r="H290">
        <v>289</v>
      </c>
      <c r="J290" t="b">
        <f t="shared" si="5"/>
        <v>1</v>
      </c>
    </row>
    <row r="291" spans="1:10">
      <c r="A291" s="511" t="s">
        <v>851</v>
      </c>
      <c r="B291" s="84" t="s">
        <v>852</v>
      </c>
      <c r="C291">
        <v>290</v>
      </c>
      <c r="D291">
        <v>326</v>
      </c>
      <c r="F291" s="511" t="s">
        <v>755</v>
      </c>
      <c r="G291" s="84" t="s">
        <v>852</v>
      </c>
      <c r="H291">
        <v>290</v>
      </c>
      <c r="J291" t="b">
        <f t="shared" si="5"/>
        <v>1</v>
      </c>
    </row>
    <row r="292" spans="1:10">
      <c r="A292" s="511" t="s">
        <v>853</v>
      </c>
      <c r="B292" s="84" t="s">
        <v>854</v>
      </c>
      <c r="C292">
        <v>291</v>
      </c>
      <c r="D292">
        <v>327</v>
      </c>
      <c r="F292" s="511" t="s">
        <v>758</v>
      </c>
      <c r="G292" s="84" t="s">
        <v>854</v>
      </c>
      <c r="H292">
        <v>291</v>
      </c>
      <c r="J292" t="b">
        <f t="shared" si="5"/>
        <v>1</v>
      </c>
    </row>
    <row r="293" spans="1:10">
      <c r="A293" s="511" t="s">
        <v>855</v>
      </c>
      <c r="B293" s="84" t="s">
        <v>856</v>
      </c>
      <c r="C293">
        <v>292</v>
      </c>
      <c r="D293">
        <v>328</v>
      </c>
      <c r="F293" s="511" t="s">
        <v>761</v>
      </c>
      <c r="G293" s="84" t="s">
        <v>856</v>
      </c>
      <c r="H293">
        <v>292</v>
      </c>
      <c r="J293" t="b">
        <f t="shared" si="5"/>
        <v>1</v>
      </c>
    </row>
    <row r="294" spans="1:10">
      <c r="A294" s="511" t="s">
        <v>857</v>
      </c>
      <c r="B294" s="84" t="s">
        <v>858</v>
      </c>
      <c r="C294">
        <v>293</v>
      </c>
      <c r="D294">
        <v>329</v>
      </c>
      <c r="F294" s="511" t="s">
        <v>764</v>
      </c>
      <c r="G294" s="84" t="s">
        <v>858</v>
      </c>
      <c r="H294">
        <v>293</v>
      </c>
      <c r="J294" t="b">
        <f t="shared" si="5"/>
        <v>1</v>
      </c>
    </row>
    <row r="295" spans="1:10">
      <c r="A295" s="511" t="s">
        <v>859</v>
      </c>
      <c r="B295" s="84" t="s">
        <v>860</v>
      </c>
      <c r="C295">
        <v>294</v>
      </c>
      <c r="D295">
        <v>330</v>
      </c>
      <c r="F295" s="511" t="s">
        <v>767</v>
      </c>
      <c r="G295" s="84" t="s">
        <v>860</v>
      </c>
      <c r="H295">
        <v>294</v>
      </c>
      <c r="J295" t="b">
        <f t="shared" si="5"/>
        <v>1</v>
      </c>
    </row>
    <row r="296" spans="1:10">
      <c r="A296" s="511" t="s">
        <v>861</v>
      </c>
      <c r="B296" s="84" t="s">
        <v>862</v>
      </c>
      <c r="C296">
        <v>295</v>
      </c>
      <c r="D296">
        <v>331</v>
      </c>
      <c r="F296" s="511" t="s">
        <v>770</v>
      </c>
      <c r="G296" s="84" t="s">
        <v>862</v>
      </c>
      <c r="H296">
        <v>295</v>
      </c>
      <c r="J296" t="b">
        <f t="shared" si="5"/>
        <v>1</v>
      </c>
    </row>
    <row r="297" spans="1:10">
      <c r="A297" s="511" t="s">
        <v>863</v>
      </c>
      <c r="B297" s="84" t="s">
        <v>864</v>
      </c>
      <c r="C297">
        <v>296</v>
      </c>
      <c r="D297">
        <v>332</v>
      </c>
      <c r="F297" s="511" t="s">
        <v>772</v>
      </c>
      <c r="G297" s="84" t="s">
        <v>864</v>
      </c>
      <c r="H297">
        <v>296</v>
      </c>
      <c r="J297" t="b">
        <f t="shared" si="5"/>
        <v>1</v>
      </c>
    </row>
    <row r="298" spans="1:10">
      <c r="A298" s="511" t="s">
        <v>865</v>
      </c>
      <c r="B298" s="84" t="s">
        <v>866</v>
      </c>
      <c r="C298">
        <v>297</v>
      </c>
      <c r="D298">
        <v>333</v>
      </c>
      <c r="F298" s="511" t="s">
        <v>774</v>
      </c>
      <c r="G298" s="84" t="s">
        <v>866</v>
      </c>
      <c r="H298">
        <v>297</v>
      </c>
      <c r="J298" t="b">
        <f t="shared" si="5"/>
        <v>1</v>
      </c>
    </row>
    <row r="299" spans="1:10">
      <c r="A299" s="511" t="s">
        <v>867</v>
      </c>
      <c r="B299" s="84" t="s">
        <v>868</v>
      </c>
      <c r="C299">
        <v>298</v>
      </c>
      <c r="D299">
        <v>334</v>
      </c>
      <c r="F299" s="511" t="s">
        <v>776</v>
      </c>
      <c r="G299" s="84" t="s">
        <v>868</v>
      </c>
      <c r="H299">
        <v>298</v>
      </c>
      <c r="J299" t="b">
        <f t="shared" si="5"/>
        <v>1</v>
      </c>
    </row>
    <row r="300" spans="1:10">
      <c r="A300" s="511" t="s">
        <v>869</v>
      </c>
      <c r="B300" s="84" t="s">
        <v>870</v>
      </c>
      <c r="C300">
        <v>299</v>
      </c>
      <c r="D300">
        <v>335</v>
      </c>
      <c r="E300" t="s">
        <v>840</v>
      </c>
      <c r="F300" s="511" t="s">
        <v>779</v>
      </c>
      <c r="G300" s="84" t="s">
        <v>870</v>
      </c>
      <c r="H300">
        <v>299</v>
      </c>
      <c r="J300" t="b">
        <f t="shared" si="5"/>
        <v>1</v>
      </c>
    </row>
    <row r="301" spans="1:10">
      <c r="A301" s="511" t="s">
        <v>871</v>
      </c>
      <c r="B301" s="84" t="s">
        <v>872</v>
      </c>
      <c r="C301">
        <v>300</v>
      </c>
      <c r="D301">
        <v>336</v>
      </c>
      <c r="E301" t="s">
        <v>840</v>
      </c>
      <c r="F301" s="511" t="s">
        <v>782</v>
      </c>
      <c r="G301" s="84" t="s">
        <v>872</v>
      </c>
      <c r="H301">
        <v>300</v>
      </c>
      <c r="J301" t="b">
        <f t="shared" si="5"/>
        <v>1</v>
      </c>
    </row>
    <row r="302" spans="1:10">
      <c r="A302" s="511" t="s">
        <v>873</v>
      </c>
      <c r="B302" s="84" t="s">
        <v>874</v>
      </c>
      <c r="C302">
        <v>301</v>
      </c>
      <c r="D302">
        <v>339</v>
      </c>
      <c r="E302" s="394" t="s">
        <v>840</v>
      </c>
      <c r="F302" s="511" t="s">
        <v>875</v>
      </c>
      <c r="G302" s="84" t="s">
        <v>874</v>
      </c>
      <c r="H302">
        <v>301</v>
      </c>
      <c r="I302" t="s">
        <v>678</v>
      </c>
    </row>
    <row r="303" spans="1:10">
      <c r="A303" s="511" t="s">
        <v>876</v>
      </c>
      <c r="B303" s="84" t="s">
        <v>877</v>
      </c>
      <c r="C303">
        <v>302</v>
      </c>
      <c r="D303">
        <v>341</v>
      </c>
      <c r="E303" t="s">
        <v>840</v>
      </c>
      <c r="F303" s="511" t="s">
        <v>878</v>
      </c>
      <c r="G303" s="84" t="s">
        <v>877</v>
      </c>
      <c r="H303">
        <v>302</v>
      </c>
      <c r="I303" t="s">
        <v>678</v>
      </c>
    </row>
    <row r="304" spans="1:10">
      <c r="A304" s="511" t="s">
        <v>879</v>
      </c>
      <c r="B304" s="84" t="s">
        <v>880</v>
      </c>
      <c r="C304">
        <v>303</v>
      </c>
      <c r="D304">
        <v>342</v>
      </c>
      <c r="E304" t="s">
        <v>840</v>
      </c>
      <c r="F304" s="511" t="s">
        <v>881</v>
      </c>
      <c r="G304" s="84" t="s">
        <v>880</v>
      </c>
      <c r="H304">
        <v>303</v>
      </c>
      <c r="I304" t="s">
        <v>678</v>
      </c>
    </row>
    <row r="305" spans="1:11">
      <c r="A305" s="511" t="s">
        <v>882</v>
      </c>
      <c r="B305" s="84" t="s">
        <v>883</v>
      </c>
      <c r="C305">
        <v>304</v>
      </c>
      <c r="D305">
        <v>344</v>
      </c>
      <c r="E305" t="s">
        <v>840</v>
      </c>
      <c r="F305" s="511" t="s">
        <v>884</v>
      </c>
      <c r="G305" s="84" t="s">
        <v>883</v>
      </c>
      <c r="H305">
        <v>304</v>
      </c>
      <c r="I305" t="s">
        <v>678</v>
      </c>
    </row>
    <row r="306" spans="1:11">
      <c r="A306" s="511" t="s">
        <v>885</v>
      </c>
      <c r="B306" s="84" t="s">
        <v>886</v>
      </c>
      <c r="C306">
        <v>305</v>
      </c>
      <c r="D306">
        <v>345</v>
      </c>
      <c r="F306" s="511" t="s">
        <v>887</v>
      </c>
      <c r="G306" s="84" t="s">
        <v>886</v>
      </c>
      <c r="H306">
        <v>305</v>
      </c>
      <c r="I306" t="s">
        <v>678</v>
      </c>
    </row>
    <row r="307" spans="1:11">
      <c r="A307" s="511" t="s">
        <v>888</v>
      </c>
      <c r="B307" s="84" t="s">
        <v>889</v>
      </c>
      <c r="C307">
        <v>306</v>
      </c>
      <c r="D307">
        <v>346</v>
      </c>
      <c r="F307" s="511" t="s">
        <v>815</v>
      </c>
      <c r="G307" s="84" t="s">
        <v>889</v>
      </c>
      <c r="H307">
        <v>306</v>
      </c>
      <c r="J307" t="b">
        <f>A275=F307</f>
        <v>1</v>
      </c>
    </row>
    <row r="308" spans="1:11">
      <c r="A308" s="511" t="s">
        <v>890</v>
      </c>
      <c r="B308" s="84" t="s">
        <v>891</v>
      </c>
      <c r="C308">
        <v>307</v>
      </c>
      <c r="D308">
        <v>347</v>
      </c>
      <c r="F308" s="511" t="s">
        <v>818</v>
      </c>
      <c r="G308" s="84" t="s">
        <v>891</v>
      </c>
      <c r="H308">
        <v>307</v>
      </c>
      <c r="J308" t="b">
        <f t="shared" ref="J308:J318" si="6">A276=F308</f>
        <v>1</v>
      </c>
    </row>
    <row r="309" spans="1:11">
      <c r="A309" s="511" t="s">
        <v>892</v>
      </c>
      <c r="B309" s="84" t="s">
        <v>893</v>
      </c>
      <c r="C309">
        <v>308</v>
      </c>
      <c r="D309">
        <v>348</v>
      </c>
      <c r="F309" s="511" t="s">
        <v>821</v>
      </c>
      <c r="G309" s="84" t="s">
        <v>893</v>
      </c>
      <c r="H309">
        <v>308</v>
      </c>
      <c r="J309" t="b">
        <f t="shared" si="6"/>
        <v>1</v>
      </c>
    </row>
    <row r="310" spans="1:11">
      <c r="A310" s="511" t="s">
        <v>894</v>
      </c>
      <c r="B310" s="84" t="s">
        <v>895</v>
      </c>
      <c r="C310">
        <v>309</v>
      </c>
      <c r="D310">
        <v>349</v>
      </c>
      <c r="F310" s="511" t="s">
        <v>128</v>
      </c>
      <c r="G310" s="84" t="s">
        <v>895</v>
      </c>
      <c r="H310">
        <v>309</v>
      </c>
      <c r="J310" t="b">
        <f t="shared" si="6"/>
        <v>1</v>
      </c>
    </row>
    <row r="311" spans="1:11">
      <c r="A311" s="511" t="s">
        <v>896</v>
      </c>
      <c r="B311" s="84" t="s">
        <v>897</v>
      </c>
      <c r="C311">
        <v>310</v>
      </c>
      <c r="D311">
        <v>350</v>
      </c>
      <c r="F311" s="511" t="s">
        <v>826</v>
      </c>
      <c r="G311" s="84" t="s">
        <v>897</v>
      </c>
      <c r="H311">
        <v>310</v>
      </c>
      <c r="J311" t="b">
        <f t="shared" si="6"/>
        <v>1</v>
      </c>
      <c r="K311" s="394" t="s">
        <v>898</v>
      </c>
    </row>
    <row r="312" spans="1:11">
      <c r="A312" s="511" t="s">
        <v>899</v>
      </c>
      <c r="B312" s="84" t="s">
        <v>900</v>
      </c>
      <c r="C312">
        <v>311</v>
      </c>
      <c r="D312">
        <v>351</v>
      </c>
      <c r="F312" s="511" t="s">
        <v>828</v>
      </c>
      <c r="G312" s="84" t="s">
        <v>900</v>
      </c>
      <c r="H312">
        <v>311</v>
      </c>
      <c r="J312" t="b">
        <f t="shared" si="6"/>
        <v>1</v>
      </c>
    </row>
    <row r="313" spans="1:11">
      <c r="A313" s="511" t="s">
        <v>901</v>
      </c>
      <c r="B313" s="84" t="s">
        <v>902</v>
      </c>
      <c r="C313">
        <v>312</v>
      </c>
      <c r="D313">
        <v>352</v>
      </c>
      <c r="F313" s="511" t="s">
        <v>830</v>
      </c>
      <c r="G313" s="84" t="s">
        <v>902</v>
      </c>
      <c r="H313">
        <v>312</v>
      </c>
      <c r="J313" t="b">
        <f t="shared" si="6"/>
        <v>1</v>
      </c>
    </row>
    <row r="314" spans="1:11">
      <c r="A314" s="511" t="s">
        <v>903</v>
      </c>
      <c r="B314" s="84" t="s">
        <v>904</v>
      </c>
      <c r="C314">
        <v>313</v>
      </c>
      <c r="D314">
        <v>353</v>
      </c>
      <c r="F314" s="511" t="s">
        <v>832</v>
      </c>
      <c r="G314" s="84" t="s">
        <v>904</v>
      </c>
      <c r="H314">
        <v>313</v>
      </c>
      <c r="J314" t="b">
        <f t="shared" si="6"/>
        <v>1</v>
      </c>
    </row>
    <row r="315" spans="1:11">
      <c r="A315" s="511" t="s">
        <v>905</v>
      </c>
      <c r="B315" s="84" t="s">
        <v>906</v>
      </c>
      <c r="C315">
        <v>314</v>
      </c>
      <c r="D315">
        <v>354</v>
      </c>
      <c r="E315" t="s">
        <v>840</v>
      </c>
      <c r="F315" s="511" t="s">
        <v>834</v>
      </c>
      <c r="G315" s="84" t="s">
        <v>906</v>
      </c>
      <c r="H315">
        <v>314</v>
      </c>
      <c r="J315" t="b">
        <f t="shared" si="6"/>
        <v>1</v>
      </c>
    </row>
    <row r="316" spans="1:11">
      <c r="A316" s="511" t="s">
        <v>907</v>
      </c>
      <c r="B316" s="84" t="s">
        <v>908</v>
      </c>
      <c r="C316">
        <v>315</v>
      </c>
      <c r="D316">
        <v>355</v>
      </c>
      <c r="E316" t="s">
        <v>840</v>
      </c>
      <c r="F316" s="511" t="s">
        <v>836</v>
      </c>
      <c r="G316" s="84" t="s">
        <v>908</v>
      </c>
      <c r="H316">
        <v>315</v>
      </c>
      <c r="J316" t="b">
        <f t="shared" si="6"/>
        <v>1</v>
      </c>
    </row>
    <row r="317" spans="1:11">
      <c r="A317" s="511" t="s">
        <v>909</v>
      </c>
      <c r="B317" s="84" t="s">
        <v>910</v>
      </c>
      <c r="C317">
        <v>316</v>
      </c>
      <c r="D317">
        <v>358</v>
      </c>
      <c r="E317" s="394" t="s">
        <v>840</v>
      </c>
      <c r="F317" s="511" t="s">
        <v>911</v>
      </c>
      <c r="G317" s="84" t="s">
        <v>910</v>
      </c>
      <c r="H317">
        <v>316</v>
      </c>
      <c r="I317" t="s">
        <v>840</v>
      </c>
      <c r="J317" t="b">
        <f t="shared" si="6"/>
        <v>0</v>
      </c>
    </row>
    <row r="318" spans="1:11">
      <c r="A318" s="511" t="s">
        <v>912</v>
      </c>
      <c r="B318" s="84" t="s">
        <v>913</v>
      </c>
      <c r="C318">
        <v>317</v>
      </c>
      <c r="D318">
        <v>360</v>
      </c>
      <c r="E318" t="s">
        <v>840</v>
      </c>
      <c r="F318" s="511" t="s">
        <v>914</v>
      </c>
      <c r="G318" s="84" t="s">
        <v>913</v>
      </c>
      <c r="H318">
        <v>317</v>
      </c>
      <c r="I318" t="s">
        <v>840</v>
      </c>
      <c r="J318" t="b">
        <f t="shared" si="6"/>
        <v>0</v>
      </c>
    </row>
    <row r="319" spans="1:11">
      <c r="A319" s="511" t="s">
        <v>915</v>
      </c>
      <c r="B319" s="84" t="s">
        <v>916</v>
      </c>
      <c r="C319">
        <v>318</v>
      </c>
      <c r="D319">
        <v>361</v>
      </c>
      <c r="E319" t="s">
        <v>840</v>
      </c>
      <c r="F319" s="511" t="s">
        <v>917</v>
      </c>
      <c r="G319" s="84" t="s">
        <v>916</v>
      </c>
      <c r="H319">
        <v>318</v>
      </c>
      <c r="I319" t="s">
        <v>370</v>
      </c>
    </row>
    <row r="320" spans="1:11">
      <c r="A320" s="511" t="s">
        <v>918</v>
      </c>
      <c r="B320" s="84" t="s">
        <v>919</v>
      </c>
      <c r="C320">
        <v>319</v>
      </c>
      <c r="D320">
        <v>363</v>
      </c>
      <c r="E320" t="s">
        <v>840</v>
      </c>
      <c r="F320" s="511" t="s">
        <v>920</v>
      </c>
      <c r="G320" s="84" t="s">
        <v>919</v>
      </c>
      <c r="H320">
        <v>319</v>
      </c>
      <c r="I320" t="s">
        <v>370</v>
      </c>
    </row>
    <row r="321" spans="1:11">
      <c r="A321" s="511" t="s">
        <v>921</v>
      </c>
      <c r="B321" s="84" t="s">
        <v>922</v>
      </c>
      <c r="C321">
        <v>320</v>
      </c>
      <c r="D321">
        <v>364</v>
      </c>
      <c r="F321" s="511" t="s">
        <v>923</v>
      </c>
      <c r="G321" s="84" t="s">
        <v>922</v>
      </c>
      <c r="H321">
        <v>320</v>
      </c>
      <c r="I321" t="s">
        <v>840</v>
      </c>
    </row>
    <row r="322" spans="1:11">
      <c r="A322" s="511" t="s">
        <v>924</v>
      </c>
      <c r="B322" s="84" t="s">
        <v>925</v>
      </c>
      <c r="C322">
        <v>321</v>
      </c>
      <c r="D322">
        <v>365</v>
      </c>
      <c r="F322" s="511" t="s">
        <v>926</v>
      </c>
      <c r="G322" s="84" t="s">
        <v>925</v>
      </c>
      <c r="H322">
        <v>321</v>
      </c>
      <c r="I322" t="s">
        <v>370</v>
      </c>
    </row>
    <row r="323" spans="1:11">
      <c r="A323" s="511" t="s">
        <v>927</v>
      </c>
      <c r="B323" s="84" t="s">
        <v>928</v>
      </c>
      <c r="C323">
        <v>322</v>
      </c>
      <c r="D323">
        <v>366</v>
      </c>
      <c r="F323" s="511" t="s">
        <v>929</v>
      </c>
      <c r="G323" s="84" t="s">
        <v>928</v>
      </c>
      <c r="H323">
        <v>322</v>
      </c>
      <c r="I323" t="s">
        <v>840</v>
      </c>
    </row>
    <row r="324" spans="1:11">
      <c r="A324" s="511" t="s">
        <v>930</v>
      </c>
      <c r="B324" s="84" t="s">
        <v>931</v>
      </c>
      <c r="C324">
        <v>323</v>
      </c>
      <c r="D324">
        <v>367</v>
      </c>
      <c r="F324" s="511" t="s">
        <v>932</v>
      </c>
      <c r="G324" s="84" t="s">
        <v>931</v>
      </c>
      <c r="H324">
        <v>323</v>
      </c>
      <c r="I324" t="s">
        <v>840</v>
      </c>
    </row>
    <row r="325" spans="1:11">
      <c r="A325" s="511" t="s">
        <v>933</v>
      </c>
      <c r="B325" s="84" t="s">
        <v>934</v>
      </c>
      <c r="C325">
        <v>324</v>
      </c>
      <c r="D325">
        <v>368</v>
      </c>
      <c r="F325" s="511" t="s">
        <v>935</v>
      </c>
      <c r="G325" s="84" t="s">
        <v>934</v>
      </c>
      <c r="H325">
        <v>324</v>
      </c>
      <c r="I325" t="s">
        <v>370</v>
      </c>
    </row>
    <row r="326" spans="1:11">
      <c r="A326" s="511" t="s">
        <v>936</v>
      </c>
      <c r="B326" s="84" t="s">
        <v>937</v>
      </c>
      <c r="C326">
        <v>325</v>
      </c>
      <c r="D326">
        <v>369</v>
      </c>
      <c r="F326" s="511" t="s">
        <v>938</v>
      </c>
      <c r="G326" s="84" t="s">
        <v>937</v>
      </c>
      <c r="H326">
        <v>325</v>
      </c>
      <c r="I326" t="s">
        <v>840</v>
      </c>
    </row>
    <row r="327" spans="1:11">
      <c r="A327" s="511" t="s">
        <v>939</v>
      </c>
      <c r="B327" s="84" t="s">
        <v>940</v>
      </c>
      <c r="C327">
        <v>326</v>
      </c>
      <c r="D327">
        <v>370</v>
      </c>
      <c r="F327" s="511" t="s">
        <v>941</v>
      </c>
      <c r="G327" s="84" t="s">
        <v>940</v>
      </c>
      <c r="H327">
        <v>326</v>
      </c>
      <c r="J327" t="b">
        <f>A291=F327</f>
        <v>0</v>
      </c>
    </row>
    <row r="328" spans="1:11">
      <c r="A328" s="511" t="s">
        <v>942</v>
      </c>
      <c r="B328" s="84" t="s">
        <v>943</v>
      </c>
      <c r="C328">
        <v>327</v>
      </c>
      <c r="D328">
        <v>371</v>
      </c>
      <c r="F328" s="511" t="s">
        <v>853</v>
      </c>
      <c r="G328" s="84" t="s">
        <v>943</v>
      </c>
      <c r="H328">
        <v>327</v>
      </c>
      <c r="J328" t="b">
        <f t="shared" ref="J328:J345" si="7">A292=F328</f>
        <v>1</v>
      </c>
    </row>
    <row r="329" spans="1:11">
      <c r="A329" s="511" t="s">
        <v>944</v>
      </c>
      <c r="B329" s="84" t="s">
        <v>945</v>
      </c>
      <c r="C329">
        <v>328</v>
      </c>
      <c r="D329">
        <v>372</v>
      </c>
      <c r="F329" s="511" t="s">
        <v>855</v>
      </c>
      <c r="G329" s="84" t="s">
        <v>945</v>
      </c>
      <c r="H329">
        <v>328</v>
      </c>
      <c r="J329" t="b">
        <f t="shared" si="7"/>
        <v>1</v>
      </c>
      <c r="K329" s="394" t="s">
        <v>898</v>
      </c>
    </row>
    <row r="330" spans="1:11">
      <c r="A330" s="511" t="s">
        <v>946</v>
      </c>
      <c r="B330" s="84" t="s">
        <v>947</v>
      </c>
      <c r="C330">
        <v>329</v>
      </c>
      <c r="D330">
        <v>373</v>
      </c>
      <c r="E330" t="s">
        <v>840</v>
      </c>
      <c r="F330" s="511" t="s">
        <v>857</v>
      </c>
      <c r="G330" s="84" t="s">
        <v>947</v>
      </c>
      <c r="H330">
        <v>329</v>
      </c>
      <c r="J330" t="b">
        <f t="shared" si="7"/>
        <v>1</v>
      </c>
    </row>
    <row r="331" spans="1:11">
      <c r="A331" s="511" t="s">
        <v>948</v>
      </c>
      <c r="B331" s="84" t="s">
        <v>949</v>
      </c>
      <c r="C331">
        <v>330</v>
      </c>
      <c r="D331">
        <v>374</v>
      </c>
      <c r="E331" t="s">
        <v>840</v>
      </c>
      <c r="F331" s="511" t="s">
        <v>859</v>
      </c>
      <c r="G331" s="84" t="s">
        <v>949</v>
      </c>
      <c r="H331">
        <v>330</v>
      </c>
      <c r="J331" t="b">
        <f t="shared" si="7"/>
        <v>1</v>
      </c>
    </row>
    <row r="332" spans="1:11">
      <c r="A332" s="511" t="s">
        <v>950</v>
      </c>
      <c r="B332" s="84" t="s">
        <v>951</v>
      </c>
      <c r="C332">
        <v>331</v>
      </c>
      <c r="D332">
        <v>377</v>
      </c>
      <c r="E332" s="394" t="s">
        <v>840</v>
      </c>
      <c r="F332" s="511" t="s">
        <v>861</v>
      </c>
      <c r="G332" s="84" t="s">
        <v>951</v>
      </c>
      <c r="H332">
        <v>331</v>
      </c>
      <c r="J332" t="b">
        <f t="shared" si="7"/>
        <v>1</v>
      </c>
    </row>
    <row r="333" spans="1:11">
      <c r="A333" s="511" t="s">
        <v>952</v>
      </c>
      <c r="B333" s="84" t="s">
        <v>953</v>
      </c>
      <c r="C333">
        <v>332</v>
      </c>
      <c r="D333">
        <v>379</v>
      </c>
      <c r="E333" t="s">
        <v>840</v>
      </c>
      <c r="F333" s="511" t="s">
        <v>863</v>
      </c>
      <c r="G333" s="84" t="s">
        <v>953</v>
      </c>
      <c r="H333">
        <v>332</v>
      </c>
      <c r="J333" t="b">
        <f t="shared" si="7"/>
        <v>1</v>
      </c>
    </row>
    <row r="334" spans="1:11">
      <c r="A334" s="511" t="s">
        <v>954</v>
      </c>
      <c r="B334" s="84" t="s">
        <v>955</v>
      </c>
      <c r="C334">
        <v>333</v>
      </c>
      <c r="D334">
        <v>380</v>
      </c>
      <c r="E334" t="s">
        <v>840</v>
      </c>
      <c r="F334" s="511" t="s">
        <v>865</v>
      </c>
      <c r="G334" s="84" t="s">
        <v>955</v>
      </c>
      <c r="H334">
        <v>333</v>
      </c>
      <c r="J334" t="b">
        <f t="shared" si="7"/>
        <v>1</v>
      </c>
    </row>
    <row r="335" spans="1:11">
      <c r="A335" s="511" t="s">
        <v>956</v>
      </c>
      <c r="B335" s="84" t="s">
        <v>957</v>
      </c>
      <c r="C335">
        <v>334</v>
      </c>
      <c r="D335">
        <v>382</v>
      </c>
      <c r="E335" t="s">
        <v>840</v>
      </c>
      <c r="F335" s="511" t="s">
        <v>867</v>
      </c>
      <c r="G335" s="84" t="s">
        <v>957</v>
      </c>
      <c r="H335">
        <v>334</v>
      </c>
      <c r="J335" t="b">
        <f t="shared" si="7"/>
        <v>1</v>
      </c>
    </row>
    <row r="336" spans="1:11">
      <c r="A336" s="511" t="s">
        <v>958</v>
      </c>
      <c r="B336" s="84" t="s">
        <v>959</v>
      </c>
      <c r="C336">
        <v>335</v>
      </c>
      <c r="D336">
        <v>383</v>
      </c>
      <c r="F336" s="511" t="s">
        <v>960</v>
      </c>
      <c r="G336" s="84" t="s">
        <v>959</v>
      </c>
      <c r="H336">
        <v>335</v>
      </c>
      <c r="I336" t="s">
        <v>840</v>
      </c>
      <c r="J336" t="b">
        <f t="shared" si="7"/>
        <v>0</v>
      </c>
    </row>
    <row r="337" spans="1:10">
      <c r="A337" s="511" t="s">
        <v>961</v>
      </c>
      <c r="B337" s="84" t="s">
        <v>962</v>
      </c>
      <c r="C337">
        <v>336</v>
      </c>
      <c r="D337">
        <v>384</v>
      </c>
      <c r="F337" s="511" t="s">
        <v>963</v>
      </c>
      <c r="G337" s="84" t="s">
        <v>962</v>
      </c>
      <c r="H337">
        <v>336</v>
      </c>
      <c r="I337" t="s">
        <v>840</v>
      </c>
      <c r="J337" t="b">
        <f t="shared" si="7"/>
        <v>0</v>
      </c>
    </row>
    <row r="338" spans="1:10">
      <c r="A338" s="511" t="s">
        <v>964</v>
      </c>
      <c r="B338" s="84" t="s">
        <v>965</v>
      </c>
      <c r="C338">
        <v>337</v>
      </c>
      <c r="D338">
        <v>385</v>
      </c>
      <c r="F338" s="511" t="s">
        <v>966</v>
      </c>
      <c r="G338" s="84" t="s">
        <v>965</v>
      </c>
      <c r="H338">
        <v>337</v>
      </c>
      <c r="I338" t="s">
        <v>370</v>
      </c>
      <c r="J338" t="b">
        <f t="shared" si="7"/>
        <v>0</v>
      </c>
    </row>
    <row r="339" spans="1:10">
      <c r="A339" s="511" t="s">
        <v>967</v>
      </c>
      <c r="B339" s="84" t="s">
        <v>968</v>
      </c>
      <c r="C339">
        <v>338</v>
      </c>
      <c r="D339">
        <v>386</v>
      </c>
      <c r="F339" s="511" t="s">
        <v>969</v>
      </c>
      <c r="G339" s="84" t="s">
        <v>968</v>
      </c>
      <c r="H339">
        <v>338</v>
      </c>
      <c r="I339" t="s">
        <v>370</v>
      </c>
      <c r="J339" t="b">
        <f t="shared" si="7"/>
        <v>0</v>
      </c>
    </row>
    <row r="340" spans="1:10">
      <c r="A340" s="511" t="s">
        <v>970</v>
      </c>
      <c r="B340" s="84" t="s">
        <v>971</v>
      </c>
      <c r="C340">
        <v>339</v>
      </c>
      <c r="D340">
        <v>387</v>
      </c>
      <c r="F340" s="511" t="s">
        <v>972</v>
      </c>
      <c r="G340" s="84" t="s">
        <v>971</v>
      </c>
      <c r="H340">
        <v>339</v>
      </c>
      <c r="I340" t="s">
        <v>840</v>
      </c>
      <c r="J340" t="b">
        <f t="shared" si="7"/>
        <v>0</v>
      </c>
    </row>
    <row r="341" spans="1:10">
      <c r="A341" s="511" t="s">
        <v>973</v>
      </c>
      <c r="B341" s="84" t="s">
        <v>974</v>
      </c>
      <c r="C341">
        <v>340</v>
      </c>
      <c r="D341">
        <v>388</v>
      </c>
      <c r="F341" s="511" t="s">
        <v>975</v>
      </c>
      <c r="G341" s="84" t="s">
        <v>974</v>
      </c>
      <c r="H341">
        <v>340</v>
      </c>
      <c r="I341" t="s">
        <v>370</v>
      </c>
      <c r="J341" t="b">
        <f t="shared" si="7"/>
        <v>0</v>
      </c>
    </row>
    <row r="342" spans="1:10">
      <c r="A342" s="511" t="s">
        <v>976</v>
      </c>
      <c r="B342" s="84" t="s">
        <v>977</v>
      </c>
      <c r="C342">
        <v>341</v>
      </c>
      <c r="D342">
        <v>389</v>
      </c>
      <c r="F342" s="511" t="s">
        <v>978</v>
      </c>
      <c r="G342" s="84" t="s">
        <v>977</v>
      </c>
      <c r="H342">
        <v>341</v>
      </c>
      <c r="I342" t="s">
        <v>840</v>
      </c>
      <c r="J342" t="b">
        <f t="shared" si="7"/>
        <v>0</v>
      </c>
    </row>
    <row r="343" spans="1:10">
      <c r="A343" s="511" t="s">
        <v>979</v>
      </c>
      <c r="B343" s="84" t="s">
        <v>980</v>
      </c>
      <c r="C343">
        <v>342</v>
      </c>
      <c r="D343">
        <v>390</v>
      </c>
      <c r="F343" s="511" t="s">
        <v>981</v>
      </c>
      <c r="G343" s="84" t="s">
        <v>980</v>
      </c>
      <c r="H343">
        <v>342</v>
      </c>
      <c r="I343" t="s">
        <v>840</v>
      </c>
      <c r="J343" t="b">
        <f t="shared" si="7"/>
        <v>0</v>
      </c>
    </row>
    <row r="344" spans="1:10">
      <c r="A344" s="511" t="s">
        <v>982</v>
      </c>
      <c r="B344" s="84" t="s">
        <v>983</v>
      </c>
      <c r="C344">
        <v>343</v>
      </c>
      <c r="D344">
        <v>391</v>
      </c>
      <c r="F344" s="511" t="s">
        <v>984</v>
      </c>
      <c r="G344" s="84" t="s">
        <v>983</v>
      </c>
      <c r="H344">
        <v>343</v>
      </c>
      <c r="I344" t="s">
        <v>370</v>
      </c>
      <c r="J344" t="b">
        <f t="shared" si="7"/>
        <v>0</v>
      </c>
    </row>
    <row r="345" spans="1:10">
      <c r="A345" s="511" t="s">
        <v>985</v>
      </c>
      <c r="B345" s="84" t="s">
        <v>986</v>
      </c>
      <c r="C345">
        <v>344</v>
      </c>
      <c r="D345">
        <v>392</v>
      </c>
      <c r="E345" t="s">
        <v>840</v>
      </c>
      <c r="F345" s="511" t="s">
        <v>987</v>
      </c>
      <c r="G345" s="84" t="s">
        <v>986</v>
      </c>
      <c r="H345">
        <v>344</v>
      </c>
      <c r="I345" t="s">
        <v>840</v>
      </c>
      <c r="J345" t="b">
        <f t="shared" si="7"/>
        <v>0</v>
      </c>
    </row>
    <row r="346" spans="1:10">
      <c r="A346" s="511" t="s">
        <v>988</v>
      </c>
      <c r="B346" s="84" t="s">
        <v>989</v>
      </c>
      <c r="C346">
        <v>345</v>
      </c>
      <c r="D346">
        <v>393</v>
      </c>
      <c r="E346" t="s">
        <v>840</v>
      </c>
      <c r="F346" s="511" t="s">
        <v>990</v>
      </c>
      <c r="G346" s="84" t="s">
        <v>989</v>
      </c>
      <c r="H346">
        <v>345</v>
      </c>
      <c r="J346" t="b">
        <f>A306=F346</f>
        <v>0</v>
      </c>
    </row>
    <row r="347" spans="1:10">
      <c r="A347" s="511" t="s">
        <v>991</v>
      </c>
      <c r="B347" s="84" t="s">
        <v>992</v>
      </c>
      <c r="C347">
        <v>346</v>
      </c>
      <c r="D347">
        <v>396</v>
      </c>
      <c r="E347" s="394" t="s">
        <v>840</v>
      </c>
      <c r="F347" s="511" t="s">
        <v>888</v>
      </c>
      <c r="G347" s="84" t="s">
        <v>992</v>
      </c>
      <c r="H347">
        <v>346</v>
      </c>
      <c r="J347" t="b">
        <f t="shared" ref="J347:J364" si="8">A307=F347</f>
        <v>1</v>
      </c>
    </row>
    <row r="348" spans="1:10">
      <c r="A348" s="511" t="s">
        <v>993</v>
      </c>
      <c r="B348" s="84" t="s">
        <v>994</v>
      </c>
      <c r="C348">
        <v>347</v>
      </c>
      <c r="D348">
        <v>398</v>
      </c>
      <c r="E348" t="s">
        <v>840</v>
      </c>
      <c r="F348" s="511" t="s">
        <v>890</v>
      </c>
      <c r="G348" s="84" t="s">
        <v>994</v>
      </c>
      <c r="H348">
        <v>347</v>
      </c>
      <c r="J348" t="b">
        <f t="shared" si="8"/>
        <v>1</v>
      </c>
    </row>
    <row r="349" spans="1:10">
      <c r="A349" s="511" t="s">
        <v>995</v>
      </c>
      <c r="B349" s="84" t="s">
        <v>996</v>
      </c>
      <c r="C349">
        <v>348</v>
      </c>
      <c r="D349">
        <v>399</v>
      </c>
      <c r="E349" t="s">
        <v>840</v>
      </c>
      <c r="F349" s="511" t="s">
        <v>892</v>
      </c>
      <c r="G349" s="84" t="s">
        <v>996</v>
      </c>
      <c r="H349">
        <v>348</v>
      </c>
      <c r="J349" t="b">
        <f t="shared" si="8"/>
        <v>1</v>
      </c>
    </row>
    <row r="350" spans="1:10">
      <c r="A350" s="511" t="s">
        <v>997</v>
      </c>
      <c r="B350" s="84" t="s">
        <v>998</v>
      </c>
      <c r="C350">
        <v>349</v>
      </c>
      <c r="D350">
        <v>401</v>
      </c>
      <c r="E350" t="s">
        <v>840</v>
      </c>
      <c r="F350" s="511" t="s">
        <v>894</v>
      </c>
      <c r="G350" s="84" t="s">
        <v>998</v>
      </c>
      <c r="H350">
        <v>349</v>
      </c>
      <c r="J350" t="b">
        <f t="shared" si="8"/>
        <v>1</v>
      </c>
    </row>
    <row r="351" spans="1:10">
      <c r="A351" s="511" t="s">
        <v>999</v>
      </c>
      <c r="B351" s="84" t="s">
        <v>1000</v>
      </c>
      <c r="C351">
        <v>350</v>
      </c>
      <c r="D351">
        <v>402</v>
      </c>
      <c r="F351" s="511" t="s">
        <v>896</v>
      </c>
      <c r="G351" s="84" t="s">
        <v>1000</v>
      </c>
      <c r="H351">
        <v>350</v>
      </c>
      <c r="J351" t="b">
        <f t="shared" si="8"/>
        <v>1</v>
      </c>
    </row>
    <row r="352" spans="1:10">
      <c r="A352" s="511" t="s">
        <v>1001</v>
      </c>
      <c r="B352" s="84" t="s">
        <v>1002</v>
      </c>
      <c r="C352">
        <v>351</v>
      </c>
      <c r="D352">
        <v>403</v>
      </c>
      <c r="F352" s="511" t="s">
        <v>899</v>
      </c>
      <c r="G352" s="84" t="s">
        <v>1002</v>
      </c>
      <c r="H352">
        <v>351</v>
      </c>
      <c r="J352" t="b">
        <f t="shared" si="8"/>
        <v>1</v>
      </c>
    </row>
    <row r="353" spans="1:10">
      <c r="A353" s="511" t="s">
        <v>1003</v>
      </c>
      <c r="B353" s="84" t="s">
        <v>1004</v>
      </c>
      <c r="C353">
        <v>352</v>
      </c>
      <c r="D353">
        <v>404</v>
      </c>
      <c r="F353" s="511" t="s">
        <v>901</v>
      </c>
      <c r="G353" s="84" t="s">
        <v>1004</v>
      </c>
      <c r="H353">
        <v>352</v>
      </c>
      <c r="J353" t="b">
        <f t="shared" si="8"/>
        <v>1</v>
      </c>
    </row>
    <row r="354" spans="1:10">
      <c r="A354" s="511" t="s">
        <v>1005</v>
      </c>
      <c r="B354" s="84" t="s">
        <v>1006</v>
      </c>
      <c r="C354">
        <v>353</v>
      </c>
      <c r="D354">
        <v>405</v>
      </c>
      <c r="F354" s="511" t="s">
        <v>903</v>
      </c>
      <c r="G354" s="84" t="s">
        <v>1006</v>
      </c>
      <c r="H354">
        <v>353</v>
      </c>
      <c r="J354" t="b">
        <f t="shared" si="8"/>
        <v>1</v>
      </c>
    </row>
    <row r="355" spans="1:10">
      <c r="A355" s="511" t="s">
        <v>1007</v>
      </c>
      <c r="B355" s="84" t="s">
        <v>1008</v>
      </c>
      <c r="C355">
        <v>354</v>
      </c>
      <c r="D355">
        <v>406</v>
      </c>
      <c r="F355" s="511" t="s">
        <v>1009</v>
      </c>
      <c r="G355" s="84" t="s">
        <v>1008</v>
      </c>
      <c r="H355">
        <v>354</v>
      </c>
      <c r="I355" t="s">
        <v>840</v>
      </c>
      <c r="J355" t="b">
        <f t="shared" si="8"/>
        <v>0</v>
      </c>
    </row>
    <row r="356" spans="1:10">
      <c r="A356" s="511" t="s">
        <v>1010</v>
      </c>
      <c r="B356" s="84" t="s">
        <v>1011</v>
      </c>
      <c r="C356">
        <v>355</v>
      </c>
      <c r="D356">
        <v>407</v>
      </c>
      <c r="F356" s="511" t="s">
        <v>1012</v>
      </c>
      <c r="G356" s="84" t="s">
        <v>1011</v>
      </c>
      <c r="H356">
        <v>355</v>
      </c>
      <c r="I356" t="s">
        <v>840</v>
      </c>
      <c r="J356" t="b">
        <f t="shared" si="8"/>
        <v>0</v>
      </c>
    </row>
    <row r="357" spans="1:10">
      <c r="A357" s="511" t="s">
        <v>1013</v>
      </c>
      <c r="B357" s="84" t="s">
        <v>1014</v>
      </c>
      <c r="C357">
        <v>356</v>
      </c>
      <c r="D357">
        <v>408</v>
      </c>
      <c r="F357" s="511" t="s">
        <v>1015</v>
      </c>
      <c r="G357" s="84" t="s">
        <v>1014</v>
      </c>
      <c r="H357">
        <v>356</v>
      </c>
      <c r="I357" t="s">
        <v>370</v>
      </c>
      <c r="J357" t="b">
        <f t="shared" si="8"/>
        <v>0</v>
      </c>
    </row>
    <row r="358" spans="1:10">
      <c r="A358" s="511" t="s">
        <v>1016</v>
      </c>
      <c r="B358" s="84" t="s">
        <v>1017</v>
      </c>
      <c r="C358">
        <v>357</v>
      </c>
      <c r="D358">
        <v>409</v>
      </c>
      <c r="F358" s="511" t="s">
        <v>1018</v>
      </c>
      <c r="G358" s="84" t="s">
        <v>1017</v>
      </c>
      <c r="H358">
        <v>357</v>
      </c>
      <c r="I358" t="s">
        <v>370</v>
      </c>
      <c r="J358" t="b">
        <f t="shared" si="8"/>
        <v>0</v>
      </c>
    </row>
    <row r="359" spans="1:10">
      <c r="A359" s="511" t="s">
        <v>1019</v>
      </c>
      <c r="B359" s="84" t="s">
        <v>1020</v>
      </c>
      <c r="C359">
        <v>358</v>
      </c>
      <c r="D359">
        <v>410</v>
      </c>
      <c r="F359" s="511" t="s">
        <v>1021</v>
      </c>
      <c r="G359" s="84" t="s">
        <v>1020</v>
      </c>
      <c r="H359">
        <v>358</v>
      </c>
      <c r="I359" t="s">
        <v>840</v>
      </c>
      <c r="J359" t="b">
        <f t="shared" si="8"/>
        <v>0</v>
      </c>
    </row>
    <row r="360" spans="1:10">
      <c r="A360" s="511" t="s">
        <v>1022</v>
      </c>
      <c r="B360" s="84" t="s">
        <v>1023</v>
      </c>
      <c r="C360">
        <v>359</v>
      </c>
      <c r="D360">
        <v>411</v>
      </c>
      <c r="E360" t="s">
        <v>840</v>
      </c>
      <c r="F360" s="511" t="s">
        <v>1024</v>
      </c>
      <c r="G360" s="84" t="s">
        <v>1023</v>
      </c>
      <c r="H360">
        <v>359</v>
      </c>
      <c r="I360" t="s">
        <v>370</v>
      </c>
      <c r="J360" t="b">
        <f t="shared" si="8"/>
        <v>0</v>
      </c>
    </row>
    <row r="361" spans="1:10">
      <c r="A361" s="511" t="s">
        <v>1025</v>
      </c>
      <c r="B361" s="84" t="s">
        <v>1026</v>
      </c>
      <c r="C361">
        <v>360</v>
      </c>
      <c r="D361">
        <v>412</v>
      </c>
      <c r="E361" t="s">
        <v>840</v>
      </c>
      <c r="F361" s="511" t="s">
        <v>1027</v>
      </c>
      <c r="G361" s="84" t="s">
        <v>1026</v>
      </c>
      <c r="H361">
        <v>360</v>
      </c>
      <c r="I361" t="s">
        <v>840</v>
      </c>
      <c r="J361" t="b">
        <f t="shared" si="8"/>
        <v>0</v>
      </c>
    </row>
    <row r="362" spans="1:10">
      <c r="A362" s="511" t="s">
        <v>1028</v>
      </c>
      <c r="B362" s="84" t="s">
        <v>1029</v>
      </c>
      <c r="C362">
        <v>361</v>
      </c>
      <c r="D362">
        <v>415</v>
      </c>
      <c r="E362" s="394" t="s">
        <v>840</v>
      </c>
      <c r="F362" s="511" t="s">
        <v>1030</v>
      </c>
      <c r="G362" s="84" t="s">
        <v>1029</v>
      </c>
      <c r="H362">
        <v>361</v>
      </c>
      <c r="I362" t="s">
        <v>840</v>
      </c>
      <c r="J362" t="b">
        <f t="shared" si="8"/>
        <v>0</v>
      </c>
    </row>
    <row r="363" spans="1:10">
      <c r="A363" s="511" t="s">
        <v>1031</v>
      </c>
      <c r="B363" s="84" t="s">
        <v>1032</v>
      </c>
      <c r="C363">
        <v>362</v>
      </c>
      <c r="D363">
        <v>417</v>
      </c>
      <c r="E363" t="s">
        <v>840</v>
      </c>
      <c r="F363" s="511" t="s">
        <v>1033</v>
      </c>
      <c r="G363" s="84" t="s">
        <v>1032</v>
      </c>
      <c r="H363">
        <v>362</v>
      </c>
      <c r="I363" t="s">
        <v>370</v>
      </c>
      <c r="J363" t="b">
        <f t="shared" si="8"/>
        <v>0</v>
      </c>
    </row>
    <row r="364" spans="1:10">
      <c r="A364" s="511" t="s">
        <v>1034</v>
      </c>
      <c r="B364" s="84" t="s">
        <v>1035</v>
      </c>
      <c r="C364">
        <v>363</v>
      </c>
      <c r="D364">
        <v>418</v>
      </c>
      <c r="E364" t="s">
        <v>840</v>
      </c>
      <c r="F364" s="511" t="s">
        <v>1036</v>
      </c>
      <c r="G364" s="84" t="s">
        <v>1035</v>
      </c>
      <c r="H364">
        <v>363</v>
      </c>
      <c r="I364" t="s">
        <v>840</v>
      </c>
      <c r="J364" t="b">
        <f t="shared" si="8"/>
        <v>0</v>
      </c>
    </row>
    <row r="365" spans="1:10">
      <c r="A365" s="511" t="s">
        <v>1037</v>
      </c>
      <c r="B365" s="84" t="s">
        <v>1038</v>
      </c>
      <c r="C365">
        <v>364</v>
      </c>
      <c r="D365">
        <v>420</v>
      </c>
      <c r="E365" t="s">
        <v>840</v>
      </c>
      <c r="F365" s="511" t="s">
        <v>1039</v>
      </c>
      <c r="G365" s="84" t="s">
        <v>1038</v>
      </c>
      <c r="H365">
        <v>364</v>
      </c>
      <c r="J365" t="b">
        <f>A321=F365</f>
        <v>0</v>
      </c>
    </row>
    <row r="366" spans="1:10">
      <c r="A366" s="511" t="s">
        <v>1040</v>
      </c>
      <c r="B366" s="84" t="s">
        <v>1041</v>
      </c>
      <c r="C366">
        <v>365</v>
      </c>
      <c r="D366">
        <v>421</v>
      </c>
      <c r="F366" s="511" t="s">
        <v>924</v>
      </c>
      <c r="G366" s="84" t="s">
        <v>1041</v>
      </c>
      <c r="H366">
        <v>365</v>
      </c>
      <c r="J366" t="b">
        <f t="shared" ref="J366:J383" si="9">A322=F366</f>
        <v>1</v>
      </c>
    </row>
    <row r="367" spans="1:10">
      <c r="A367" s="511" t="s">
        <v>1042</v>
      </c>
      <c r="B367" s="84" t="s">
        <v>1043</v>
      </c>
      <c r="C367">
        <v>366</v>
      </c>
      <c r="D367">
        <v>422</v>
      </c>
      <c r="F367" s="511" t="s">
        <v>927</v>
      </c>
      <c r="G367" s="84" t="s">
        <v>1043</v>
      </c>
      <c r="H367">
        <v>366</v>
      </c>
      <c r="J367" t="b">
        <f t="shared" si="9"/>
        <v>1</v>
      </c>
    </row>
    <row r="368" spans="1:10">
      <c r="A368" s="511" t="s">
        <v>1044</v>
      </c>
      <c r="B368" s="84" t="s">
        <v>1045</v>
      </c>
      <c r="C368">
        <v>367</v>
      </c>
      <c r="D368">
        <v>423</v>
      </c>
      <c r="F368" s="511" t="s">
        <v>930</v>
      </c>
      <c r="G368" s="84" t="s">
        <v>1045</v>
      </c>
      <c r="H368">
        <v>367</v>
      </c>
      <c r="J368" t="b">
        <f t="shared" si="9"/>
        <v>1</v>
      </c>
    </row>
    <row r="369" spans="1:10">
      <c r="A369" s="511" t="s">
        <v>1046</v>
      </c>
      <c r="B369" s="84" t="s">
        <v>1047</v>
      </c>
      <c r="C369">
        <v>368</v>
      </c>
      <c r="D369">
        <v>424</v>
      </c>
      <c r="F369" s="511" t="s">
        <v>933</v>
      </c>
      <c r="G369" s="84" t="s">
        <v>1047</v>
      </c>
      <c r="H369">
        <v>368</v>
      </c>
      <c r="J369" t="b">
        <f t="shared" si="9"/>
        <v>1</v>
      </c>
    </row>
    <row r="370" spans="1:10">
      <c r="A370" s="511" t="s">
        <v>1048</v>
      </c>
      <c r="B370" s="84" t="s">
        <v>1049</v>
      </c>
      <c r="C370">
        <v>369</v>
      </c>
      <c r="D370">
        <v>425</v>
      </c>
      <c r="F370" s="511" t="s">
        <v>936</v>
      </c>
      <c r="G370" s="84" t="s">
        <v>1049</v>
      </c>
      <c r="H370">
        <v>369</v>
      </c>
      <c r="J370" t="b">
        <f t="shared" si="9"/>
        <v>1</v>
      </c>
    </row>
    <row r="371" spans="1:10">
      <c r="A371" s="511" t="s">
        <v>1050</v>
      </c>
      <c r="B371" s="84" t="s">
        <v>1051</v>
      </c>
      <c r="C371">
        <v>370</v>
      </c>
      <c r="D371">
        <v>426</v>
      </c>
      <c r="F371" s="511" t="s">
        <v>939</v>
      </c>
      <c r="G371" s="84" t="s">
        <v>1051</v>
      </c>
      <c r="H371">
        <v>370</v>
      </c>
      <c r="J371" t="b">
        <f t="shared" si="9"/>
        <v>1</v>
      </c>
    </row>
    <row r="372" spans="1:10">
      <c r="A372" s="511" t="s">
        <v>1052</v>
      </c>
      <c r="B372" s="84" t="s">
        <v>1053</v>
      </c>
      <c r="C372">
        <v>371</v>
      </c>
      <c r="D372">
        <v>427</v>
      </c>
      <c r="F372" s="511" t="s">
        <v>942</v>
      </c>
      <c r="G372" s="84" t="s">
        <v>1053</v>
      </c>
      <c r="H372">
        <v>371</v>
      </c>
      <c r="J372" t="b">
        <f t="shared" si="9"/>
        <v>1</v>
      </c>
    </row>
    <row r="373" spans="1:10">
      <c r="A373" s="511" t="s">
        <v>1054</v>
      </c>
      <c r="B373" s="84" t="s">
        <v>1055</v>
      </c>
      <c r="C373">
        <v>372</v>
      </c>
      <c r="D373">
        <v>428</v>
      </c>
      <c r="F373" s="511" t="s">
        <v>944</v>
      </c>
      <c r="G373" s="84" t="s">
        <v>1055</v>
      </c>
      <c r="H373">
        <v>372</v>
      </c>
      <c r="J373" t="b">
        <f t="shared" si="9"/>
        <v>1</v>
      </c>
    </row>
    <row r="374" spans="1:10">
      <c r="A374" s="511" t="s">
        <v>1056</v>
      </c>
      <c r="B374" s="84" t="s">
        <v>1057</v>
      </c>
      <c r="C374">
        <v>373</v>
      </c>
      <c r="D374">
        <v>429</v>
      </c>
      <c r="F374" s="511" t="s">
        <v>1058</v>
      </c>
      <c r="G374" s="84" t="s">
        <v>1057</v>
      </c>
      <c r="H374">
        <v>373</v>
      </c>
      <c r="I374" t="s">
        <v>840</v>
      </c>
      <c r="J374" t="b">
        <f t="shared" si="9"/>
        <v>0</v>
      </c>
    </row>
    <row r="375" spans="1:10">
      <c r="A375" s="511" t="s">
        <v>1059</v>
      </c>
      <c r="B375" s="84" t="s">
        <v>1060</v>
      </c>
      <c r="C375">
        <v>374</v>
      </c>
      <c r="D375">
        <v>430</v>
      </c>
      <c r="E375" t="s">
        <v>840</v>
      </c>
      <c r="F375" s="511" t="s">
        <v>1061</v>
      </c>
      <c r="G375" s="84" t="s">
        <v>1060</v>
      </c>
      <c r="H375">
        <v>374</v>
      </c>
      <c r="I375" t="s">
        <v>840</v>
      </c>
      <c r="J375" t="b">
        <f t="shared" si="9"/>
        <v>0</v>
      </c>
    </row>
    <row r="376" spans="1:10">
      <c r="A376" s="511" t="s">
        <v>1062</v>
      </c>
      <c r="B376" s="84" t="s">
        <v>1063</v>
      </c>
      <c r="C376">
        <v>375</v>
      </c>
      <c r="D376">
        <v>431</v>
      </c>
      <c r="E376" t="s">
        <v>840</v>
      </c>
      <c r="F376" s="511" t="s">
        <v>1064</v>
      </c>
      <c r="G376" s="84" t="s">
        <v>1063</v>
      </c>
      <c r="H376">
        <v>375</v>
      </c>
      <c r="I376" t="s">
        <v>370</v>
      </c>
      <c r="J376" t="b">
        <f t="shared" si="9"/>
        <v>0</v>
      </c>
    </row>
    <row r="377" spans="1:10">
      <c r="A377" s="511" t="s">
        <v>1065</v>
      </c>
      <c r="B377" s="84" t="s">
        <v>1066</v>
      </c>
      <c r="C377">
        <v>376</v>
      </c>
      <c r="D377">
        <v>434</v>
      </c>
      <c r="E377" s="394" t="s">
        <v>840</v>
      </c>
      <c r="F377" s="511" t="s">
        <v>1067</v>
      </c>
      <c r="G377" s="84" t="s">
        <v>1066</v>
      </c>
      <c r="H377">
        <v>376</v>
      </c>
      <c r="I377" t="s">
        <v>370</v>
      </c>
      <c r="J377" t="b">
        <f t="shared" si="9"/>
        <v>0</v>
      </c>
    </row>
    <row r="378" spans="1:10">
      <c r="A378" s="511" t="s">
        <v>1068</v>
      </c>
      <c r="B378" s="84" t="s">
        <v>1069</v>
      </c>
      <c r="C378">
        <v>377</v>
      </c>
      <c r="D378">
        <v>436</v>
      </c>
      <c r="E378" t="s">
        <v>840</v>
      </c>
      <c r="F378" s="511" t="s">
        <v>1070</v>
      </c>
      <c r="G378" s="84" t="s">
        <v>1069</v>
      </c>
      <c r="H378">
        <v>377</v>
      </c>
      <c r="I378" t="s">
        <v>840</v>
      </c>
      <c r="J378" t="b">
        <f t="shared" si="9"/>
        <v>0</v>
      </c>
    </row>
    <row r="379" spans="1:10">
      <c r="A379" s="511" t="s">
        <v>1071</v>
      </c>
      <c r="B379" s="84" t="s">
        <v>1072</v>
      </c>
      <c r="C379">
        <v>378</v>
      </c>
      <c r="D379">
        <v>437</v>
      </c>
      <c r="E379" t="s">
        <v>840</v>
      </c>
      <c r="F379" s="511" t="s">
        <v>1073</v>
      </c>
      <c r="G379" s="84" t="s">
        <v>1072</v>
      </c>
      <c r="H379">
        <v>378</v>
      </c>
      <c r="I379" t="s">
        <v>370</v>
      </c>
      <c r="J379" t="b">
        <f t="shared" si="9"/>
        <v>0</v>
      </c>
    </row>
    <row r="380" spans="1:10">
      <c r="A380" s="511" t="s">
        <v>1074</v>
      </c>
      <c r="B380" s="84" t="s">
        <v>1075</v>
      </c>
      <c r="C380">
        <v>379</v>
      </c>
      <c r="D380">
        <v>439</v>
      </c>
      <c r="E380" t="s">
        <v>840</v>
      </c>
      <c r="F380" s="511" t="s">
        <v>1076</v>
      </c>
      <c r="G380" s="84" t="s">
        <v>1075</v>
      </c>
      <c r="H380">
        <v>379</v>
      </c>
      <c r="I380" t="s">
        <v>840</v>
      </c>
      <c r="J380" t="b">
        <f t="shared" si="9"/>
        <v>0</v>
      </c>
    </row>
    <row r="381" spans="1:10">
      <c r="A381" s="511" t="s">
        <v>1077</v>
      </c>
      <c r="B381" s="84" t="s">
        <v>1078</v>
      </c>
      <c r="C381">
        <v>380</v>
      </c>
      <c r="D381">
        <v>440</v>
      </c>
      <c r="F381" s="511" t="s">
        <v>1079</v>
      </c>
      <c r="G381" s="84" t="s">
        <v>1078</v>
      </c>
      <c r="H381">
        <v>380</v>
      </c>
      <c r="I381" t="s">
        <v>840</v>
      </c>
      <c r="J381" t="b">
        <f t="shared" si="9"/>
        <v>0</v>
      </c>
    </row>
    <row r="382" spans="1:10">
      <c r="A382" s="511" t="s">
        <v>1080</v>
      </c>
      <c r="B382" s="84" t="s">
        <v>1081</v>
      </c>
      <c r="C382">
        <v>381</v>
      </c>
      <c r="D382">
        <v>441</v>
      </c>
      <c r="F382" s="511" t="s">
        <v>1082</v>
      </c>
      <c r="G382" s="84" t="s">
        <v>1081</v>
      </c>
      <c r="H382">
        <v>381</v>
      </c>
      <c r="I382" t="s">
        <v>370</v>
      </c>
      <c r="J382" t="b">
        <f t="shared" si="9"/>
        <v>0</v>
      </c>
    </row>
    <row r="383" spans="1:10">
      <c r="A383" s="511" t="s">
        <v>1083</v>
      </c>
      <c r="B383" s="84" t="s">
        <v>1084</v>
      </c>
      <c r="C383">
        <v>382</v>
      </c>
      <c r="D383">
        <v>442</v>
      </c>
      <c r="F383" s="511" t="s">
        <v>1085</v>
      </c>
      <c r="G383" s="84" t="s">
        <v>1084</v>
      </c>
      <c r="H383">
        <v>382</v>
      </c>
      <c r="I383" t="s">
        <v>840</v>
      </c>
      <c r="J383" t="b">
        <f t="shared" si="9"/>
        <v>0</v>
      </c>
    </row>
    <row r="384" spans="1:10">
      <c r="A384" s="511" t="s">
        <v>1086</v>
      </c>
      <c r="B384" s="84" t="s">
        <v>1087</v>
      </c>
      <c r="C384">
        <v>383</v>
      </c>
      <c r="D384">
        <v>443</v>
      </c>
      <c r="F384" s="511" t="s">
        <v>1088</v>
      </c>
      <c r="G384" s="84" t="s">
        <v>1087</v>
      </c>
      <c r="H384">
        <v>383</v>
      </c>
      <c r="J384" t="b">
        <f>A336=F384</f>
        <v>0</v>
      </c>
    </row>
    <row r="385" spans="1:10">
      <c r="A385" s="511" t="s">
        <v>1089</v>
      </c>
      <c r="B385" s="84" t="s">
        <v>1090</v>
      </c>
      <c r="C385">
        <v>384</v>
      </c>
      <c r="D385">
        <v>444</v>
      </c>
      <c r="F385" s="511" t="s">
        <v>961</v>
      </c>
      <c r="G385" s="84" t="s">
        <v>1090</v>
      </c>
      <c r="H385">
        <v>384</v>
      </c>
      <c r="J385" t="b">
        <f t="shared" ref="J385:J402" si="10">A337=F385</f>
        <v>1</v>
      </c>
    </row>
    <row r="386" spans="1:10">
      <c r="A386" s="511" t="s">
        <v>1091</v>
      </c>
      <c r="B386" s="84" t="s">
        <v>1092</v>
      </c>
      <c r="C386">
        <v>385</v>
      </c>
      <c r="D386">
        <v>445</v>
      </c>
      <c r="F386" s="511" t="s">
        <v>964</v>
      </c>
      <c r="G386" s="84" t="s">
        <v>1092</v>
      </c>
      <c r="H386">
        <v>385</v>
      </c>
      <c r="J386" t="b">
        <f t="shared" si="10"/>
        <v>1</v>
      </c>
    </row>
    <row r="387" spans="1:10">
      <c r="A387" s="511" t="s">
        <v>1093</v>
      </c>
      <c r="B387" s="84" t="s">
        <v>1094</v>
      </c>
      <c r="C387">
        <v>386</v>
      </c>
      <c r="D387">
        <v>446</v>
      </c>
      <c r="F387" s="511" t="s">
        <v>967</v>
      </c>
      <c r="G387" s="84" t="s">
        <v>1094</v>
      </c>
      <c r="H387">
        <v>386</v>
      </c>
      <c r="J387" t="b">
        <f t="shared" si="10"/>
        <v>1</v>
      </c>
    </row>
    <row r="388" spans="1:10">
      <c r="A388" s="511" t="s">
        <v>1095</v>
      </c>
      <c r="B388" s="84" t="s">
        <v>1096</v>
      </c>
      <c r="C388">
        <v>387</v>
      </c>
      <c r="D388">
        <v>447</v>
      </c>
      <c r="F388" s="511" t="s">
        <v>970</v>
      </c>
      <c r="G388" s="84" t="s">
        <v>1096</v>
      </c>
      <c r="H388">
        <v>387</v>
      </c>
      <c r="J388" t="b">
        <f t="shared" si="10"/>
        <v>1</v>
      </c>
    </row>
    <row r="389" spans="1:10">
      <c r="A389" s="511" t="s">
        <v>1097</v>
      </c>
      <c r="B389" s="84" t="s">
        <v>1098</v>
      </c>
      <c r="C389">
        <v>388</v>
      </c>
      <c r="D389">
        <v>448</v>
      </c>
      <c r="F389" s="511" t="s">
        <v>973</v>
      </c>
      <c r="G389" s="84" t="s">
        <v>1098</v>
      </c>
      <c r="H389">
        <v>388</v>
      </c>
      <c r="J389" t="b">
        <f t="shared" si="10"/>
        <v>1</v>
      </c>
    </row>
    <row r="390" spans="1:10">
      <c r="A390" s="511" t="s">
        <v>1099</v>
      </c>
      <c r="B390" s="84" t="s">
        <v>1100</v>
      </c>
      <c r="C390">
        <v>389</v>
      </c>
      <c r="D390">
        <v>449</v>
      </c>
      <c r="E390" t="s">
        <v>840</v>
      </c>
      <c r="F390" s="511" t="s">
        <v>976</v>
      </c>
      <c r="G390" s="84" t="s">
        <v>1100</v>
      </c>
      <c r="H390">
        <v>389</v>
      </c>
      <c r="J390" t="b">
        <f t="shared" si="10"/>
        <v>1</v>
      </c>
    </row>
    <row r="391" spans="1:10">
      <c r="A391" s="511" t="s">
        <v>1101</v>
      </c>
      <c r="B391" s="84" t="s">
        <v>1102</v>
      </c>
      <c r="C391">
        <v>390</v>
      </c>
      <c r="D391">
        <v>450</v>
      </c>
      <c r="E391" t="s">
        <v>840</v>
      </c>
      <c r="F391" s="511" t="s">
        <v>979</v>
      </c>
      <c r="G391" s="84" t="s">
        <v>1102</v>
      </c>
      <c r="H391">
        <v>390</v>
      </c>
      <c r="J391" t="b">
        <f t="shared" si="10"/>
        <v>1</v>
      </c>
    </row>
    <row r="392" spans="1:10">
      <c r="A392" s="511" t="s">
        <v>1103</v>
      </c>
      <c r="B392" s="84" t="s">
        <v>1104</v>
      </c>
      <c r="C392">
        <v>391</v>
      </c>
      <c r="D392">
        <v>453</v>
      </c>
      <c r="E392" t="s">
        <v>840</v>
      </c>
      <c r="F392" s="511" t="s">
        <v>982</v>
      </c>
      <c r="G392" s="84" t="s">
        <v>1104</v>
      </c>
      <c r="H392">
        <v>391</v>
      </c>
      <c r="J392" t="b">
        <f t="shared" si="10"/>
        <v>1</v>
      </c>
    </row>
    <row r="393" spans="1:10">
      <c r="A393" s="511" t="s">
        <v>1105</v>
      </c>
      <c r="B393" s="84" t="s">
        <v>1106</v>
      </c>
      <c r="C393">
        <v>392</v>
      </c>
      <c r="D393">
        <v>455</v>
      </c>
      <c r="E393" t="s">
        <v>840</v>
      </c>
      <c r="F393" s="511" t="s">
        <v>1107</v>
      </c>
      <c r="G393" s="84" t="s">
        <v>1106</v>
      </c>
      <c r="H393">
        <v>392</v>
      </c>
      <c r="I393" t="s">
        <v>840</v>
      </c>
      <c r="J393" t="b">
        <f t="shared" si="10"/>
        <v>0</v>
      </c>
    </row>
    <row r="394" spans="1:10">
      <c r="A394" s="511" t="s">
        <v>1108</v>
      </c>
      <c r="B394" s="84" t="s">
        <v>1109</v>
      </c>
      <c r="C394">
        <v>393</v>
      </c>
      <c r="D394">
        <v>456</v>
      </c>
      <c r="E394" t="s">
        <v>840</v>
      </c>
      <c r="F394" s="511" t="s">
        <v>1110</v>
      </c>
      <c r="G394" s="84" t="s">
        <v>1109</v>
      </c>
      <c r="H394">
        <v>393</v>
      </c>
      <c r="I394" t="s">
        <v>840</v>
      </c>
      <c r="J394" t="b">
        <f t="shared" si="10"/>
        <v>0</v>
      </c>
    </row>
    <row r="395" spans="1:10">
      <c r="A395" s="511" t="s">
        <v>1111</v>
      </c>
      <c r="B395" s="84" t="s">
        <v>1112</v>
      </c>
      <c r="C395">
        <v>394</v>
      </c>
      <c r="D395">
        <v>458</v>
      </c>
      <c r="E395" t="s">
        <v>840</v>
      </c>
      <c r="F395" s="511" t="s">
        <v>1113</v>
      </c>
      <c r="G395" s="84" t="s">
        <v>1112</v>
      </c>
      <c r="H395">
        <v>394</v>
      </c>
      <c r="I395" t="s">
        <v>370</v>
      </c>
      <c r="J395" t="b">
        <f t="shared" si="10"/>
        <v>0</v>
      </c>
    </row>
    <row r="396" spans="1:10">
      <c r="A396" s="511" t="s">
        <v>1114</v>
      </c>
      <c r="B396" s="84" t="s">
        <v>1115</v>
      </c>
      <c r="C396">
        <v>395</v>
      </c>
      <c r="D396">
        <v>459</v>
      </c>
      <c r="F396" s="511" t="s">
        <v>1116</v>
      </c>
      <c r="G396" s="84" t="s">
        <v>1115</v>
      </c>
      <c r="H396">
        <v>395</v>
      </c>
      <c r="I396" t="s">
        <v>370</v>
      </c>
      <c r="J396" t="b">
        <f t="shared" si="10"/>
        <v>0</v>
      </c>
    </row>
    <row r="397" spans="1:10">
      <c r="A397" s="511" t="s">
        <v>1117</v>
      </c>
      <c r="B397" s="84" t="s">
        <v>1118</v>
      </c>
      <c r="C397">
        <v>396</v>
      </c>
      <c r="D397">
        <v>460</v>
      </c>
      <c r="F397" s="511" t="s">
        <v>1119</v>
      </c>
      <c r="G397" s="84" t="s">
        <v>1118</v>
      </c>
      <c r="H397">
        <v>396</v>
      </c>
      <c r="I397" t="s">
        <v>840</v>
      </c>
      <c r="J397" t="b">
        <f t="shared" si="10"/>
        <v>0</v>
      </c>
    </row>
    <row r="398" spans="1:10">
      <c r="A398" s="511" t="s">
        <v>1120</v>
      </c>
      <c r="B398" s="84" t="s">
        <v>1121</v>
      </c>
      <c r="C398">
        <v>397</v>
      </c>
      <c r="D398">
        <v>461</v>
      </c>
      <c r="F398" s="511" t="s">
        <v>1122</v>
      </c>
      <c r="G398" s="84" t="s">
        <v>1121</v>
      </c>
      <c r="H398">
        <v>397</v>
      </c>
      <c r="I398" t="s">
        <v>370</v>
      </c>
      <c r="J398" t="b">
        <f t="shared" si="10"/>
        <v>0</v>
      </c>
    </row>
    <row r="399" spans="1:10">
      <c r="A399" s="511" t="s">
        <v>1123</v>
      </c>
      <c r="B399" s="84" t="s">
        <v>1124</v>
      </c>
      <c r="C399">
        <v>398</v>
      </c>
      <c r="D399">
        <v>462</v>
      </c>
      <c r="F399" s="511" t="s">
        <v>1125</v>
      </c>
      <c r="G399" s="84" t="s">
        <v>1124</v>
      </c>
      <c r="H399">
        <v>398</v>
      </c>
      <c r="I399" t="s">
        <v>840</v>
      </c>
      <c r="J399" t="b">
        <f t="shared" si="10"/>
        <v>0</v>
      </c>
    </row>
    <row r="400" spans="1:10">
      <c r="A400" s="511" t="s">
        <v>1126</v>
      </c>
      <c r="B400" s="84" t="s">
        <v>1127</v>
      </c>
      <c r="C400">
        <v>399</v>
      </c>
      <c r="D400">
        <v>463</v>
      </c>
      <c r="F400" s="511" t="s">
        <v>1128</v>
      </c>
      <c r="G400" s="84" t="s">
        <v>1127</v>
      </c>
      <c r="H400">
        <v>399</v>
      </c>
      <c r="I400" t="s">
        <v>840</v>
      </c>
      <c r="J400" t="b">
        <f t="shared" si="10"/>
        <v>0</v>
      </c>
    </row>
    <row r="401" spans="1:10">
      <c r="A401" s="511" t="s">
        <v>1129</v>
      </c>
      <c r="B401" s="84" t="s">
        <v>1130</v>
      </c>
      <c r="C401">
        <v>400</v>
      </c>
      <c r="D401">
        <v>464</v>
      </c>
      <c r="F401" s="511" t="s">
        <v>1131</v>
      </c>
      <c r="G401" s="84" t="s">
        <v>1130</v>
      </c>
      <c r="H401">
        <v>400</v>
      </c>
      <c r="I401" t="s">
        <v>370</v>
      </c>
      <c r="J401" t="b">
        <f t="shared" si="10"/>
        <v>0</v>
      </c>
    </row>
    <row r="402" spans="1:10">
      <c r="A402" s="511" t="s">
        <v>1132</v>
      </c>
      <c r="B402" s="84" t="s">
        <v>1133</v>
      </c>
      <c r="C402">
        <v>401</v>
      </c>
      <c r="D402">
        <v>465</v>
      </c>
      <c r="F402" s="511" t="s">
        <v>1134</v>
      </c>
      <c r="G402" s="84" t="s">
        <v>1133</v>
      </c>
      <c r="H402">
        <v>401</v>
      </c>
      <c r="I402" t="s">
        <v>840</v>
      </c>
      <c r="J402" t="b">
        <f t="shared" si="10"/>
        <v>0</v>
      </c>
    </row>
    <row r="403" spans="1:10">
      <c r="A403" s="511" t="s">
        <v>1135</v>
      </c>
      <c r="B403" s="84" t="s">
        <v>1136</v>
      </c>
      <c r="C403">
        <v>402</v>
      </c>
      <c r="D403">
        <v>466</v>
      </c>
      <c r="F403" s="511" t="s">
        <v>1137</v>
      </c>
      <c r="G403" s="84" t="s">
        <v>1136</v>
      </c>
      <c r="H403">
        <v>402</v>
      </c>
      <c r="J403" t="b">
        <f>A351=F403</f>
        <v>0</v>
      </c>
    </row>
    <row r="404" spans="1:10">
      <c r="A404" s="511" t="s">
        <v>1138</v>
      </c>
      <c r="B404" s="84" t="s">
        <v>1139</v>
      </c>
      <c r="C404">
        <v>403</v>
      </c>
      <c r="D404">
        <v>467</v>
      </c>
      <c r="F404" s="511" t="s">
        <v>1001</v>
      </c>
      <c r="G404" s="84" t="s">
        <v>1139</v>
      </c>
      <c r="H404">
        <v>403</v>
      </c>
      <c r="J404" t="b">
        <f t="shared" ref="J404:J421" si="11">A352=F404</f>
        <v>1</v>
      </c>
    </row>
    <row r="405" spans="1:10">
      <c r="A405" s="511" t="s">
        <v>1140</v>
      </c>
      <c r="B405" s="84" t="s">
        <v>1141</v>
      </c>
      <c r="C405">
        <v>404</v>
      </c>
      <c r="D405">
        <v>468</v>
      </c>
      <c r="E405" t="s">
        <v>840</v>
      </c>
      <c r="F405" s="511" t="s">
        <v>1003</v>
      </c>
      <c r="G405" s="84" t="s">
        <v>1141</v>
      </c>
      <c r="H405">
        <v>404</v>
      </c>
      <c r="J405" t="b">
        <f t="shared" si="11"/>
        <v>1</v>
      </c>
    </row>
    <row r="406" spans="1:10">
      <c r="A406" s="511" t="s">
        <v>1142</v>
      </c>
      <c r="B406" s="84" t="s">
        <v>1143</v>
      </c>
      <c r="C406">
        <v>405</v>
      </c>
      <c r="D406">
        <v>469</v>
      </c>
      <c r="E406" t="s">
        <v>840</v>
      </c>
      <c r="F406" s="511" t="s">
        <v>1005</v>
      </c>
      <c r="G406" s="84" t="s">
        <v>1143</v>
      </c>
      <c r="H406">
        <v>405</v>
      </c>
      <c r="J406" t="b">
        <f t="shared" si="11"/>
        <v>1</v>
      </c>
    </row>
    <row r="407" spans="1:10">
      <c r="A407" s="511" t="s">
        <v>1144</v>
      </c>
      <c r="B407" s="84" t="s">
        <v>1145</v>
      </c>
      <c r="C407">
        <v>406</v>
      </c>
      <c r="D407">
        <v>472</v>
      </c>
      <c r="E407" t="s">
        <v>840</v>
      </c>
      <c r="F407" s="511" t="s">
        <v>1007</v>
      </c>
      <c r="G407" s="84" t="s">
        <v>1145</v>
      </c>
      <c r="H407">
        <v>406</v>
      </c>
      <c r="J407" t="b">
        <f t="shared" si="11"/>
        <v>1</v>
      </c>
    </row>
    <row r="408" spans="1:10">
      <c r="A408" s="511" t="s">
        <v>1146</v>
      </c>
      <c r="B408" s="84" t="s">
        <v>1147</v>
      </c>
      <c r="C408">
        <v>407</v>
      </c>
      <c r="D408">
        <v>474</v>
      </c>
      <c r="E408" t="s">
        <v>840</v>
      </c>
      <c r="F408" s="511" t="s">
        <v>1010</v>
      </c>
      <c r="G408" s="84" t="s">
        <v>1147</v>
      </c>
      <c r="H408">
        <v>407</v>
      </c>
      <c r="J408" t="b">
        <f t="shared" si="11"/>
        <v>1</v>
      </c>
    </row>
    <row r="409" spans="1:10">
      <c r="A409" s="511" t="s">
        <v>1148</v>
      </c>
      <c r="B409" s="84" t="s">
        <v>1149</v>
      </c>
      <c r="C409">
        <v>408</v>
      </c>
      <c r="D409">
        <v>475</v>
      </c>
      <c r="E409" t="s">
        <v>840</v>
      </c>
      <c r="F409" s="511" t="s">
        <v>1013</v>
      </c>
      <c r="G409" s="84" t="s">
        <v>1149</v>
      </c>
      <c r="H409">
        <v>408</v>
      </c>
      <c r="J409" t="b">
        <f t="shared" si="11"/>
        <v>1</v>
      </c>
    </row>
    <row r="410" spans="1:10">
      <c r="A410" s="511" t="s">
        <v>1150</v>
      </c>
      <c r="B410" s="84" t="s">
        <v>1151</v>
      </c>
      <c r="C410">
        <v>409</v>
      </c>
      <c r="D410">
        <v>477</v>
      </c>
      <c r="E410" t="s">
        <v>840</v>
      </c>
      <c r="F410" s="511" t="s">
        <v>1016</v>
      </c>
      <c r="G410" s="84" t="s">
        <v>1151</v>
      </c>
      <c r="H410">
        <v>409</v>
      </c>
      <c r="J410" t="b">
        <f t="shared" si="11"/>
        <v>1</v>
      </c>
    </row>
    <row r="411" spans="1:10">
      <c r="A411" s="511" t="s">
        <v>1152</v>
      </c>
      <c r="B411" s="84" t="s">
        <v>1153</v>
      </c>
      <c r="C411">
        <v>410</v>
      </c>
      <c r="D411">
        <v>478</v>
      </c>
      <c r="F411" s="511" t="s">
        <v>1019</v>
      </c>
      <c r="G411" s="84" t="s">
        <v>1153</v>
      </c>
      <c r="H411">
        <v>410</v>
      </c>
      <c r="J411" t="b">
        <f t="shared" si="11"/>
        <v>1</v>
      </c>
    </row>
    <row r="412" spans="1:10">
      <c r="A412" s="511" t="s">
        <v>1154</v>
      </c>
      <c r="B412" s="84" t="s">
        <v>1155</v>
      </c>
      <c r="C412">
        <v>411</v>
      </c>
      <c r="D412">
        <v>479</v>
      </c>
      <c r="F412" s="511" t="s">
        <v>1156</v>
      </c>
      <c r="G412" s="84" t="s">
        <v>1155</v>
      </c>
      <c r="H412">
        <v>411</v>
      </c>
      <c r="I412" t="s">
        <v>840</v>
      </c>
      <c r="J412" t="b">
        <f t="shared" si="11"/>
        <v>0</v>
      </c>
    </row>
    <row r="413" spans="1:10">
      <c r="A413" s="511" t="s">
        <v>1157</v>
      </c>
      <c r="B413" s="84" t="s">
        <v>1158</v>
      </c>
      <c r="C413">
        <v>412</v>
      </c>
      <c r="D413">
        <v>480</v>
      </c>
      <c r="F413" s="511" t="s">
        <v>1159</v>
      </c>
      <c r="G413" s="84" t="s">
        <v>1158</v>
      </c>
      <c r="H413">
        <v>412</v>
      </c>
      <c r="I413" t="s">
        <v>840</v>
      </c>
      <c r="J413" t="b">
        <f t="shared" si="11"/>
        <v>0</v>
      </c>
    </row>
    <row r="414" spans="1:10">
      <c r="A414" s="511" t="s">
        <v>1160</v>
      </c>
      <c r="B414" s="84" t="s">
        <v>1161</v>
      </c>
      <c r="C414">
        <v>413</v>
      </c>
      <c r="D414">
        <v>481</v>
      </c>
      <c r="F414" s="511" t="s">
        <v>1162</v>
      </c>
      <c r="G414" s="84" t="s">
        <v>1161</v>
      </c>
      <c r="H414">
        <v>413</v>
      </c>
      <c r="I414" t="s">
        <v>370</v>
      </c>
      <c r="J414" t="b">
        <f t="shared" si="11"/>
        <v>0</v>
      </c>
    </row>
    <row r="415" spans="1:10">
      <c r="A415" s="511" t="s">
        <v>1163</v>
      </c>
      <c r="B415" s="84" t="s">
        <v>1164</v>
      </c>
      <c r="C415">
        <v>414</v>
      </c>
      <c r="D415">
        <v>482</v>
      </c>
      <c r="F415" s="511" t="s">
        <v>1165</v>
      </c>
      <c r="G415" s="84" t="s">
        <v>1164</v>
      </c>
      <c r="H415">
        <v>414</v>
      </c>
      <c r="I415" t="s">
        <v>370</v>
      </c>
      <c r="J415" t="b">
        <f t="shared" si="11"/>
        <v>0</v>
      </c>
    </row>
    <row r="416" spans="1:10">
      <c r="A416" s="511" t="s">
        <v>1166</v>
      </c>
      <c r="B416" s="84" t="s">
        <v>1167</v>
      </c>
      <c r="C416">
        <v>415</v>
      </c>
      <c r="D416">
        <v>483</v>
      </c>
      <c r="F416" s="511" t="s">
        <v>1168</v>
      </c>
      <c r="G416" s="84" t="s">
        <v>1167</v>
      </c>
      <c r="H416">
        <v>415</v>
      </c>
      <c r="I416" t="s">
        <v>840</v>
      </c>
      <c r="J416" t="b">
        <f t="shared" si="11"/>
        <v>0</v>
      </c>
    </row>
    <row r="417" spans="1:10">
      <c r="A417" s="511" t="s">
        <v>1169</v>
      </c>
      <c r="B417" s="84" t="s">
        <v>1170</v>
      </c>
      <c r="C417">
        <v>416</v>
      </c>
      <c r="D417">
        <v>484</v>
      </c>
      <c r="F417" s="511" t="s">
        <v>1171</v>
      </c>
      <c r="G417" s="84" t="s">
        <v>1170</v>
      </c>
      <c r="H417">
        <v>416</v>
      </c>
      <c r="I417" t="s">
        <v>370</v>
      </c>
      <c r="J417" t="b">
        <f t="shared" si="11"/>
        <v>0</v>
      </c>
    </row>
    <row r="418" spans="1:10">
      <c r="A418" s="511" t="s">
        <v>1172</v>
      </c>
      <c r="B418" s="84" t="s">
        <v>1173</v>
      </c>
      <c r="C418">
        <v>417</v>
      </c>
      <c r="D418">
        <v>485</v>
      </c>
      <c r="F418" s="511" t="s">
        <v>1174</v>
      </c>
      <c r="G418" s="84" t="s">
        <v>1173</v>
      </c>
      <c r="H418">
        <v>417</v>
      </c>
      <c r="I418" t="s">
        <v>840</v>
      </c>
      <c r="J418" t="b">
        <f t="shared" si="11"/>
        <v>0</v>
      </c>
    </row>
    <row r="419" spans="1:10">
      <c r="A419" s="511" t="s">
        <v>1175</v>
      </c>
      <c r="B419" s="84" t="s">
        <v>1176</v>
      </c>
      <c r="C419">
        <v>418</v>
      </c>
      <c r="D419">
        <v>486</v>
      </c>
      <c r="F419" s="511" t="s">
        <v>1177</v>
      </c>
      <c r="G419" s="84" t="s">
        <v>1176</v>
      </c>
      <c r="H419">
        <v>418</v>
      </c>
      <c r="I419" t="s">
        <v>840</v>
      </c>
      <c r="J419" t="b">
        <f t="shared" si="11"/>
        <v>0</v>
      </c>
    </row>
    <row r="420" spans="1:10">
      <c r="A420" s="511" t="s">
        <v>1178</v>
      </c>
      <c r="B420" s="84" t="s">
        <v>1179</v>
      </c>
      <c r="C420">
        <v>419</v>
      </c>
      <c r="D420">
        <v>487</v>
      </c>
      <c r="E420" t="s">
        <v>840</v>
      </c>
      <c r="F420" s="511" t="s">
        <v>1180</v>
      </c>
      <c r="G420" s="84" t="s">
        <v>1179</v>
      </c>
      <c r="H420">
        <v>419</v>
      </c>
      <c r="I420" t="s">
        <v>370</v>
      </c>
      <c r="J420" t="b">
        <f t="shared" si="11"/>
        <v>0</v>
      </c>
    </row>
    <row r="421" spans="1:10">
      <c r="A421" s="511" t="s">
        <v>1181</v>
      </c>
      <c r="B421" s="84" t="s">
        <v>1182</v>
      </c>
      <c r="C421">
        <v>420</v>
      </c>
      <c r="D421">
        <v>488</v>
      </c>
      <c r="E421" t="s">
        <v>840</v>
      </c>
      <c r="F421" s="511" t="s">
        <v>1183</v>
      </c>
      <c r="G421" s="84" t="s">
        <v>1182</v>
      </c>
      <c r="H421">
        <v>420</v>
      </c>
      <c r="I421" t="s">
        <v>840</v>
      </c>
      <c r="J421" t="b">
        <f t="shared" si="11"/>
        <v>0</v>
      </c>
    </row>
    <row r="422" spans="1:10">
      <c r="A422" s="511" t="s">
        <v>1184</v>
      </c>
      <c r="B422" s="84" t="s">
        <v>1185</v>
      </c>
      <c r="C422">
        <v>421</v>
      </c>
      <c r="D422">
        <v>491</v>
      </c>
      <c r="E422" t="s">
        <v>840</v>
      </c>
      <c r="F422" s="511" t="s">
        <v>1186</v>
      </c>
      <c r="G422" s="84" t="s">
        <v>1185</v>
      </c>
      <c r="H422">
        <v>421</v>
      </c>
      <c r="J422" t="b">
        <f>A366=F422</f>
        <v>0</v>
      </c>
    </row>
    <row r="423" spans="1:10">
      <c r="A423" s="511" t="s">
        <v>1187</v>
      </c>
      <c r="B423" s="84" t="s">
        <v>1188</v>
      </c>
      <c r="C423">
        <v>422</v>
      </c>
      <c r="D423">
        <v>493</v>
      </c>
      <c r="E423" t="s">
        <v>840</v>
      </c>
      <c r="F423" s="511" t="s">
        <v>1042</v>
      </c>
      <c r="G423" s="84" t="s">
        <v>1188</v>
      </c>
      <c r="H423">
        <v>422</v>
      </c>
      <c r="J423" t="b">
        <f t="shared" ref="J423:J440" si="12">A367=F423</f>
        <v>1</v>
      </c>
    </row>
    <row r="424" spans="1:10">
      <c r="A424" s="511" t="s">
        <v>1189</v>
      </c>
      <c r="B424" s="84" t="s">
        <v>1190</v>
      </c>
      <c r="C424">
        <v>423</v>
      </c>
      <c r="D424">
        <v>494</v>
      </c>
      <c r="E424" t="s">
        <v>840</v>
      </c>
      <c r="F424" s="511" t="s">
        <v>1044</v>
      </c>
      <c r="G424" s="84" t="s">
        <v>1190</v>
      </c>
      <c r="H424">
        <v>423</v>
      </c>
      <c r="J424" t="b">
        <f t="shared" si="12"/>
        <v>1</v>
      </c>
    </row>
    <row r="425" spans="1:10">
      <c r="A425" s="511" t="s">
        <v>1191</v>
      </c>
      <c r="B425" s="84" t="s">
        <v>1192</v>
      </c>
      <c r="C425">
        <v>424</v>
      </c>
      <c r="D425">
        <v>496</v>
      </c>
      <c r="E425" t="s">
        <v>840</v>
      </c>
      <c r="F425" s="511" t="s">
        <v>1046</v>
      </c>
      <c r="G425" s="84" t="s">
        <v>1192</v>
      </c>
      <c r="H425">
        <v>424</v>
      </c>
      <c r="J425" t="b">
        <f t="shared" si="12"/>
        <v>1</v>
      </c>
    </row>
    <row r="426" spans="1:10">
      <c r="A426" s="511" t="s">
        <v>1193</v>
      </c>
      <c r="B426" s="84" t="s">
        <v>1194</v>
      </c>
      <c r="C426">
        <v>425</v>
      </c>
      <c r="D426">
        <v>497</v>
      </c>
      <c r="F426" s="511" t="s">
        <v>1048</v>
      </c>
      <c r="G426" s="84" t="s">
        <v>1194</v>
      </c>
      <c r="H426">
        <v>425</v>
      </c>
      <c r="J426" t="b">
        <f t="shared" si="12"/>
        <v>1</v>
      </c>
    </row>
    <row r="427" spans="1:10">
      <c r="A427" s="511" t="s">
        <v>1195</v>
      </c>
      <c r="B427" s="84" t="s">
        <v>1196</v>
      </c>
      <c r="C427">
        <v>426</v>
      </c>
      <c r="D427">
        <v>498</v>
      </c>
      <c r="F427" s="511" t="s">
        <v>1050</v>
      </c>
      <c r="G427" s="84" t="s">
        <v>1196</v>
      </c>
      <c r="H427">
        <v>426</v>
      </c>
      <c r="J427" t="b">
        <f t="shared" si="12"/>
        <v>1</v>
      </c>
    </row>
    <row r="428" spans="1:10">
      <c r="A428" s="511" t="s">
        <v>1197</v>
      </c>
      <c r="B428" s="84" t="s">
        <v>1198</v>
      </c>
      <c r="C428">
        <v>427</v>
      </c>
      <c r="D428">
        <v>499</v>
      </c>
      <c r="F428" s="511" t="s">
        <v>1052</v>
      </c>
      <c r="G428" s="84" t="s">
        <v>1198</v>
      </c>
      <c r="H428">
        <v>427</v>
      </c>
      <c r="J428" t="b">
        <f t="shared" si="12"/>
        <v>1</v>
      </c>
    </row>
    <row r="429" spans="1:10">
      <c r="A429" s="511" t="s">
        <v>1199</v>
      </c>
      <c r="B429" s="84" t="s">
        <v>1200</v>
      </c>
      <c r="C429">
        <v>428</v>
      </c>
      <c r="D429">
        <v>500</v>
      </c>
      <c r="F429" s="511" t="s">
        <v>1054</v>
      </c>
      <c r="G429" s="84" t="s">
        <v>1200</v>
      </c>
      <c r="H429">
        <v>428</v>
      </c>
      <c r="J429" t="b">
        <f t="shared" si="12"/>
        <v>1</v>
      </c>
    </row>
    <row r="430" spans="1:10">
      <c r="A430" s="511" t="s">
        <v>1201</v>
      </c>
      <c r="B430" s="84" t="s">
        <v>1202</v>
      </c>
      <c r="C430">
        <v>429</v>
      </c>
      <c r="D430">
        <v>501</v>
      </c>
      <c r="F430" s="511" t="s">
        <v>1056</v>
      </c>
      <c r="G430" s="84" t="s">
        <v>1202</v>
      </c>
      <c r="H430">
        <v>429</v>
      </c>
      <c r="J430" t="b">
        <f t="shared" si="12"/>
        <v>1</v>
      </c>
    </row>
    <row r="431" spans="1:10">
      <c r="A431" s="511" t="s">
        <v>1203</v>
      </c>
      <c r="B431" s="84" t="s">
        <v>1204</v>
      </c>
      <c r="C431">
        <v>430</v>
      </c>
      <c r="D431">
        <v>502</v>
      </c>
      <c r="F431" s="511" t="s">
        <v>1205</v>
      </c>
      <c r="G431" s="84" t="s">
        <v>1204</v>
      </c>
      <c r="H431">
        <v>430</v>
      </c>
      <c r="I431" t="s">
        <v>840</v>
      </c>
      <c r="J431" t="b">
        <f t="shared" si="12"/>
        <v>0</v>
      </c>
    </row>
    <row r="432" spans="1:10">
      <c r="A432" s="511" t="s">
        <v>1206</v>
      </c>
      <c r="B432" s="84" t="s">
        <v>1207</v>
      </c>
      <c r="C432">
        <v>431</v>
      </c>
      <c r="D432">
        <v>503</v>
      </c>
      <c r="F432" s="511" t="s">
        <v>1208</v>
      </c>
      <c r="G432" s="84" t="s">
        <v>1207</v>
      </c>
      <c r="H432">
        <v>431</v>
      </c>
      <c r="I432" t="s">
        <v>840</v>
      </c>
      <c r="J432" t="b">
        <f t="shared" si="12"/>
        <v>0</v>
      </c>
    </row>
    <row r="433" spans="1:10">
      <c r="A433" s="511" t="s">
        <v>1209</v>
      </c>
      <c r="B433" s="84" t="s">
        <v>1210</v>
      </c>
      <c r="C433">
        <v>432</v>
      </c>
      <c r="D433">
        <v>504</v>
      </c>
      <c r="F433" s="511" t="s">
        <v>1211</v>
      </c>
      <c r="G433" s="84" t="s">
        <v>1210</v>
      </c>
      <c r="H433">
        <v>432</v>
      </c>
      <c r="I433" t="s">
        <v>370</v>
      </c>
      <c r="J433" t="b">
        <f t="shared" si="12"/>
        <v>0</v>
      </c>
    </row>
    <row r="434" spans="1:10">
      <c r="A434" s="511" t="s">
        <v>1212</v>
      </c>
      <c r="B434" s="84" t="s">
        <v>1213</v>
      </c>
      <c r="C434">
        <v>433</v>
      </c>
      <c r="D434">
        <v>505</v>
      </c>
      <c r="F434" s="511" t="s">
        <v>1214</v>
      </c>
      <c r="G434" s="84" t="s">
        <v>1213</v>
      </c>
      <c r="H434">
        <v>433</v>
      </c>
      <c r="I434" t="s">
        <v>370</v>
      </c>
      <c r="J434" t="b">
        <f t="shared" si="12"/>
        <v>0</v>
      </c>
    </row>
    <row r="435" spans="1:10">
      <c r="A435" s="511" t="s">
        <v>1215</v>
      </c>
      <c r="B435" s="84" t="s">
        <v>1216</v>
      </c>
      <c r="C435">
        <v>434</v>
      </c>
      <c r="D435">
        <v>506</v>
      </c>
      <c r="E435" t="s">
        <v>840</v>
      </c>
      <c r="F435" s="511" t="s">
        <v>1217</v>
      </c>
      <c r="G435" s="84" t="s">
        <v>1216</v>
      </c>
      <c r="H435">
        <v>434</v>
      </c>
      <c r="I435" t="s">
        <v>840</v>
      </c>
      <c r="J435" t="b">
        <f t="shared" si="12"/>
        <v>0</v>
      </c>
    </row>
    <row r="436" spans="1:10">
      <c r="A436" s="511" t="s">
        <v>1218</v>
      </c>
      <c r="B436" s="84" t="s">
        <v>1219</v>
      </c>
      <c r="C436">
        <v>435</v>
      </c>
      <c r="D436">
        <v>507</v>
      </c>
      <c r="E436" t="s">
        <v>840</v>
      </c>
      <c r="F436" s="511" t="s">
        <v>1220</v>
      </c>
      <c r="G436" s="84" t="s">
        <v>1219</v>
      </c>
      <c r="H436">
        <v>435</v>
      </c>
      <c r="I436" t="s">
        <v>370</v>
      </c>
      <c r="J436" t="b">
        <f t="shared" si="12"/>
        <v>0</v>
      </c>
    </row>
    <row r="437" spans="1:10">
      <c r="A437" s="511" t="s">
        <v>1221</v>
      </c>
      <c r="B437" s="84" t="s">
        <v>1222</v>
      </c>
      <c r="C437">
        <v>436</v>
      </c>
      <c r="D437">
        <v>510</v>
      </c>
      <c r="E437" t="s">
        <v>840</v>
      </c>
      <c r="F437" s="511" t="s">
        <v>1223</v>
      </c>
      <c r="G437" s="84" t="s">
        <v>1222</v>
      </c>
      <c r="H437">
        <v>436</v>
      </c>
      <c r="I437" t="s">
        <v>840</v>
      </c>
      <c r="J437" t="b">
        <f t="shared" si="12"/>
        <v>0</v>
      </c>
    </row>
    <row r="438" spans="1:10">
      <c r="A438" s="511" t="s">
        <v>1224</v>
      </c>
      <c r="B438" s="84" t="s">
        <v>1225</v>
      </c>
      <c r="C438">
        <v>437</v>
      </c>
      <c r="D438">
        <v>512</v>
      </c>
      <c r="E438" t="s">
        <v>840</v>
      </c>
      <c r="F438" s="511" t="s">
        <v>1226</v>
      </c>
      <c r="G438" s="84" t="s">
        <v>1225</v>
      </c>
      <c r="H438">
        <v>437</v>
      </c>
      <c r="I438" t="s">
        <v>840</v>
      </c>
      <c r="J438" t="b">
        <f t="shared" si="12"/>
        <v>0</v>
      </c>
    </row>
    <row r="439" spans="1:10">
      <c r="A439" s="511" t="s">
        <v>1227</v>
      </c>
      <c r="B439" s="84" t="s">
        <v>1228</v>
      </c>
      <c r="C439">
        <v>438</v>
      </c>
      <c r="D439">
        <v>513</v>
      </c>
      <c r="E439" t="s">
        <v>840</v>
      </c>
      <c r="F439" s="511" t="s">
        <v>1229</v>
      </c>
      <c r="G439" s="84" t="s">
        <v>1228</v>
      </c>
      <c r="H439">
        <v>438</v>
      </c>
      <c r="I439" t="s">
        <v>370</v>
      </c>
      <c r="J439" t="b">
        <f t="shared" si="12"/>
        <v>0</v>
      </c>
    </row>
    <row r="440" spans="1:10">
      <c r="A440" s="511" t="s">
        <v>1230</v>
      </c>
      <c r="B440" s="84" t="s">
        <v>1231</v>
      </c>
      <c r="C440">
        <v>439</v>
      </c>
      <c r="D440">
        <v>515</v>
      </c>
      <c r="E440" t="s">
        <v>840</v>
      </c>
      <c r="F440" s="511" t="s">
        <v>1232</v>
      </c>
      <c r="G440" s="84" t="s">
        <v>1231</v>
      </c>
      <c r="H440">
        <v>439</v>
      </c>
      <c r="I440" t="s">
        <v>840</v>
      </c>
      <c r="J440" t="b">
        <f t="shared" si="12"/>
        <v>0</v>
      </c>
    </row>
    <row r="441" spans="1:10">
      <c r="A441" s="511" t="s">
        <v>1233</v>
      </c>
      <c r="B441" s="84" t="s">
        <v>1234</v>
      </c>
      <c r="C441">
        <v>440</v>
      </c>
      <c r="D441">
        <v>516</v>
      </c>
      <c r="F441" s="511" t="s">
        <v>1235</v>
      </c>
      <c r="G441" s="84" t="s">
        <v>1234</v>
      </c>
      <c r="H441">
        <v>440</v>
      </c>
      <c r="J441" t="b">
        <f>A381=F441</f>
        <v>0</v>
      </c>
    </row>
    <row r="442" spans="1:10">
      <c r="A442" s="511" t="s">
        <v>1236</v>
      </c>
      <c r="B442" s="84" t="s">
        <v>1237</v>
      </c>
      <c r="C442">
        <v>441</v>
      </c>
      <c r="D442">
        <v>517</v>
      </c>
      <c r="F442" s="511" t="s">
        <v>1080</v>
      </c>
      <c r="G442" s="84" t="s">
        <v>1237</v>
      </c>
      <c r="H442">
        <v>441</v>
      </c>
      <c r="J442" t="b">
        <f t="shared" ref="J442:J459" si="13">A382=F442</f>
        <v>1</v>
      </c>
    </row>
    <row r="443" spans="1:10">
      <c r="A443" s="511" t="s">
        <v>1238</v>
      </c>
      <c r="B443" s="84" t="s">
        <v>1239</v>
      </c>
      <c r="C443">
        <v>442</v>
      </c>
      <c r="D443">
        <v>518</v>
      </c>
      <c r="F443" s="511" t="s">
        <v>1083</v>
      </c>
      <c r="G443" s="84" t="s">
        <v>1239</v>
      </c>
      <c r="H443">
        <v>442</v>
      </c>
      <c r="J443" t="b">
        <f t="shared" si="13"/>
        <v>1</v>
      </c>
    </row>
    <row r="444" spans="1:10">
      <c r="A444" s="511" t="s">
        <v>1240</v>
      </c>
      <c r="B444" s="84" t="s">
        <v>1241</v>
      </c>
      <c r="C444">
        <v>443</v>
      </c>
      <c r="D444">
        <v>519</v>
      </c>
      <c r="F444" s="511" t="s">
        <v>1086</v>
      </c>
      <c r="G444" s="84" t="s">
        <v>1241</v>
      </c>
      <c r="H444">
        <v>443</v>
      </c>
      <c r="J444" t="b">
        <f t="shared" si="13"/>
        <v>1</v>
      </c>
    </row>
    <row r="445" spans="1:10">
      <c r="A445" s="511" t="s">
        <v>1242</v>
      </c>
      <c r="B445" s="84" t="s">
        <v>1243</v>
      </c>
      <c r="C445">
        <v>444</v>
      </c>
      <c r="D445">
        <v>520</v>
      </c>
      <c r="F445" s="511" t="s">
        <v>1089</v>
      </c>
      <c r="G445" s="84" t="s">
        <v>1243</v>
      </c>
      <c r="H445">
        <v>444</v>
      </c>
      <c r="J445" t="b">
        <f t="shared" si="13"/>
        <v>1</v>
      </c>
    </row>
    <row r="446" spans="1:10">
      <c r="A446" s="511" t="s">
        <v>1244</v>
      </c>
      <c r="B446" s="84" t="s">
        <v>1245</v>
      </c>
      <c r="C446">
        <v>445</v>
      </c>
      <c r="D446">
        <v>521</v>
      </c>
      <c r="F446" s="511" t="s">
        <v>1091</v>
      </c>
      <c r="G446" s="84" t="s">
        <v>1245</v>
      </c>
      <c r="H446">
        <v>445</v>
      </c>
      <c r="J446" t="b">
        <f t="shared" si="13"/>
        <v>1</v>
      </c>
    </row>
    <row r="447" spans="1:10">
      <c r="A447" s="511" t="s">
        <v>1246</v>
      </c>
      <c r="B447" s="84" t="s">
        <v>1247</v>
      </c>
      <c r="C447">
        <v>446</v>
      </c>
      <c r="D447">
        <v>522</v>
      </c>
      <c r="F447" s="511" t="s">
        <v>1093</v>
      </c>
      <c r="G447" s="84" t="s">
        <v>1247</v>
      </c>
      <c r="H447">
        <v>446</v>
      </c>
      <c r="J447" t="b">
        <f t="shared" si="13"/>
        <v>1</v>
      </c>
    </row>
    <row r="448" spans="1:10">
      <c r="A448" s="511" t="s">
        <v>1248</v>
      </c>
      <c r="B448" s="84" t="s">
        <v>1249</v>
      </c>
      <c r="C448">
        <v>447</v>
      </c>
      <c r="D448">
        <v>523</v>
      </c>
      <c r="F448" s="511" t="s">
        <v>1095</v>
      </c>
      <c r="G448" s="84" t="s">
        <v>1249</v>
      </c>
      <c r="H448">
        <v>447</v>
      </c>
      <c r="J448" t="b">
        <f t="shared" si="13"/>
        <v>1</v>
      </c>
    </row>
    <row r="449" spans="1:10">
      <c r="A449" s="511" t="s">
        <v>1250</v>
      </c>
      <c r="B449" s="84" t="s">
        <v>1251</v>
      </c>
      <c r="C449">
        <v>448</v>
      </c>
      <c r="D449">
        <v>524</v>
      </c>
      <c r="F449" s="511" t="s">
        <v>1097</v>
      </c>
      <c r="G449" s="84" t="s">
        <v>1251</v>
      </c>
      <c r="H449">
        <v>448</v>
      </c>
      <c r="J449" t="b">
        <f t="shared" si="13"/>
        <v>1</v>
      </c>
    </row>
    <row r="450" spans="1:10">
      <c r="A450" s="511" t="s">
        <v>1252</v>
      </c>
      <c r="B450" s="84" t="s">
        <v>1253</v>
      </c>
      <c r="C450">
        <v>449</v>
      </c>
      <c r="D450">
        <v>525</v>
      </c>
      <c r="E450" t="s">
        <v>840</v>
      </c>
      <c r="F450" s="511" t="s">
        <v>1254</v>
      </c>
      <c r="G450" s="84" t="s">
        <v>1253</v>
      </c>
      <c r="H450">
        <v>449</v>
      </c>
      <c r="I450" t="s">
        <v>840</v>
      </c>
      <c r="J450" t="b">
        <f t="shared" si="13"/>
        <v>0</v>
      </c>
    </row>
    <row r="451" spans="1:10">
      <c r="A451" s="511" t="s">
        <v>1255</v>
      </c>
      <c r="B451" s="84" t="s">
        <v>1256</v>
      </c>
      <c r="C451">
        <v>450</v>
      </c>
      <c r="D451">
        <v>526</v>
      </c>
      <c r="E451" t="s">
        <v>840</v>
      </c>
      <c r="F451" s="511" t="s">
        <v>1257</v>
      </c>
      <c r="G451" s="84" t="s">
        <v>1256</v>
      </c>
      <c r="H451">
        <v>450</v>
      </c>
      <c r="I451" t="s">
        <v>840</v>
      </c>
      <c r="J451" t="b">
        <f t="shared" si="13"/>
        <v>0</v>
      </c>
    </row>
    <row r="452" spans="1:10">
      <c r="A452" s="511" t="s">
        <v>1258</v>
      </c>
      <c r="B452" s="84" t="s">
        <v>1259</v>
      </c>
      <c r="C452">
        <v>451</v>
      </c>
      <c r="D452">
        <v>529</v>
      </c>
      <c r="E452" t="s">
        <v>840</v>
      </c>
      <c r="F452" s="511" t="s">
        <v>1260</v>
      </c>
      <c r="G452" s="84" t="s">
        <v>1259</v>
      </c>
      <c r="H452">
        <v>451</v>
      </c>
      <c r="I452" t="s">
        <v>370</v>
      </c>
      <c r="J452" t="b">
        <f t="shared" si="13"/>
        <v>0</v>
      </c>
    </row>
    <row r="453" spans="1:10">
      <c r="A453" s="511" t="s">
        <v>1261</v>
      </c>
      <c r="B453" s="84" t="s">
        <v>1262</v>
      </c>
      <c r="C453">
        <v>452</v>
      </c>
      <c r="D453">
        <v>531</v>
      </c>
      <c r="E453" t="s">
        <v>840</v>
      </c>
      <c r="F453" s="511" t="s">
        <v>1263</v>
      </c>
      <c r="G453" s="84" t="s">
        <v>1262</v>
      </c>
      <c r="H453">
        <v>452</v>
      </c>
      <c r="I453" t="s">
        <v>370</v>
      </c>
      <c r="J453" t="b">
        <f t="shared" si="13"/>
        <v>0</v>
      </c>
    </row>
    <row r="454" spans="1:10">
      <c r="A454" s="511" t="s">
        <v>1264</v>
      </c>
      <c r="B454" s="84" t="s">
        <v>1265</v>
      </c>
      <c r="C454">
        <v>453</v>
      </c>
      <c r="D454">
        <v>532</v>
      </c>
      <c r="E454" t="s">
        <v>840</v>
      </c>
      <c r="F454" s="511" t="s">
        <v>1266</v>
      </c>
      <c r="G454" s="84" t="s">
        <v>1265</v>
      </c>
      <c r="H454">
        <v>453</v>
      </c>
      <c r="I454" t="s">
        <v>840</v>
      </c>
      <c r="J454" t="b">
        <f t="shared" si="13"/>
        <v>0</v>
      </c>
    </row>
    <row r="455" spans="1:10">
      <c r="A455" s="511" t="s">
        <v>1267</v>
      </c>
      <c r="B455" s="84" t="s">
        <v>1268</v>
      </c>
      <c r="C455">
        <v>454</v>
      </c>
      <c r="D455">
        <v>534</v>
      </c>
      <c r="E455" t="s">
        <v>840</v>
      </c>
      <c r="F455" s="511" t="s">
        <v>1269</v>
      </c>
      <c r="G455" s="84" t="s">
        <v>1268</v>
      </c>
      <c r="H455">
        <v>454</v>
      </c>
      <c r="I455" t="s">
        <v>370</v>
      </c>
      <c r="J455" t="b">
        <f t="shared" si="13"/>
        <v>0</v>
      </c>
    </row>
    <row r="456" spans="1:10">
      <c r="A456" s="511" t="s">
        <v>1270</v>
      </c>
      <c r="B456" s="84" t="s">
        <v>1271</v>
      </c>
      <c r="C456">
        <v>455</v>
      </c>
      <c r="D456">
        <v>535</v>
      </c>
      <c r="F456" s="511" t="s">
        <v>1272</v>
      </c>
      <c r="G456" s="84" t="s">
        <v>1271</v>
      </c>
      <c r="H456">
        <v>455</v>
      </c>
      <c r="I456" t="s">
        <v>840</v>
      </c>
      <c r="J456" t="b">
        <f t="shared" si="13"/>
        <v>0</v>
      </c>
    </row>
    <row r="457" spans="1:10">
      <c r="A457" s="511" t="s">
        <v>1273</v>
      </c>
      <c r="B457" s="84" t="s">
        <v>1274</v>
      </c>
      <c r="C457">
        <v>456</v>
      </c>
      <c r="D457">
        <v>536</v>
      </c>
      <c r="F457" s="511" t="s">
        <v>1275</v>
      </c>
      <c r="G457" s="84" t="s">
        <v>1274</v>
      </c>
      <c r="H457">
        <v>456</v>
      </c>
      <c r="I457" t="s">
        <v>840</v>
      </c>
      <c r="J457" t="b">
        <f t="shared" si="13"/>
        <v>0</v>
      </c>
    </row>
    <row r="458" spans="1:10">
      <c r="A458" s="511" t="s">
        <v>1276</v>
      </c>
      <c r="B458" s="84" t="s">
        <v>1277</v>
      </c>
      <c r="C458">
        <v>457</v>
      </c>
      <c r="D458">
        <v>537</v>
      </c>
      <c r="F458" s="511" t="s">
        <v>1278</v>
      </c>
      <c r="G458" s="84" t="s">
        <v>1277</v>
      </c>
      <c r="H458">
        <v>457</v>
      </c>
      <c r="I458" t="s">
        <v>370</v>
      </c>
      <c r="J458" t="b">
        <f t="shared" si="13"/>
        <v>0</v>
      </c>
    </row>
    <row r="459" spans="1:10">
      <c r="A459" s="511" t="s">
        <v>1279</v>
      </c>
      <c r="B459" s="84" t="s">
        <v>1280</v>
      </c>
      <c r="C459">
        <v>458</v>
      </c>
      <c r="D459">
        <v>538</v>
      </c>
      <c r="F459" s="511" t="s">
        <v>1281</v>
      </c>
      <c r="G459" s="84" t="s">
        <v>1280</v>
      </c>
      <c r="H459">
        <v>458</v>
      </c>
      <c r="I459" t="s">
        <v>840</v>
      </c>
      <c r="J459" t="b">
        <f t="shared" si="13"/>
        <v>0</v>
      </c>
    </row>
    <row r="460" spans="1:10">
      <c r="A460" s="511" t="s">
        <v>1282</v>
      </c>
      <c r="B460" s="84" t="s">
        <v>1283</v>
      </c>
      <c r="C460">
        <v>459</v>
      </c>
      <c r="D460">
        <v>539</v>
      </c>
      <c r="F460" s="511" t="s">
        <v>1284</v>
      </c>
      <c r="G460" s="84" t="s">
        <v>1283</v>
      </c>
      <c r="H460">
        <v>459</v>
      </c>
      <c r="J460" t="b">
        <f>A396=F460</f>
        <v>0</v>
      </c>
    </row>
    <row r="461" spans="1:10">
      <c r="A461" s="511" t="s">
        <v>1285</v>
      </c>
      <c r="B461" s="84" t="s">
        <v>1286</v>
      </c>
      <c r="C461">
        <v>460</v>
      </c>
      <c r="D461">
        <v>540</v>
      </c>
      <c r="F461" s="511" t="s">
        <v>1117</v>
      </c>
      <c r="G461" s="84" t="s">
        <v>1286</v>
      </c>
      <c r="H461">
        <v>460</v>
      </c>
      <c r="J461" t="b">
        <f t="shared" ref="J461:J478" si="14">A397=F461</f>
        <v>1</v>
      </c>
    </row>
    <row r="462" spans="1:10">
      <c r="A462" s="511" t="s">
        <v>1287</v>
      </c>
      <c r="B462" s="84" t="s">
        <v>1288</v>
      </c>
      <c r="C462">
        <v>461</v>
      </c>
      <c r="D462">
        <v>541</v>
      </c>
      <c r="F462" s="511" t="s">
        <v>1120</v>
      </c>
      <c r="G462" s="84" t="s">
        <v>1288</v>
      </c>
      <c r="H462">
        <v>461</v>
      </c>
      <c r="J462" t="b">
        <f t="shared" si="14"/>
        <v>1</v>
      </c>
    </row>
    <row r="463" spans="1:10">
      <c r="A463" s="511" t="s">
        <v>1289</v>
      </c>
      <c r="B463" s="84" t="s">
        <v>1290</v>
      </c>
      <c r="C463">
        <v>462</v>
      </c>
      <c r="D463">
        <v>542</v>
      </c>
      <c r="F463" s="511" t="s">
        <v>1123</v>
      </c>
      <c r="G463" s="84" t="s">
        <v>1290</v>
      </c>
      <c r="H463">
        <v>462</v>
      </c>
      <c r="J463" t="b">
        <f t="shared" si="14"/>
        <v>1</v>
      </c>
    </row>
    <row r="464" spans="1:10">
      <c r="A464" s="511" t="s">
        <v>1291</v>
      </c>
      <c r="B464" s="84" t="s">
        <v>1292</v>
      </c>
      <c r="C464">
        <v>463</v>
      </c>
      <c r="D464">
        <v>543</v>
      </c>
      <c r="F464" s="511" t="s">
        <v>1126</v>
      </c>
      <c r="G464" s="84" t="s">
        <v>1292</v>
      </c>
      <c r="H464">
        <v>463</v>
      </c>
      <c r="J464" t="b">
        <f t="shared" si="14"/>
        <v>1</v>
      </c>
    </row>
    <row r="465" spans="1:10">
      <c r="A465" s="511" t="s">
        <v>1293</v>
      </c>
      <c r="B465" s="84" t="s">
        <v>1294</v>
      </c>
      <c r="C465">
        <v>464</v>
      </c>
      <c r="D465">
        <v>544</v>
      </c>
      <c r="E465" t="s">
        <v>840</v>
      </c>
      <c r="F465" s="511" t="s">
        <v>1129</v>
      </c>
      <c r="G465" s="84" t="s">
        <v>1294</v>
      </c>
      <c r="H465">
        <v>464</v>
      </c>
      <c r="J465" t="b">
        <f t="shared" si="14"/>
        <v>1</v>
      </c>
    </row>
    <row r="466" spans="1:10">
      <c r="A466" s="511" t="s">
        <v>1295</v>
      </c>
      <c r="B466" s="84" t="s">
        <v>1296</v>
      </c>
      <c r="C466">
        <v>465</v>
      </c>
      <c r="D466">
        <v>545</v>
      </c>
      <c r="E466" t="s">
        <v>840</v>
      </c>
      <c r="F466" s="511" t="s">
        <v>1132</v>
      </c>
      <c r="G466" s="84" t="s">
        <v>1296</v>
      </c>
      <c r="H466">
        <v>465</v>
      </c>
      <c r="J466" t="b">
        <f t="shared" si="14"/>
        <v>1</v>
      </c>
    </row>
    <row r="467" spans="1:10">
      <c r="A467" s="511" t="s">
        <v>1297</v>
      </c>
      <c r="B467" s="84" t="s">
        <v>1298</v>
      </c>
      <c r="C467">
        <v>466</v>
      </c>
      <c r="D467">
        <v>548</v>
      </c>
      <c r="E467" t="s">
        <v>840</v>
      </c>
      <c r="F467" s="511" t="s">
        <v>1135</v>
      </c>
      <c r="G467" s="84" t="s">
        <v>1298</v>
      </c>
      <c r="H467">
        <v>466</v>
      </c>
      <c r="J467" t="b">
        <f t="shared" si="14"/>
        <v>1</v>
      </c>
    </row>
    <row r="468" spans="1:10">
      <c r="A468" s="511" t="s">
        <v>1299</v>
      </c>
      <c r="B468" s="84" t="s">
        <v>1300</v>
      </c>
      <c r="C468">
        <v>467</v>
      </c>
      <c r="D468">
        <v>550</v>
      </c>
      <c r="E468" t="s">
        <v>840</v>
      </c>
      <c r="F468" s="511" t="s">
        <v>1138</v>
      </c>
      <c r="G468" s="84" t="s">
        <v>1300</v>
      </c>
      <c r="H468">
        <v>467</v>
      </c>
      <c r="J468" t="b">
        <f t="shared" si="14"/>
        <v>1</v>
      </c>
    </row>
    <row r="469" spans="1:10">
      <c r="A469" s="511" t="s">
        <v>1301</v>
      </c>
      <c r="B469" s="84" t="s">
        <v>1302</v>
      </c>
      <c r="C469">
        <v>468</v>
      </c>
      <c r="D469">
        <v>551</v>
      </c>
      <c r="E469" t="s">
        <v>840</v>
      </c>
      <c r="F469" s="511" t="s">
        <v>1303</v>
      </c>
      <c r="G469" s="84" t="s">
        <v>1302</v>
      </c>
      <c r="H469">
        <v>468</v>
      </c>
      <c r="I469" t="s">
        <v>840</v>
      </c>
      <c r="J469" t="b">
        <f t="shared" si="14"/>
        <v>0</v>
      </c>
    </row>
    <row r="470" spans="1:10">
      <c r="A470" s="511" t="s">
        <v>1304</v>
      </c>
      <c r="B470" s="84" t="s">
        <v>1305</v>
      </c>
      <c r="C470">
        <v>469</v>
      </c>
      <c r="D470">
        <v>553</v>
      </c>
      <c r="E470" t="s">
        <v>840</v>
      </c>
      <c r="F470" s="511" t="s">
        <v>1306</v>
      </c>
      <c r="G470" s="84" t="s">
        <v>1305</v>
      </c>
      <c r="H470">
        <v>469</v>
      </c>
      <c r="I470" t="s">
        <v>840</v>
      </c>
      <c r="J470" t="b">
        <f t="shared" si="14"/>
        <v>0</v>
      </c>
    </row>
    <row r="471" spans="1:10">
      <c r="A471" s="511" t="s">
        <v>1307</v>
      </c>
      <c r="B471" s="84" t="s">
        <v>1308</v>
      </c>
      <c r="C471">
        <v>470</v>
      </c>
      <c r="D471">
        <v>554</v>
      </c>
      <c r="F471" s="511" t="s">
        <v>1309</v>
      </c>
      <c r="G471" s="84" t="s">
        <v>1308</v>
      </c>
      <c r="H471">
        <v>470</v>
      </c>
      <c r="I471" t="s">
        <v>370</v>
      </c>
      <c r="J471" t="b">
        <f t="shared" si="14"/>
        <v>0</v>
      </c>
    </row>
    <row r="472" spans="1:10">
      <c r="A472" s="511" t="s">
        <v>1310</v>
      </c>
      <c r="B472" s="84" t="s">
        <v>1311</v>
      </c>
      <c r="C472">
        <v>471</v>
      </c>
      <c r="D472">
        <v>555</v>
      </c>
      <c r="F472" s="511" t="s">
        <v>1312</v>
      </c>
      <c r="G472" s="84" t="s">
        <v>1311</v>
      </c>
      <c r="H472">
        <v>471</v>
      </c>
      <c r="I472" t="s">
        <v>370</v>
      </c>
      <c r="J472" t="b">
        <f t="shared" si="14"/>
        <v>0</v>
      </c>
    </row>
    <row r="473" spans="1:10">
      <c r="A473" s="511" t="s">
        <v>1313</v>
      </c>
      <c r="B473" s="84" t="s">
        <v>1314</v>
      </c>
      <c r="C473">
        <v>472</v>
      </c>
      <c r="D473">
        <v>556</v>
      </c>
      <c r="F473" s="511" t="s">
        <v>1315</v>
      </c>
      <c r="G473" s="84" t="s">
        <v>1314</v>
      </c>
      <c r="H473">
        <v>472</v>
      </c>
      <c r="I473" t="s">
        <v>840</v>
      </c>
      <c r="J473" t="b">
        <f t="shared" si="14"/>
        <v>0</v>
      </c>
    </row>
    <row r="474" spans="1:10">
      <c r="A474" s="511" t="s">
        <v>1316</v>
      </c>
      <c r="B474" s="84" t="s">
        <v>1317</v>
      </c>
      <c r="C474">
        <v>473</v>
      </c>
      <c r="D474">
        <v>557</v>
      </c>
      <c r="F474" s="511" t="s">
        <v>1318</v>
      </c>
      <c r="G474" s="84" t="s">
        <v>1317</v>
      </c>
      <c r="H474">
        <v>473</v>
      </c>
      <c r="I474" t="s">
        <v>370</v>
      </c>
      <c r="J474" t="b">
        <f t="shared" si="14"/>
        <v>0</v>
      </c>
    </row>
    <row r="475" spans="1:10">
      <c r="A475" s="511" t="s">
        <v>1319</v>
      </c>
      <c r="B475" s="84" t="s">
        <v>1320</v>
      </c>
      <c r="C475">
        <v>474</v>
      </c>
      <c r="D475">
        <v>558</v>
      </c>
      <c r="F475" s="511" t="s">
        <v>1321</v>
      </c>
      <c r="G475" s="84" t="s">
        <v>1320</v>
      </c>
      <c r="H475">
        <v>474</v>
      </c>
      <c r="I475" t="s">
        <v>840</v>
      </c>
      <c r="J475" t="b">
        <f t="shared" si="14"/>
        <v>0</v>
      </c>
    </row>
    <row r="476" spans="1:10">
      <c r="A476" s="511" t="s">
        <v>1322</v>
      </c>
      <c r="B476" s="84" t="s">
        <v>1323</v>
      </c>
      <c r="C476">
        <v>475</v>
      </c>
      <c r="D476">
        <v>559</v>
      </c>
      <c r="F476" s="511" t="s">
        <v>1324</v>
      </c>
      <c r="G476" s="84" t="s">
        <v>1323</v>
      </c>
      <c r="H476">
        <v>475</v>
      </c>
      <c r="I476" t="s">
        <v>840</v>
      </c>
      <c r="J476" t="b">
        <f t="shared" si="14"/>
        <v>0</v>
      </c>
    </row>
    <row r="477" spans="1:10">
      <c r="A477" s="511" t="s">
        <v>1325</v>
      </c>
      <c r="B477" s="84" t="s">
        <v>1326</v>
      </c>
      <c r="C477">
        <v>476</v>
      </c>
      <c r="D477">
        <v>560</v>
      </c>
      <c r="F477" s="511" t="s">
        <v>1327</v>
      </c>
      <c r="G477" s="84" t="s">
        <v>1326</v>
      </c>
      <c r="H477">
        <v>476</v>
      </c>
      <c r="I477" t="s">
        <v>370</v>
      </c>
      <c r="J477" t="b">
        <f t="shared" si="14"/>
        <v>0</v>
      </c>
    </row>
    <row r="478" spans="1:10">
      <c r="A478" s="511" t="s">
        <v>1328</v>
      </c>
      <c r="B478" s="84" t="s">
        <v>1329</v>
      </c>
      <c r="C478">
        <v>477</v>
      </c>
      <c r="D478">
        <v>561</v>
      </c>
      <c r="F478" s="511" t="s">
        <v>1330</v>
      </c>
      <c r="G478" s="84" t="s">
        <v>1329</v>
      </c>
      <c r="H478">
        <v>477</v>
      </c>
      <c r="I478" t="s">
        <v>840</v>
      </c>
      <c r="J478" t="b">
        <f t="shared" si="14"/>
        <v>0</v>
      </c>
    </row>
    <row r="479" spans="1:10">
      <c r="A479" s="511" t="s">
        <v>1331</v>
      </c>
      <c r="B479" s="84" t="s">
        <v>1332</v>
      </c>
      <c r="C479">
        <v>478</v>
      </c>
      <c r="D479">
        <v>562</v>
      </c>
      <c r="F479" s="511" t="s">
        <v>1333</v>
      </c>
      <c r="G479" s="84" t="s">
        <v>1332</v>
      </c>
      <c r="H479">
        <v>478</v>
      </c>
      <c r="J479" t="b">
        <f>A411=F479</f>
        <v>0</v>
      </c>
    </row>
    <row r="480" spans="1:10">
      <c r="A480" s="511" t="s">
        <v>1334</v>
      </c>
      <c r="B480" s="84" t="s">
        <v>1335</v>
      </c>
      <c r="C480">
        <v>479</v>
      </c>
      <c r="D480">
        <v>563</v>
      </c>
      <c r="E480" t="s">
        <v>840</v>
      </c>
      <c r="F480" s="511" t="s">
        <v>1154</v>
      </c>
      <c r="G480" s="84" t="s">
        <v>1335</v>
      </c>
      <c r="H480">
        <v>479</v>
      </c>
      <c r="J480" t="b">
        <f t="shared" ref="J480:J497" si="15">A412=F480</f>
        <v>1</v>
      </c>
    </row>
    <row r="481" spans="1:10">
      <c r="A481" s="511" t="s">
        <v>1336</v>
      </c>
      <c r="B481" s="84" t="s">
        <v>1337</v>
      </c>
      <c r="C481">
        <v>480</v>
      </c>
      <c r="D481">
        <v>564</v>
      </c>
      <c r="E481" t="s">
        <v>840</v>
      </c>
      <c r="F481" s="511" t="s">
        <v>1157</v>
      </c>
      <c r="G481" s="84" t="s">
        <v>1337</v>
      </c>
      <c r="H481">
        <v>480</v>
      </c>
      <c r="J481" t="b">
        <f t="shared" si="15"/>
        <v>1</v>
      </c>
    </row>
    <row r="482" spans="1:10">
      <c r="A482" s="511" t="s">
        <v>1338</v>
      </c>
      <c r="B482" s="84" t="s">
        <v>1339</v>
      </c>
      <c r="C482">
        <v>481</v>
      </c>
      <c r="D482">
        <v>567</v>
      </c>
      <c r="E482" t="s">
        <v>840</v>
      </c>
      <c r="F482" s="511" t="s">
        <v>1160</v>
      </c>
      <c r="G482" s="84" t="s">
        <v>1339</v>
      </c>
      <c r="H482">
        <v>481</v>
      </c>
      <c r="J482" t="b">
        <f t="shared" si="15"/>
        <v>1</v>
      </c>
    </row>
    <row r="483" spans="1:10">
      <c r="A483" s="511" t="s">
        <v>1340</v>
      </c>
      <c r="B483" s="84" t="s">
        <v>1341</v>
      </c>
      <c r="C483">
        <v>482</v>
      </c>
      <c r="D483">
        <v>569</v>
      </c>
      <c r="E483" t="s">
        <v>840</v>
      </c>
      <c r="F483" s="511" t="s">
        <v>1163</v>
      </c>
      <c r="G483" s="84" t="s">
        <v>1341</v>
      </c>
      <c r="H483">
        <v>482</v>
      </c>
      <c r="J483" t="b">
        <f t="shared" si="15"/>
        <v>1</v>
      </c>
    </row>
    <row r="484" spans="1:10">
      <c r="A484" s="511" t="s">
        <v>1342</v>
      </c>
      <c r="B484" s="84" t="s">
        <v>1343</v>
      </c>
      <c r="C484">
        <v>483</v>
      </c>
      <c r="D484">
        <v>570</v>
      </c>
      <c r="E484" t="s">
        <v>840</v>
      </c>
      <c r="F484" s="511" t="s">
        <v>1166</v>
      </c>
      <c r="G484" s="84" t="s">
        <v>1343</v>
      </c>
      <c r="H484">
        <v>483</v>
      </c>
      <c r="J484" t="b">
        <f t="shared" si="15"/>
        <v>1</v>
      </c>
    </row>
    <row r="485" spans="1:10">
      <c r="A485" s="511" t="s">
        <v>1344</v>
      </c>
      <c r="B485" s="84" t="s">
        <v>1345</v>
      </c>
      <c r="C485">
        <v>484</v>
      </c>
      <c r="D485">
        <v>572</v>
      </c>
      <c r="E485" t="s">
        <v>840</v>
      </c>
      <c r="F485" s="511" t="s">
        <v>1169</v>
      </c>
      <c r="G485" s="84" t="s">
        <v>1345</v>
      </c>
      <c r="H485">
        <v>484</v>
      </c>
      <c r="J485" t="b">
        <f t="shared" si="15"/>
        <v>1</v>
      </c>
    </row>
    <row r="486" spans="1:10">
      <c r="A486" s="511" t="s">
        <v>1346</v>
      </c>
      <c r="B486" s="84" t="s">
        <v>1347</v>
      </c>
      <c r="C486">
        <v>485</v>
      </c>
      <c r="D486">
        <v>573</v>
      </c>
      <c r="F486" s="511" t="s">
        <v>1172</v>
      </c>
      <c r="G486" s="84" t="s">
        <v>1347</v>
      </c>
      <c r="H486">
        <v>485</v>
      </c>
      <c r="J486" t="b">
        <f t="shared" si="15"/>
        <v>1</v>
      </c>
    </row>
    <row r="487" spans="1:10">
      <c r="A487" s="511" t="s">
        <v>1348</v>
      </c>
      <c r="B487" s="84" t="s">
        <v>1349</v>
      </c>
      <c r="C487">
        <v>486</v>
      </c>
      <c r="D487">
        <v>574</v>
      </c>
      <c r="F487" s="511" t="s">
        <v>1175</v>
      </c>
      <c r="G487" s="84" t="s">
        <v>1349</v>
      </c>
      <c r="H487">
        <v>486</v>
      </c>
      <c r="J487" t="b">
        <f t="shared" si="15"/>
        <v>1</v>
      </c>
    </row>
    <row r="488" spans="1:10">
      <c r="A488" s="511" t="s">
        <v>1350</v>
      </c>
      <c r="B488" s="84" t="s">
        <v>1351</v>
      </c>
      <c r="C488">
        <v>487</v>
      </c>
      <c r="D488">
        <v>575</v>
      </c>
      <c r="F488" s="511" t="s">
        <v>1352</v>
      </c>
      <c r="G488" s="84" t="s">
        <v>1351</v>
      </c>
      <c r="H488">
        <v>487</v>
      </c>
      <c r="I488" t="s">
        <v>840</v>
      </c>
      <c r="J488" t="b">
        <f t="shared" si="15"/>
        <v>0</v>
      </c>
    </row>
    <row r="489" spans="1:10">
      <c r="A489" s="511" t="s">
        <v>1353</v>
      </c>
      <c r="B489" s="84" t="s">
        <v>1354</v>
      </c>
      <c r="C489">
        <v>488</v>
      </c>
      <c r="D489">
        <v>576</v>
      </c>
      <c r="F489" s="511" t="s">
        <v>1355</v>
      </c>
      <c r="G489" s="84" t="s">
        <v>1354</v>
      </c>
      <c r="H489">
        <v>488</v>
      </c>
      <c r="I489" t="s">
        <v>840</v>
      </c>
      <c r="J489" t="b">
        <f t="shared" si="15"/>
        <v>0</v>
      </c>
    </row>
    <row r="490" spans="1:10">
      <c r="A490" s="511" t="s">
        <v>1356</v>
      </c>
      <c r="B490" s="84" t="s">
        <v>1357</v>
      </c>
      <c r="C490">
        <v>489</v>
      </c>
      <c r="D490">
        <v>577</v>
      </c>
      <c r="F490" s="511" t="s">
        <v>1358</v>
      </c>
      <c r="G490" s="84" t="s">
        <v>1357</v>
      </c>
      <c r="H490">
        <v>489</v>
      </c>
      <c r="I490" t="s">
        <v>370</v>
      </c>
      <c r="J490" t="b">
        <f t="shared" si="15"/>
        <v>0</v>
      </c>
    </row>
    <row r="491" spans="1:10">
      <c r="A491" s="511" t="s">
        <v>1359</v>
      </c>
      <c r="B491" s="84" t="s">
        <v>1360</v>
      </c>
      <c r="C491">
        <v>490</v>
      </c>
      <c r="D491">
        <v>578</v>
      </c>
      <c r="F491" s="511" t="s">
        <v>1361</v>
      </c>
      <c r="G491" s="84" t="s">
        <v>1360</v>
      </c>
      <c r="H491">
        <v>490</v>
      </c>
      <c r="I491" t="s">
        <v>370</v>
      </c>
      <c r="J491" t="b">
        <f t="shared" si="15"/>
        <v>0</v>
      </c>
    </row>
    <row r="492" spans="1:10">
      <c r="A492" s="511" t="s">
        <v>1362</v>
      </c>
      <c r="B492" s="84" t="s">
        <v>1363</v>
      </c>
      <c r="C492">
        <v>491</v>
      </c>
      <c r="D492">
        <v>579</v>
      </c>
      <c r="F492" s="511" t="s">
        <v>1364</v>
      </c>
      <c r="G492" s="84" t="s">
        <v>1363</v>
      </c>
      <c r="H492">
        <v>491</v>
      </c>
      <c r="I492" t="s">
        <v>840</v>
      </c>
      <c r="J492" t="b">
        <f t="shared" si="15"/>
        <v>0</v>
      </c>
    </row>
    <row r="493" spans="1:10">
      <c r="A493" s="511" t="s">
        <v>1365</v>
      </c>
      <c r="B493" s="84" t="s">
        <v>1366</v>
      </c>
      <c r="C493">
        <v>492</v>
      </c>
      <c r="D493">
        <v>580</v>
      </c>
      <c r="F493" s="511" t="s">
        <v>1367</v>
      </c>
      <c r="G493" s="84" t="s">
        <v>1366</v>
      </c>
      <c r="H493">
        <v>492</v>
      </c>
      <c r="I493" t="s">
        <v>370</v>
      </c>
      <c r="J493" t="b">
        <f t="shared" si="15"/>
        <v>0</v>
      </c>
    </row>
    <row r="494" spans="1:10">
      <c r="A494" s="511" t="s">
        <v>1368</v>
      </c>
      <c r="B494" s="84" t="s">
        <v>1369</v>
      </c>
      <c r="C494">
        <v>493</v>
      </c>
      <c r="D494">
        <v>581</v>
      </c>
      <c r="F494" s="511" t="s">
        <v>1370</v>
      </c>
      <c r="G494" s="84" t="s">
        <v>1369</v>
      </c>
      <c r="H494">
        <v>493</v>
      </c>
      <c r="I494" t="s">
        <v>840</v>
      </c>
      <c r="J494" t="b">
        <f t="shared" si="15"/>
        <v>0</v>
      </c>
    </row>
    <row r="495" spans="1:10">
      <c r="A495" s="511" t="s">
        <v>1371</v>
      </c>
      <c r="B495" s="84" t="s">
        <v>1372</v>
      </c>
      <c r="C495">
        <v>494</v>
      </c>
      <c r="D495">
        <v>582</v>
      </c>
      <c r="E495" t="s">
        <v>840</v>
      </c>
      <c r="F495" s="511" t="s">
        <v>1373</v>
      </c>
      <c r="G495" s="84" t="s">
        <v>1372</v>
      </c>
      <c r="H495">
        <v>494</v>
      </c>
      <c r="I495" t="s">
        <v>840</v>
      </c>
      <c r="J495" t="b">
        <f t="shared" si="15"/>
        <v>0</v>
      </c>
    </row>
    <row r="496" spans="1:10">
      <c r="A496" s="511" t="s">
        <v>1374</v>
      </c>
      <c r="B496" s="84" t="s">
        <v>1375</v>
      </c>
      <c r="C496">
        <v>495</v>
      </c>
      <c r="D496">
        <v>583</v>
      </c>
      <c r="E496" t="s">
        <v>840</v>
      </c>
      <c r="F496" s="511" t="s">
        <v>1376</v>
      </c>
      <c r="G496" s="84" t="s">
        <v>1375</v>
      </c>
      <c r="H496">
        <v>495</v>
      </c>
      <c r="I496" t="s">
        <v>370</v>
      </c>
      <c r="J496" t="b">
        <f t="shared" si="15"/>
        <v>0</v>
      </c>
    </row>
    <row r="497" spans="1:10">
      <c r="A497" s="511" t="s">
        <v>1377</v>
      </c>
      <c r="B497" s="84" t="s">
        <v>1378</v>
      </c>
      <c r="C497">
        <v>496</v>
      </c>
      <c r="D497">
        <v>586</v>
      </c>
      <c r="E497" t="s">
        <v>840</v>
      </c>
      <c r="F497" s="511" t="s">
        <v>1379</v>
      </c>
      <c r="G497" s="84" t="s">
        <v>1378</v>
      </c>
      <c r="H497">
        <v>496</v>
      </c>
      <c r="I497" t="s">
        <v>840</v>
      </c>
      <c r="J497" t="b">
        <f t="shared" si="15"/>
        <v>0</v>
      </c>
    </row>
    <row r="498" spans="1:10">
      <c r="A498" s="511" t="s">
        <v>1380</v>
      </c>
      <c r="B498" s="84" t="s">
        <v>1381</v>
      </c>
      <c r="C498">
        <v>497</v>
      </c>
      <c r="D498">
        <v>588</v>
      </c>
      <c r="E498" t="s">
        <v>840</v>
      </c>
      <c r="F498" s="511" t="s">
        <v>1382</v>
      </c>
      <c r="G498" s="84" t="s">
        <v>1381</v>
      </c>
      <c r="H498">
        <v>497</v>
      </c>
      <c r="J498" t="b">
        <f>A426=F498</f>
        <v>0</v>
      </c>
    </row>
    <row r="499" spans="1:10">
      <c r="A499" s="511" t="s">
        <v>1383</v>
      </c>
      <c r="B499" s="84" t="s">
        <v>1384</v>
      </c>
      <c r="C499">
        <v>498</v>
      </c>
      <c r="D499">
        <v>589</v>
      </c>
      <c r="E499" t="s">
        <v>840</v>
      </c>
      <c r="F499" s="511" t="s">
        <v>1195</v>
      </c>
      <c r="G499" s="84" t="s">
        <v>1384</v>
      </c>
      <c r="H499">
        <v>498</v>
      </c>
      <c r="J499" t="b">
        <f t="shared" ref="J499:J516" si="16">A427=F499</f>
        <v>1</v>
      </c>
    </row>
    <row r="500" spans="1:10">
      <c r="A500" s="511" t="s">
        <v>1385</v>
      </c>
      <c r="B500" s="84" t="s">
        <v>1386</v>
      </c>
      <c r="C500">
        <v>499</v>
      </c>
      <c r="D500">
        <v>591</v>
      </c>
      <c r="E500" t="s">
        <v>840</v>
      </c>
      <c r="F500" s="511" t="s">
        <v>1197</v>
      </c>
      <c r="G500" s="84" t="s">
        <v>1386</v>
      </c>
      <c r="H500">
        <v>499</v>
      </c>
      <c r="J500" t="b">
        <f t="shared" si="16"/>
        <v>1</v>
      </c>
    </row>
    <row r="501" spans="1:10">
      <c r="A501" s="511" t="s">
        <v>1387</v>
      </c>
      <c r="B501" s="84" t="s">
        <v>1388</v>
      </c>
      <c r="C501">
        <v>500</v>
      </c>
      <c r="D501">
        <v>592</v>
      </c>
      <c r="F501" s="511" t="s">
        <v>1199</v>
      </c>
      <c r="G501" s="84" t="s">
        <v>1388</v>
      </c>
      <c r="H501">
        <v>500</v>
      </c>
      <c r="J501" t="b">
        <f t="shared" si="16"/>
        <v>1</v>
      </c>
    </row>
    <row r="502" spans="1:10">
      <c r="A502" s="511" t="s">
        <v>1389</v>
      </c>
      <c r="B502" s="84" t="s">
        <v>1390</v>
      </c>
      <c r="C502">
        <v>501</v>
      </c>
      <c r="D502">
        <v>593</v>
      </c>
      <c r="F502" s="511" t="s">
        <v>1201</v>
      </c>
      <c r="G502" s="84" t="s">
        <v>1390</v>
      </c>
      <c r="H502">
        <v>501</v>
      </c>
      <c r="J502" t="b">
        <f t="shared" si="16"/>
        <v>1</v>
      </c>
    </row>
    <row r="503" spans="1:10">
      <c r="A503" s="511" t="s">
        <v>1391</v>
      </c>
      <c r="B503" s="84" t="s">
        <v>1392</v>
      </c>
      <c r="C503">
        <v>502</v>
      </c>
      <c r="D503">
        <v>594</v>
      </c>
      <c r="F503" s="511" t="s">
        <v>1203</v>
      </c>
      <c r="G503" s="84" t="s">
        <v>1392</v>
      </c>
      <c r="H503">
        <v>502</v>
      </c>
      <c r="J503" t="b">
        <f t="shared" si="16"/>
        <v>1</v>
      </c>
    </row>
    <row r="504" spans="1:10">
      <c r="A504" s="511" t="s">
        <v>1393</v>
      </c>
      <c r="B504" s="84" t="s">
        <v>1394</v>
      </c>
      <c r="C504">
        <v>503</v>
      </c>
      <c r="D504">
        <v>755</v>
      </c>
      <c r="F504" s="511" t="s">
        <v>1206</v>
      </c>
      <c r="G504" s="84" t="s">
        <v>1394</v>
      </c>
      <c r="H504">
        <v>503</v>
      </c>
      <c r="J504" t="b">
        <f t="shared" si="16"/>
        <v>1</v>
      </c>
    </row>
    <row r="505" spans="1:10">
      <c r="A505" s="511" t="s">
        <v>1395</v>
      </c>
      <c r="B505" s="84" t="s">
        <v>1396</v>
      </c>
      <c r="C505">
        <v>504</v>
      </c>
      <c r="D505">
        <v>756</v>
      </c>
      <c r="F505" s="511" t="s">
        <v>1209</v>
      </c>
      <c r="G505" s="84" t="s">
        <v>1396</v>
      </c>
      <c r="H505">
        <v>504</v>
      </c>
      <c r="J505" t="b">
        <f t="shared" si="16"/>
        <v>1</v>
      </c>
    </row>
    <row r="506" spans="1:10">
      <c r="A506" s="511" t="s">
        <v>1397</v>
      </c>
      <c r="B506" s="84" t="s">
        <v>1398</v>
      </c>
      <c r="C506">
        <v>505</v>
      </c>
      <c r="D506">
        <v>757</v>
      </c>
      <c r="F506" s="511" t="s">
        <v>1212</v>
      </c>
      <c r="G506" s="84" t="s">
        <v>1398</v>
      </c>
      <c r="H506">
        <v>505</v>
      </c>
      <c r="J506" t="b">
        <f t="shared" si="16"/>
        <v>1</v>
      </c>
    </row>
    <row r="507" spans="1:10">
      <c r="A507" s="511" t="s">
        <v>1399</v>
      </c>
      <c r="B507" s="84" t="s">
        <v>1400</v>
      </c>
      <c r="C507">
        <v>506</v>
      </c>
      <c r="D507">
        <v>758</v>
      </c>
      <c r="F507" s="511" t="s">
        <v>1401</v>
      </c>
      <c r="G507" s="84" t="s">
        <v>1400</v>
      </c>
      <c r="H507">
        <v>506</v>
      </c>
      <c r="I507" t="s">
        <v>840</v>
      </c>
      <c r="J507" t="b">
        <f t="shared" si="16"/>
        <v>0</v>
      </c>
    </row>
    <row r="508" spans="1:10">
      <c r="A508" s="511" t="s">
        <v>1402</v>
      </c>
      <c r="B508" s="84" t="s">
        <v>1403</v>
      </c>
      <c r="C508">
        <v>507</v>
      </c>
      <c r="D508">
        <v>759</v>
      </c>
      <c r="F508" s="511" t="s">
        <v>1404</v>
      </c>
      <c r="G508" s="84" t="s">
        <v>1403</v>
      </c>
      <c r="H508">
        <v>507</v>
      </c>
      <c r="I508" t="s">
        <v>840</v>
      </c>
      <c r="J508" t="b">
        <f t="shared" si="16"/>
        <v>0</v>
      </c>
    </row>
    <row r="509" spans="1:10">
      <c r="A509" s="511" t="s">
        <v>1405</v>
      </c>
      <c r="B509" s="84" t="s">
        <v>1406</v>
      </c>
      <c r="C509">
        <v>508</v>
      </c>
      <c r="D509">
        <v>760</v>
      </c>
      <c r="F509" s="511" t="s">
        <v>1407</v>
      </c>
      <c r="G509" s="84" t="s">
        <v>1406</v>
      </c>
      <c r="H509">
        <v>508</v>
      </c>
      <c r="I509" t="s">
        <v>370</v>
      </c>
      <c r="J509" t="b">
        <f t="shared" si="16"/>
        <v>0</v>
      </c>
    </row>
    <row r="510" spans="1:10">
      <c r="A510" s="511" t="s">
        <v>1408</v>
      </c>
      <c r="B510" s="84" t="s">
        <v>1409</v>
      </c>
      <c r="C510">
        <v>509</v>
      </c>
      <c r="D510">
        <v>761</v>
      </c>
      <c r="E510" s="394" t="s">
        <v>840</v>
      </c>
      <c r="F510" s="511" t="s">
        <v>1410</v>
      </c>
      <c r="G510" s="84" t="s">
        <v>1409</v>
      </c>
      <c r="H510">
        <v>509</v>
      </c>
      <c r="I510" t="s">
        <v>370</v>
      </c>
      <c r="J510" t="b">
        <f t="shared" si="16"/>
        <v>0</v>
      </c>
    </row>
    <row r="511" spans="1:10">
      <c r="A511" s="511" t="s">
        <v>1411</v>
      </c>
      <c r="B511" s="84" t="s">
        <v>1412</v>
      </c>
      <c r="C511">
        <v>510</v>
      </c>
      <c r="D511">
        <v>762</v>
      </c>
      <c r="E511" s="394" t="s">
        <v>840</v>
      </c>
      <c r="F511" s="511" t="s">
        <v>1413</v>
      </c>
      <c r="G511" s="84" t="s">
        <v>1412</v>
      </c>
      <c r="H511">
        <v>510</v>
      </c>
      <c r="I511" t="s">
        <v>840</v>
      </c>
      <c r="J511" t="b">
        <f t="shared" si="16"/>
        <v>0</v>
      </c>
    </row>
    <row r="512" spans="1:10">
      <c r="A512" s="511" t="s">
        <v>1414</v>
      </c>
      <c r="B512" s="84" t="s">
        <v>1415</v>
      </c>
      <c r="C512">
        <v>511</v>
      </c>
      <c r="D512">
        <v>765</v>
      </c>
      <c r="E512" s="394" t="s">
        <v>840</v>
      </c>
      <c r="F512" s="511" t="s">
        <v>1416</v>
      </c>
      <c r="G512" s="84" t="s">
        <v>1415</v>
      </c>
      <c r="H512">
        <v>511</v>
      </c>
      <c r="I512" t="s">
        <v>370</v>
      </c>
      <c r="J512" t="b">
        <f t="shared" si="16"/>
        <v>0</v>
      </c>
    </row>
    <row r="513" spans="1:10">
      <c r="A513" s="511" t="s">
        <v>1417</v>
      </c>
      <c r="B513" s="84" t="s">
        <v>1418</v>
      </c>
      <c r="C513">
        <v>512</v>
      </c>
      <c r="D513">
        <v>767</v>
      </c>
      <c r="E513" s="394" t="s">
        <v>840</v>
      </c>
      <c r="F513" s="511" t="s">
        <v>1419</v>
      </c>
      <c r="G513" s="84" t="s">
        <v>1418</v>
      </c>
      <c r="H513">
        <v>512</v>
      </c>
      <c r="I513" t="s">
        <v>840</v>
      </c>
      <c r="J513" t="b">
        <f t="shared" si="16"/>
        <v>0</v>
      </c>
    </row>
    <row r="514" spans="1:10">
      <c r="A514" s="511" t="s">
        <v>1420</v>
      </c>
      <c r="B514" s="84" t="s">
        <v>1421</v>
      </c>
      <c r="C514">
        <v>513</v>
      </c>
      <c r="D514">
        <v>768</v>
      </c>
      <c r="E514" s="394" t="s">
        <v>840</v>
      </c>
      <c r="F514" s="511" t="s">
        <v>1422</v>
      </c>
      <c r="G514" s="84" t="s">
        <v>1421</v>
      </c>
      <c r="H514">
        <v>513</v>
      </c>
      <c r="I514" t="s">
        <v>840</v>
      </c>
      <c r="J514" t="b">
        <f t="shared" si="16"/>
        <v>0</v>
      </c>
    </row>
    <row r="515" spans="1:10">
      <c r="A515" s="511" t="s">
        <v>1423</v>
      </c>
      <c r="B515" s="84" t="s">
        <v>1424</v>
      </c>
      <c r="C515">
        <v>514</v>
      </c>
      <c r="D515">
        <v>770</v>
      </c>
      <c r="E515" s="394" t="s">
        <v>840</v>
      </c>
      <c r="F515" s="511" t="s">
        <v>1425</v>
      </c>
      <c r="G515" s="84" t="s">
        <v>1424</v>
      </c>
      <c r="H515">
        <v>514</v>
      </c>
      <c r="I515" t="s">
        <v>370</v>
      </c>
      <c r="J515" t="b">
        <f t="shared" si="16"/>
        <v>0</v>
      </c>
    </row>
    <row r="516" spans="1:10">
      <c r="A516" s="511" t="s">
        <v>1426</v>
      </c>
      <c r="B516" s="84" t="s">
        <v>1427</v>
      </c>
      <c r="C516">
        <v>515</v>
      </c>
      <c r="D516">
        <v>771</v>
      </c>
      <c r="F516" s="511" t="s">
        <v>1428</v>
      </c>
      <c r="G516" s="84" t="s">
        <v>1427</v>
      </c>
      <c r="H516">
        <v>515</v>
      </c>
      <c r="I516" t="s">
        <v>840</v>
      </c>
      <c r="J516" t="b">
        <f t="shared" si="16"/>
        <v>0</v>
      </c>
    </row>
    <row r="517" spans="1:10">
      <c r="A517" s="511" t="s">
        <v>1429</v>
      </c>
      <c r="B517" s="84" t="s">
        <v>1430</v>
      </c>
      <c r="C517">
        <v>516</v>
      </c>
      <c r="D517">
        <v>772</v>
      </c>
      <c r="F517" s="511" t="s">
        <v>1431</v>
      </c>
      <c r="G517" s="84" t="s">
        <v>1430</v>
      </c>
      <c r="H517">
        <v>516</v>
      </c>
      <c r="J517" t="b">
        <f>A441=F517</f>
        <v>0</v>
      </c>
    </row>
    <row r="518" spans="1:10">
      <c r="A518" s="511" t="s">
        <v>1432</v>
      </c>
      <c r="B518" s="84" t="s">
        <v>1433</v>
      </c>
      <c r="C518">
        <v>517</v>
      </c>
      <c r="D518">
        <v>773</v>
      </c>
      <c r="F518" s="511" t="s">
        <v>1236</v>
      </c>
      <c r="G518" s="84" t="s">
        <v>1433</v>
      </c>
      <c r="H518">
        <v>517</v>
      </c>
      <c r="J518" t="b">
        <f t="shared" ref="J518:J535" si="17">A442=F518</f>
        <v>1</v>
      </c>
    </row>
    <row r="519" spans="1:10">
      <c r="A519" s="511" t="s">
        <v>1434</v>
      </c>
      <c r="B519" s="84" t="s">
        <v>1435</v>
      </c>
      <c r="C519">
        <v>518</v>
      </c>
      <c r="D519">
        <v>774</v>
      </c>
      <c r="F519" s="511" t="s">
        <v>1238</v>
      </c>
      <c r="G519" s="84" t="s">
        <v>1435</v>
      </c>
      <c r="H519">
        <v>518</v>
      </c>
      <c r="J519" t="b">
        <f t="shared" si="17"/>
        <v>1</v>
      </c>
    </row>
    <row r="520" spans="1:10">
      <c r="A520" s="511" t="s">
        <v>1436</v>
      </c>
      <c r="B520" s="84" t="s">
        <v>1437</v>
      </c>
      <c r="C520">
        <v>519</v>
      </c>
      <c r="D520">
        <v>775</v>
      </c>
      <c r="F520" s="511" t="s">
        <v>1240</v>
      </c>
      <c r="G520" s="84" t="s">
        <v>1437</v>
      </c>
      <c r="H520">
        <v>519</v>
      </c>
      <c r="J520" t="b">
        <f t="shared" si="17"/>
        <v>1</v>
      </c>
    </row>
    <row r="521" spans="1:10">
      <c r="A521" s="511" t="s">
        <v>1438</v>
      </c>
      <c r="B521" s="84" t="s">
        <v>1439</v>
      </c>
      <c r="C521">
        <v>520</v>
      </c>
      <c r="D521">
        <v>776</v>
      </c>
      <c r="F521" s="511" t="s">
        <v>1242</v>
      </c>
      <c r="G521" s="84" t="s">
        <v>1439</v>
      </c>
      <c r="H521">
        <v>520</v>
      </c>
      <c r="J521" t="b">
        <f t="shared" si="17"/>
        <v>1</v>
      </c>
    </row>
    <row r="522" spans="1:10">
      <c r="A522" s="511" t="s">
        <v>1440</v>
      </c>
      <c r="B522" s="84" t="s">
        <v>1441</v>
      </c>
      <c r="C522">
        <v>521</v>
      </c>
      <c r="D522">
        <v>777</v>
      </c>
      <c r="F522" s="511" t="s">
        <v>1244</v>
      </c>
      <c r="G522" s="84" t="s">
        <v>1441</v>
      </c>
      <c r="H522">
        <v>521</v>
      </c>
      <c r="J522" t="b">
        <f t="shared" si="17"/>
        <v>1</v>
      </c>
    </row>
    <row r="523" spans="1:10">
      <c r="A523" s="511" t="s">
        <v>1442</v>
      </c>
      <c r="B523" s="84" t="s">
        <v>1443</v>
      </c>
      <c r="C523">
        <v>522</v>
      </c>
      <c r="D523">
        <v>778</v>
      </c>
      <c r="F523" s="511" t="s">
        <v>1246</v>
      </c>
      <c r="G523" s="84" t="s">
        <v>1443</v>
      </c>
      <c r="H523">
        <v>522</v>
      </c>
      <c r="J523" t="b">
        <f t="shared" si="17"/>
        <v>1</v>
      </c>
    </row>
    <row r="524" spans="1:10">
      <c r="A524" s="511" t="s">
        <v>1444</v>
      </c>
      <c r="B524" s="84" t="s">
        <v>1445</v>
      </c>
      <c r="C524">
        <v>523</v>
      </c>
      <c r="D524">
        <v>779</v>
      </c>
      <c r="F524" s="511" t="s">
        <v>1248</v>
      </c>
      <c r="G524" s="84" t="s">
        <v>1445</v>
      </c>
      <c r="H524">
        <v>523</v>
      </c>
      <c r="J524" t="b">
        <f t="shared" si="17"/>
        <v>1</v>
      </c>
    </row>
    <row r="525" spans="1:10">
      <c r="A525" s="511" t="s">
        <v>1446</v>
      </c>
      <c r="B525" s="84" t="s">
        <v>1447</v>
      </c>
      <c r="C525">
        <v>524</v>
      </c>
      <c r="D525">
        <v>780</v>
      </c>
      <c r="E525" s="394" t="s">
        <v>840</v>
      </c>
      <c r="F525" s="511" t="s">
        <v>1250</v>
      </c>
      <c r="G525" s="84" t="s">
        <v>1447</v>
      </c>
      <c r="H525">
        <v>524</v>
      </c>
      <c r="J525" t="b">
        <f t="shared" si="17"/>
        <v>1</v>
      </c>
    </row>
    <row r="526" spans="1:10">
      <c r="A526" s="511" t="s">
        <v>1448</v>
      </c>
      <c r="B526" s="84" t="s">
        <v>1449</v>
      </c>
      <c r="C526">
        <v>525</v>
      </c>
      <c r="D526">
        <v>781</v>
      </c>
      <c r="E526" s="394" t="s">
        <v>840</v>
      </c>
      <c r="F526" s="511" t="s">
        <v>1450</v>
      </c>
      <c r="G526" s="84" t="s">
        <v>1449</v>
      </c>
      <c r="H526">
        <v>525</v>
      </c>
      <c r="I526" t="s">
        <v>840</v>
      </c>
      <c r="J526" t="b">
        <f t="shared" si="17"/>
        <v>0</v>
      </c>
    </row>
    <row r="527" spans="1:10">
      <c r="A527" s="511" t="s">
        <v>1451</v>
      </c>
      <c r="B527" s="84" t="s">
        <v>1452</v>
      </c>
      <c r="C527">
        <v>526</v>
      </c>
      <c r="D527">
        <v>784</v>
      </c>
      <c r="E527" s="394" t="s">
        <v>840</v>
      </c>
      <c r="F527" s="511" t="s">
        <v>1453</v>
      </c>
      <c r="G527" s="84" t="s">
        <v>1452</v>
      </c>
      <c r="H527">
        <v>526</v>
      </c>
      <c r="I527" t="s">
        <v>840</v>
      </c>
      <c r="J527" t="b">
        <f t="shared" si="17"/>
        <v>0</v>
      </c>
    </row>
    <row r="528" spans="1:10">
      <c r="A528" s="511" t="s">
        <v>1454</v>
      </c>
      <c r="B528" s="84" t="s">
        <v>1455</v>
      </c>
      <c r="C528">
        <v>527</v>
      </c>
      <c r="D528">
        <v>786</v>
      </c>
      <c r="E528" s="394" t="s">
        <v>840</v>
      </c>
      <c r="F528" s="511" t="s">
        <v>1456</v>
      </c>
      <c r="G528" s="84" t="s">
        <v>1455</v>
      </c>
      <c r="H528">
        <v>527</v>
      </c>
      <c r="I528" t="s">
        <v>370</v>
      </c>
      <c r="J528" t="b">
        <f t="shared" si="17"/>
        <v>0</v>
      </c>
    </row>
    <row r="529" spans="1:10">
      <c r="A529" s="511" t="s">
        <v>1457</v>
      </c>
      <c r="B529" s="84" t="s">
        <v>1458</v>
      </c>
      <c r="C529">
        <v>528</v>
      </c>
      <c r="D529">
        <v>787</v>
      </c>
      <c r="E529" s="394" t="s">
        <v>840</v>
      </c>
      <c r="F529" s="511" t="s">
        <v>1459</v>
      </c>
      <c r="G529" s="84" t="s">
        <v>1458</v>
      </c>
      <c r="H529">
        <v>528</v>
      </c>
      <c r="I529" t="s">
        <v>370</v>
      </c>
      <c r="J529" t="b">
        <f t="shared" si="17"/>
        <v>0</v>
      </c>
    </row>
    <row r="530" spans="1:10">
      <c r="A530" s="511" t="s">
        <v>1460</v>
      </c>
      <c r="B530" s="84" t="s">
        <v>1461</v>
      </c>
      <c r="C530">
        <v>529</v>
      </c>
      <c r="D530">
        <v>789</v>
      </c>
      <c r="E530" s="394" t="s">
        <v>840</v>
      </c>
      <c r="F530" s="511" t="s">
        <v>1462</v>
      </c>
      <c r="G530" s="84" t="s">
        <v>1461</v>
      </c>
      <c r="H530">
        <v>529</v>
      </c>
      <c r="I530" t="s">
        <v>840</v>
      </c>
      <c r="J530" t="b">
        <f t="shared" si="17"/>
        <v>0</v>
      </c>
    </row>
    <row r="531" spans="1:10">
      <c r="A531" s="511" t="s">
        <v>1463</v>
      </c>
      <c r="B531" s="84" t="s">
        <v>1464</v>
      </c>
      <c r="C531">
        <v>530</v>
      </c>
      <c r="D531">
        <v>790</v>
      </c>
      <c r="F531" s="511" t="s">
        <v>1465</v>
      </c>
      <c r="G531" s="84" t="s">
        <v>1464</v>
      </c>
      <c r="H531">
        <v>530</v>
      </c>
      <c r="I531" t="s">
        <v>370</v>
      </c>
      <c r="J531" t="b">
        <f t="shared" si="17"/>
        <v>0</v>
      </c>
    </row>
    <row r="532" spans="1:10">
      <c r="A532" s="511" t="s">
        <v>1466</v>
      </c>
      <c r="B532" s="84" t="s">
        <v>1467</v>
      </c>
      <c r="C532">
        <v>531</v>
      </c>
      <c r="D532">
        <v>791</v>
      </c>
      <c r="F532" s="511" t="s">
        <v>1468</v>
      </c>
      <c r="G532" s="84" t="s">
        <v>1467</v>
      </c>
      <c r="H532">
        <v>531</v>
      </c>
      <c r="I532" t="s">
        <v>840</v>
      </c>
      <c r="J532" t="b">
        <f t="shared" si="17"/>
        <v>0</v>
      </c>
    </row>
    <row r="533" spans="1:10">
      <c r="A533" s="511" t="s">
        <v>1469</v>
      </c>
      <c r="B533" s="84" t="s">
        <v>1470</v>
      </c>
      <c r="C533">
        <v>532</v>
      </c>
      <c r="D533">
        <v>792</v>
      </c>
      <c r="F533" s="511" t="s">
        <v>1471</v>
      </c>
      <c r="G533" s="84" t="s">
        <v>1470</v>
      </c>
      <c r="H533">
        <v>532</v>
      </c>
      <c r="I533" t="s">
        <v>840</v>
      </c>
      <c r="J533" t="b">
        <f t="shared" si="17"/>
        <v>0</v>
      </c>
    </row>
    <row r="534" spans="1:10">
      <c r="A534" s="511" t="s">
        <v>1472</v>
      </c>
      <c r="B534" s="84" t="s">
        <v>1473</v>
      </c>
      <c r="C534">
        <v>533</v>
      </c>
      <c r="D534">
        <v>793</v>
      </c>
      <c r="F534" s="511" t="s">
        <v>1474</v>
      </c>
      <c r="G534" s="84" t="s">
        <v>1473</v>
      </c>
      <c r="H534">
        <v>533</v>
      </c>
      <c r="I534" t="s">
        <v>370</v>
      </c>
      <c r="J534" t="b">
        <f t="shared" si="17"/>
        <v>0</v>
      </c>
    </row>
    <row r="535" spans="1:10">
      <c r="A535" s="511" t="s">
        <v>1475</v>
      </c>
      <c r="B535" s="84" t="s">
        <v>1476</v>
      </c>
      <c r="C535">
        <v>534</v>
      </c>
      <c r="D535">
        <v>794</v>
      </c>
      <c r="F535" s="511" t="s">
        <v>1477</v>
      </c>
      <c r="G535" s="84" t="s">
        <v>1476</v>
      </c>
      <c r="H535">
        <v>534</v>
      </c>
      <c r="I535" t="s">
        <v>840</v>
      </c>
      <c r="J535" t="b">
        <f t="shared" si="17"/>
        <v>0</v>
      </c>
    </row>
    <row r="536" spans="1:10">
      <c r="A536" s="511" t="s">
        <v>1478</v>
      </c>
      <c r="B536" s="84" t="s">
        <v>1479</v>
      </c>
      <c r="C536">
        <v>535</v>
      </c>
      <c r="D536">
        <v>795</v>
      </c>
      <c r="F536" s="511" t="s">
        <v>1480</v>
      </c>
      <c r="G536" s="84" t="s">
        <v>1479</v>
      </c>
      <c r="H536">
        <v>535</v>
      </c>
      <c r="J536" t="b">
        <f>A456=F536</f>
        <v>0</v>
      </c>
    </row>
    <row r="537" spans="1:10">
      <c r="A537" s="511" t="s">
        <v>1481</v>
      </c>
      <c r="B537" s="84" t="s">
        <v>1482</v>
      </c>
      <c r="C537">
        <v>536</v>
      </c>
      <c r="D537">
        <v>796</v>
      </c>
      <c r="F537" s="511" t="s">
        <v>1273</v>
      </c>
      <c r="G537" s="84" t="s">
        <v>1482</v>
      </c>
      <c r="H537">
        <v>536</v>
      </c>
      <c r="J537" t="b">
        <f t="shared" ref="J537:J554" si="18">A457=F537</f>
        <v>1</v>
      </c>
    </row>
    <row r="538" spans="1:10">
      <c r="A538" s="511" t="s">
        <v>1483</v>
      </c>
      <c r="B538" s="84" t="s">
        <v>1484</v>
      </c>
      <c r="C538">
        <v>537</v>
      </c>
      <c r="D538">
        <v>797</v>
      </c>
      <c r="F538" s="511" t="s">
        <v>1276</v>
      </c>
      <c r="G538" s="84" t="s">
        <v>1484</v>
      </c>
      <c r="H538">
        <v>537</v>
      </c>
      <c r="J538" t="b">
        <f t="shared" si="18"/>
        <v>1</v>
      </c>
    </row>
    <row r="539" spans="1:10">
      <c r="A539" s="511" t="s">
        <v>1485</v>
      </c>
      <c r="B539" s="84" t="s">
        <v>1486</v>
      </c>
      <c r="C539">
        <v>538</v>
      </c>
      <c r="D539">
        <v>798</v>
      </c>
      <c r="F539" s="511" t="s">
        <v>1279</v>
      </c>
      <c r="G539" s="84" t="s">
        <v>1486</v>
      </c>
      <c r="H539">
        <v>538</v>
      </c>
      <c r="J539" t="b">
        <f t="shared" si="18"/>
        <v>1</v>
      </c>
    </row>
    <row r="540" spans="1:10">
      <c r="A540" s="511" t="s">
        <v>1487</v>
      </c>
      <c r="B540" s="84" t="s">
        <v>1488</v>
      </c>
      <c r="C540">
        <v>539</v>
      </c>
      <c r="D540">
        <v>799</v>
      </c>
      <c r="E540" s="394" t="s">
        <v>840</v>
      </c>
      <c r="F540" s="511" t="s">
        <v>1282</v>
      </c>
      <c r="G540" s="84" t="s">
        <v>1488</v>
      </c>
      <c r="H540">
        <v>539</v>
      </c>
      <c r="J540" t="b">
        <f t="shared" si="18"/>
        <v>1</v>
      </c>
    </row>
    <row r="541" spans="1:10">
      <c r="A541" s="511" t="s">
        <v>1489</v>
      </c>
      <c r="B541" s="84" t="s">
        <v>1490</v>
      </c>
      <c r="C541">
        <v>540</v>
      </c>
      <c r="D541">
        <v>800</v>
      </c>
      <c r="E541" s="394" t="s">
        <v>840</v>
      </c>
      <c r="F541" s="511" t="s">
        <v>1285</v>
      </c>
      <c r="G541" s="84" t="s">
        <v>1490</v>
      </c>
      <c r="H541">
        <v>540</v>
      </c>
      <c r="J541" t="b">
        <f t="shared" si="18"/>
        <v>1</v>
      </c>
    </row>
    <row r="542" spans="1:10">
      <c r="A542" s="511" t="s">
        <v>1491</v>
      </c>
      <c r="B542" s="84" t="s">
        <v>1492</v>
      </c>
      <c r="C542">
        <v>541</v>
      </c>
      <c r="D542">
        <v>803</v>
      </c>
      <c r="E542" s="394" t="s">
        <v>840</v>
      </c>
      <c r="F542" s="511" t="s">
        <v>1287</v>
      </c>
      <c r="G542" s="84" t="s">
        <v>1492</v>
      </c>
      <c r="H542">
        <v>541</v>
      </c>
      <c r="J542" t="b">
        <f t="shared" si="18"/>
        <v>1</v>
      </c>
    </row>
    <row r="543" spans="1:10">
      <c r="A543" s="511" t="s">
        <v>1493</v>
      </c>
      <c r="B543" s="84" t="s">
        <v>1494</v>
      </c>
      <c r="C543">
        <v>542</v>
      </c>
      <c r="D543">
        <v>805</v>
      </c>
      <c r="E543" s="394" t="s">
        <v>840</v>
      </c>
      <c r="F543" s="511" t="s">
        <v>1289</v>
      </c>
      <c r="G543" s="84" t="s">
        <v>1494</v>
      </c>
      <c r="H543">
        <v>542</v>
      </c>
      <c r="J543" t="b">
        <f t="shared" si="18"/>
        <v>1</v>
      </c>
    </row>
    <row r="544" spans="1:10">
      <c r="A544" s="511" t="s">
        <v>1495</v>
      </c>
      <c r="B544" s="84" t="s">
        <v>1496</v>
      </c>
      <c r="C544">
        <v>543</v>
      </c>
      <c r="D544">
        <v>806</v>
      </c>
      <c r="E544" s="394" t="s">
        <v>840</v>
      </c>
      <c r="F544" s="511" t="s">
        <v>1291</v>
      </c>
      <c r="G544" s="84" t="s">
        <v>1496</v>
      </c>
      <c r="H544">
        <v>543</v>
      </c>
      <c r="J544" t="b">
        <f t="shared" si="18"/>
        <v>1</v>
      </c>
    </row>
    <row r="545" spans="1:10">
      <c r="A545" s="511" t="s">
        <v>1497</v>
      </c>
      <c r="B545" s="84" t="s">
        <v>1498</v>
      </c>
      <c r="C545">
        <v>544</v>
      </c>
      <c r="D545">
        <v>808</v>
      </c>
      <c r="E545" s="394" t="s">
        <v>840</v>
      </c>
      <c r="F545" s="511" t="s">
        <v>1499</v>
      </c>
      <c r="G545" s="84" t="s">
        <v>1498</v>
      </c>
      <c r="H545">
        <v>544</v>
      </c>
      <c r="I545" t="s">
        <v>840</v>
      </c>
      <c r="J545" t="b">
        <f t="shared" si="18"/>
        <v>0</v>
      </c>
    </row>
    <row r="546" spans="1:10">
      <c r="A546" s="511" t="s">
        <v>1500</v>
      </c>
      <c r="B546" s="84" t="s">
        <v>1501</v>
      </c>
      <c r="C546">
        <v>545</v>
      </c>
      <c r="D546">
        <v>809</v>
      </c>
      <c r="F546" s="511" t="s">
        <v>1502</v>
      </c>
      <c r="G546" s="84" t="s">
        <v>1501</v>
      </c>
      <c r="H546">
        <v>545</v>
      </c>
      <c r="I546" t="s">
        <v>840</v>
      </c>
      <c r="J546" t="b">
        <f t="shared" si="18"/>
        <v>0</v>
      </c>
    </row>
    <row r="547" spans="1:10">
      <c r="A547" s="511" t="s">
        <v>1503</v>
      </c>
      <c r="B547" s="84" t="s">
        <v>1504</v>
      </c>
      <c r="C547">
        <v>546</v>
      </c>
      <c r="D547">
        <v>810</v>
      </c>
      <c r="F547" s="511" t="s">
        <v>1505</v>
      </c>
      <c r="G547" s="84" t="s">
        <v>1504</v>
      </c>
      <c r="H547">
        <v>546</v>
      </c>
      <c r="I547" t="s">
        <v>370</v>
      </c>
      <c r="J547" t="b">
        <f t="shared" si="18"/>
        <v>0</v>
      </c>
    </row>
    <row r="548" spans="1:10">
      <c r="A548" s="511" t="s">
        <v>1506</v>
      </c>
      <c r="B548" s="84" t="s">
        <v>1507</v>
      </c>
      <c r="C548">
        <v>547</v>
      </c>
      <c r="D548">
        <v>811</v>
      </c>
      <c r="F548" s="511" t="s">
        <v>1508</v>
      </c>
      <c r="G548" s="84" t="s">
        <v>1507</v>
      </c>
      <c r="H548">
        <v>547</v>
      </c>
      <c r="I548" t="s">
        <v>370</v>
      </c>
      <c r="J548" t="b">
        <f t="shared" si="18"/>
        <v>0</v>
      </c>
    </row>
    <row r="549" spans="1:10">
      <c r="A549" s="511" t="s">
        <v>1509</v>
      </c>
      <c r="B549" s="84" t="s">
        <v>1510</v>
      </c>
      <c r="C549">
        <v>548</v>
      </c>
      <c r="D549">
        <v>812</v>
      </c>
      <c r="F549" s="511" t="s">
        <v>1511</v>
      </c>
      <c r="G549" s="84" t="s">
        <v>1510</v>
      </c>
      <c r="H549">
        <v>548</v>
      </c>
      <c r="I549" t="s">
        <v>840</v>
      </c>
      <c r="J549" t="b">
        <f t="shared" si="18"/>
        <v>0</v>
      </c>
    </row>
    <row r="550" spans="1:10">
      <c r="A550" s="511" t="s">
        <v>1512</v>
      </c>
      <c r="B550" s="84" t="s">
        <v>1513</v>
      </c>
      <c r="C550">
        <v>549</v>
      </c>
      <c r="D550">
        <v>813</v>
      </c>
      <c r="F550" s="511" t="s">
        <v>1514</v>
      </c>
      <c r="G550" s="84" t="s">
        <v>1513</v>
      </c>
      <c r="H550">
        <v>549</v>
      </c>
      <c r="I550" t="s">
        <v>370</v>
      </c>
      <c r="J550" t="b">
        <f t="shared" si="18"/>
        <v>0</v>
      </c>
    </row>
    <row r="551" spans="1:10">
      <c r="A551" s="511" t="s">
        <v>1515</v>
      </c>
      <c r="B551" s="84" t="s">
        <v>1516</v>
      </c>
      <c r="C551">
        <v>550</v>
      </c>
      <c r="D551">
        <v>814</v>
      </c>
      <c r="F551" s="511" t="s">
        <v>1517</v>
      </c>
      <c r="G551" s="84" t="s">
        <v>1516</v>
      </c>
      <c r="H551">
        <v>550</v>
      </c>
      <c r="I551" t="s">
        <v>840</v>
      </c>
      <c r="J551" t="b">
        <f t="shared" si="18"/>
        <v>0</v>
      </c>
    </row>
    <row r="552" spans="1:10">
      <c r="A552" s="511" t="s">
        <v>1518</v>
      </c>
      <c r="B552" s="84" t="s">
        <v>1519</v>
      </c>
      <c r="C552">
        <v>551</v>
      </c>
      <c r="D552">
        <v>815</v>
      </c>
      <c r="F552" s="511" t="s">
        <v>1520</v>
      </c>
      <c r="G552" s="84" t="s">
        <v>1519</v>
      </c>
      <c r="H552">
        <v>551</v>
      </c>
      <c r="I552" t="s">
        <v>840</v>
      </c>
      <c r="J552" t="b">
        <f t="shared" si="18"/>
        <v>0</v>
      </c>
    </row>
    <row r="553" spans="1:10">
      <c r="A553" s="511" t="s">
        <v>1521</v>
      </c>
      <c r="B553" s="84" t="s">
        <v>1522</v>
      </c>
      <c r="C553">
        <v>552</v>
      </c>
      <c r="D553">
        <v>816</v>
      </c>
      <c r="F553" s="511" t="s">
        <v>1523</v>
      </c>
      <c r="G553" s="84" t="s">
        <v>1522</v>
      </c>
      <c r="H553">
        <v>552</v>
      </c>
      <c r="I553" t="s">
        <v>370</v>
      </c>
      <c r="J553" t="b">
        <f t="shared" si="18"/>
        <v>0</v>
      </c>
    </row>
    <row r="554" spans="1:10">
      <c r="A554" s="511" t="s">
        <v>1524</v>
      </c>
      <c r="B554" s="84" t="s">
        <v>1525</v>
      </c>
      <c r="C554">
        <v>553</v>
      </c>
      <c r="D554">
        <v>817</v>
      </c>
      <c r="F554" s="511" t="s">
        <v>1526</v>
      </c>
      <c r="G554" s="84" t="s">
        <v>1525</v>
      </c>
      <c r="H554">
        <v>553</v>
      </c>
      <c r="I554" t="s">
        <v>840</v>
      </c>
      <c r="J554" t="b">
        <f t="shared" si="18"/>
        <v>0</v>
      </c>
    </row>
    <row r="555" spans="1:10">
      <c r="A555" s="511" t="s">
        <v>1527</v>
      </c>
      <c r="B555" s="84" t="s">
        <v>1528</v>
      </c>
      <c r="C555">
        <v>554</v>
      </c>
      <c r="D555">
        <v>818</v>
      </c>
      <c r="E555" s="394" t="s">
        <v>840</v>
      </c>
      <c r="F555" s="511" t="s">
        <v>1529</v>
      </c>
      <c r="G555" s="84" t="s">
        <v>1528</v>
      </c>
      <c r="H555">
        <v>554</v>
      </c>
      <c r="J555" t="b">
        <f>A471=F555</f>
        <v>0</v>
      </c>
    </row>
    <row r="556" spans="1:10">
      <c r="A556" s="511" t="s">
        <v>1530</v>
      </c>
      <c r="B556" s="84" t="s">
        <v>1531</v>
      </c>
      <c r="C556">
        <v>555</v>
      </c>
      <c r="D556">
        <v>819</v>
      </c>
      <c r="E556" s="394" t="s">
        <v>840</v>
      </c>
      <c r="F556" s="511" t="s">
        <v>1310</v>
      </c>
      <c r="G556" s="84" t="s">
        <v>1531</v>
      </c>
      <c r="H556">
        <v>555</v>
      </c>
      <c r="J556" t="b">
        <f t="shared" ref="J556:J573" si="19">A472=F556</f>
        <v>1</v>
      </c>
    </row>
    <row r="557" spans="1:10">
      <c r="A557" s="511" t="s">
        <v>1532</v>
      </c>
      <c r="B557" s="84" t="s">
        <v>1533</v>
      </c>
      <c r="C557">
        <v>556</v>
      </c>
      <c r="D557">
        <v>822</v>
      </c>
      <c r="E557" s="394" t="s">
        <v>840</v>
      </c>
      <c r="F557" s="511" t="s">
        <v>1313</v>
      </c>
      <c r="G557" s="84" t="s">
        <v>1533</v>
      </c>
      <c r="H557">
        <v>556</v>
      </c>
      <c r="J557" t="b">
        <f t="shared" si="19"/>
        <v>1</v>
      </c>
    </row>
    <row r="558" spans="1:10">
      <c r="A558" s="511" t="s">
        <v>1534</v>
      </c>
      <c r="B558" s="84" t="s">
        <v>1535</v>
      </c>
      <c r="C558">
        <v>557</v>
      </c>
      <c r="D558">
        <v>824</v>
      </c>
      <c r="E558" s="394" t="s">
        <v>840</v>
      </c>
      <c r="F558" s="511" t="s">
        <v>1316</v>
      </c>
      <c r="G558" s="84" t="s">
        <v>1535</v>
      </c>
      <c r="H558">
        <v>557</v>
      </c>
      <c r="J558" t="b">
        <f t="shared" si="19"/>
        <v>1</v>
      </c>
    </row>
    <row r="559" spans="1:10">
      <c r="A559" s="511" t="s">
        <v>1536</v>
      </c>
      <c r="B559" s="84" t="s">
        <v>1537</v>
      </c>
      <c r="C559">
        <v>558</v>
      </c>
      <c r="D559">
        <v>825</v>
      </c>
      <c r="E559" s="394" t="s">
        <v>840</v>
      </c>
      <c r="F559" s="511" t="s">
        <v>1319</v>
      </c>
      <c r="G559" s="84" t="s">
        <v>1537</v>
      </c>
      <c r="H559">
        <v>558</v>
      </c>
      <c r="J559" t="b">
        <f t="shared" si="19"/>
        <v>1</v>
      </c>
    </row>
    <row r="560" spans="1:10">
      <c r="A560" s="511" t="s">
        <v>1538</v>
      </c>
      <c r="B560" s="84" t="s">
        <v>1539</v>
      </c>
      <c r="C560">
        <v>559</v>
      </c>
      <c r="D560">
        <v>827</v>
      </c>
      <c r="E560" s="394" t="s">
        <v>840</v>
      </c>
      <c r="F560" s="511" t="s">
        <v>1322</v>
      </c>
      <c r="G560" s="84" t="s">
        <v>1539</v>
      </c>
      <c r="H560">
        <v>559</v>
      </c>
      <c r="J560" t="b">
        <f t="shared" si="19"/>
        <v>1</v>
      </c>
    </row>
    <row r="561" spans="1:10">
      <c r="A561" s="511" t="s">
        <v>1540</v>
      </c>
      <c r="B561" s="84" t="s">
        <v>1541</v>
      </c>
      <c r="C561">
        <v>560</v>
      </c>
      <c r="D561">
        <v>828</v>
      </c>
      <c r="F561" s="511" t="s">
        <v>1325</v>
      </c>
      <c r="G561" s="84" t="s">
        <v>1541</v>
      </c>
      <c r="H561">
        <v>560</v>
      </c>
      <c r="J561" t="b">
        <f t="shared" si="19"/>
        <v>1</v>
      </c>
    </row>
    <row r="562" spans="1:10">
      <c r="A562" s="511" t="s">
        <v>1542</v>
      </c>
      <c r="B562" s="84" t="s">
        <v>1543</v>
      </c>
      <c r="C562">
        <v>561</v>
      </c>
      <c r="D562">
        <v>829</v>
      </c>
      <c r="F562" s="511" t="s">
        <v>1328</v>
      </c>
      <c r="G562" s="84" t="s">
        <v>1543</v>
      </c>
      <c r="H562">
        <v>561</v>
      </c>
      <c r="J562" t="b">
        <f t="shared" si="19"/>
        <v>1</v>
      </c>
    </row>
    <row r="563" spans="1:10">
      <c r="A563" s="511" t="s">
        <v>1544</v>
      </c>
      <c r="B563" s="84" t="s">
        <v>1545</v>
      </c>
      <c r="C563">
        <v>562</v>
      </c>
      <c r="D563">
        <v>830</v>
      </c>
      <c r="F563" s="511" t="s">
        <v>1331</v>
      </c>
      <c r="G563" s="84" t="s">
        <v>1545</v>
      </c>
      <c r="H563">
        <v>562</v>
      </c>
      <c r="J563" t="b">
        <f t="shared" si="19"/>
        <v>1</v>
      </c>
    </row>
    <row r="564" spans="1:10">
      <c r="A564" s="511" t="s">
        <v>1546</v>
      </c>
      <c r="B564" s="84" t="s">
        <v>1547</v>
      </c>
      <c r="C564">
        <v>563</v>
      </c>
      <c r="D564">
        <v>831</v>
      </c>
      <c r="F564" s="511" t="s">
        <v>1548</v>
      </c>
      <c r="G564" s="84" t="s">
        <v>1547</v>
      </c>
      <c r="H564">
        <v>563</v>
      </c>
      <c r="I564" t="s">
        <v>840</v>
      </c>
      <c r="J564" t="b">
        <f t="shared" si="19"/>
        <v>0</v>
      </c>
    </row>
    <row r="565" spans="1:10">
      <c r="A565" s="511" t="s">
        <v>1549</v>
      </c>
      <c r="B565" s="84" t="s">
        <v>1550</v>
      </c>
      <c r="C565">
        <v>564</v>
      </c>
      <c r="D565">
        <v>832</v>
      </c>
      <c r="F565" s="511" t="s">
        <v>1551</v>
      </c>
      <c r="G565" s="84" t="s">
        <v>1550</v>
      </c>
      <c r="H565">
        <v>564</v>
      </c>
      <c r="I565" t="s">
        <v>840</v>
      </c>
      <c r="J565" t="b">
        <f t="shared" si="19"/>
        <v>0</v>
      </c>
    </row>
    <row r="566" spans="1:10">
      <c r="A566" s="511" t="s">
        <v>1552</v>
      </c>
      <c r="B566" s="84" t="s">
        <v>1553</v>
      </c>
      <c r="C566">
        <v>565</v>
      </c>
      <c r="D566">
        <v>833</v>
      </c>
      <c r="F566" s="511" t="s">
        <v>1554</v>
      </c>
      <c r="G566" s="84" t="s">
        <v>1553</v>
      </c>
      <c r="H566">
        <v>565</v>
      </c>
      <c r="I566" t="s">
        <v>370</v>
      </c>
      <c r="J566" t="b">
        <f t="shared" si="19"/>
        <v>0</v>
      </c>
    </row>
    <row r="567" spans="1:10">
      <c r="A567" s="511" t="s">
        <v>1555</v>
      </c>
      <c r="B567" s="84" t="s">
        <v>1556</v>
      </c>
      <c r="C567">
        <v>566</v>
      </c>
      <c r="D567">
        <v>834</v>
      </c>
      <c r="F567" s="511" t="s">
        <v>1557</v>
      </c>
      <c r="G567" s="84" t="s">
        <v>1556</v>
      </c>
      <c r="H567">
        <v>566</v>
      </c>
      <c r="I567" t="s">
        <v>370</v>
      </c>
      <c r="J567" t="b">
        <f t="shared" si="19"/>
        <v>0</v>
      </c>
    </row>
    <row r="568" spans="1:10">
      <c r="A568" s="511" t="s">
        <v>1558</v>
      </c>
      <c r="B568" s="84" t="s">
        <v>1559</v>
      </c>
      <c r="C568">
        <v>567</v>
      </c>
      <c r="D568">
        <v>835</v>
      </c>
      <c r="F568" s="511" t="s">
        <v>1560</v>
      </c>
      <c r="G568" s="84" t="s">
        <v>1559</v>
      </c>
      <c r="H568">
        <v>567</v>
      </c>
      <c r="I568" t="s">
        <v>840</v>
      </c>
      <c r="J568" t="b">
        <f t="shared" si="19"/>
        <v>0</v>
      </c>
    </row>
    <row r="569" spans="1:10">
      <c r="A569" s="511" t="s">
        <v>1561</v>
      </c>
      <c r="B569" s="84" t="s">
        <v>1562</v>
      </c>
      <c r="C569">
        <v>568</v>
      </c>
      <c r="D569">
        <v>836</v>
      </c>
      <c r="F569" s="511" t="s">
        <v>1563</v>
      </c>
      <c r="G569" s="84" t="s">
        <v>1562</v>
      </c>
      <c r="H569">
        <v>568</v>
      </c>
      <c r="I569" t="s">
        <v>370</v>
      </c>
      <c r="J569" t="b">
        <f t="shared" si="19"/>
        <v>0</v>
      </c>
    </row>
    <row r="570" spans="1:10">
      <c r="A570" s="511" t="s">
        <v>1564</v>
      </c>
      <c r="B570" s="84" t="s">
        <v>1565</v>
      </c>
      <c r="C570">
        <v>569</v>
      </c>
      <c r="D570">
        <v>837</v>
      </c>
      <c r="E570" s="394" t="s">
        <v>840</v>
      </c>
      <c r="F570" s="511" t="s">
        <v>1566</v>
      </c>
      <c r="G570" s="84" t="s">
        <v>1565</v>
      </c>
      <c r="H570">
        <v>569</v>
      </c>
      <c r="I570" t="s">
        <v>840</v>
      </c>
      <c r="J570" t="b">
        <f t="shared" si="19"/>
        <v>0</v>
      </c>
    </row>
    <row r="571" spans="1:10">
      <c r="A571" s="511" t="s">
        <v>1567</v>
      </c>
      <c r="B571" s="84" t="s">
        <v>1568</v>
      </c>
      <c r="C571">
        <v>570</v>
      </c>
      <c r="D571">
        <v>838</v>
      </c>
      <c r="E571" s="394" t="s">
        <v>840</v>
      </c>
      <c r="F571" s="511" t="s">
        <v>1569</v>
      </c>
      <c r="G571" s="84" t="s">
        <v>1568</v>
      </c>
      <c r="H571">
        <v>570</v>
      </c>
      <c r="I571" t="s">
        <v>840</v>
      </c>
      <c r="J571" t="b">
        <f t="shared" si="19"/>
        <v>0</v>
      </c>
    </row>
    <row r="572" spans="1:10">
      <c r="A572" s="511" t="s">
        <v>1570</v>
      </c>
      <c r="B572" s="84" t="s">
        <v>1571</v>
      </c>
      <c r="C572">
        <v>571</v>
      </c>
      <c r="D572">
        <v>841</v>
      </c>
      <c r="E572" s="394" t="s">
        <v>840</v>
      </c>
      <c r="F572" s="511" t="s">
        <v>1572</v>
      </c>
      <c r="G572" s="84" t="s">
        <v>1571</v>
      </c>
      <c r="H572">
        <v>571</v>
      </c>
      <c r="I572" t="s">
        <v>370</v>
      </c>
      <c r="J572" t="b">
        <f t="shared" si="19"/>
        <v>0</v>
      </c>
    </row>
    <row r="573" spans="1:10">
      <c r="A573" s="511" t="s">
        <v>1573</v>
      </c>
      <c r="B573" s="84" t="s">
        <v>1574</v>
      </c>
      <c r="C573">
        <v>572</v>
      </c>
      <c r="D573">
        <v>843</v>
      </c>
      <c r="E573" s="394" t="s">
        <v>840</v>
      </c>
      <c r="F573" s="511" t="s">
        <v>1575</v>
      </c>
      <c r="G573" s="84" t="s">
        <v>1574</v>
      </c>
      <c r="H573">
        <v>572</v>
      </c>
      <c r="I573" t="s">
        <v>840</v>
      </c>
      <c r="J573" t="b">
        <f t="shared" si="19"/>
        <v>0</v>
      </c>
    </row>
    <row r="574" spans="1:10">
      <c r="A574" s="511" t="s">
        <v>1576</v>
      </c>
      <c r="B574" s="84" t="s">
        <v>1577</v>
      </c>
      <c r="C574">
        <v>573</v>
      </c>
      <c r="D574">
        <v>844</v>
      </c>
      <c r="E574" s="394" t="s">
        <v>840</v>
      </c>
      <c r="F574" s="511" t="s">
        <v>1578</v>
      </c>
      <c r="G574" s="84" t="s">
        <v>1577</v>
      </c>
      <c r="H574">
        <v>573</v>
      </c>
      <c r="J574" t="b">
        <f>A486=F574</f>
        <v>0</v>
      </c>
    </row>
    <row r="575" spans="1:10">
      <c r="A575" s="511" t="s">
        <v>1579</v>
      </c>
      <c r="B575" s="84" t="s">
        <v>1580</v>
      </c>
      <c r="C575">
        <v>574</v>
      </c>
      <c r="D575">
        <v>846</v>
      </c>
      <c r="E575" s="394" t="s">
        <v>840</v>
      </c>
      <c r="F575" s="511" t="s">
        <v>1348</v>
      </c>
      <c r="G575" s="84" t="s">
        <v>1580</v>
      </c>
      <c r="H575">
        <v>574</v>
      </c>
      <c r="J575" t="b">
        <f t="shared" ref="J575:J592" si="20">A487=F575</f>
        <v>1</v>
      </c>
    </row>
    <row r="576" spans="1:10">
      <c r="A576" s="511" t="s">
        <v>1581</v>
      </c>
      <c r="B576" s="84" t="s">
        <v>1582</v>
      </c>
      <c r="C576">
        <v>575</v>
      </c>
      <c r="D576">
        <v>847</v>
      </c>
      <c r="F576" s="511" t="s">
        <v>1350</v>
      </c>
      <c r="G576" s="84" t="s">
        <v>1582</v>
      </c>
      <c r="H576">
        <v>575</v>
      </c>
      <c r="J576" t="b">
        <f t="shared" si="20"/>
        <v>1</v>
      </c>
    </row>
    <row r="577" spans="1:10">
      <c r="A577" s="511" t="s">
        <v>1583</v>
      </c>
      <c r="B577" s="84" t="s">
        <v>1584</v>
      </c>
      <c r="C577">
        <v>576</v>
      </c>
      <c r="D577">
        <v>848</v>
      </c>
      <c r="F577" s="511" t="s">
        <v>1353</v>
      </c>
      <c r="G577" s="84" t="s">
        <v>1584</v>
      </c>
      <c r="H577">
        <v>576</v>
      </c>
      <c r="J577" t="b">
        <f t="shared" si="20"/>
        <v>1</v>
      </c>
    </row>
    <row r="578" spans="1:10">
      <c r="A578" s="511" t="s">
        <v>1585</v>
      </c>
      <c r="B578" s="84" t="s">
        <v>1586</v>
      </c>
      <c r="C578">
        <v>577</v>
      </c>
      <c r="D578">
        <v>849</v>
      </c>
      <c r="F578" s="511" t="s">
        <v>1356</v>
      </c>
      <c r="G578" s="84" t="s">
        <v>1586</v>
      </c>
      <c r="H578">
        <v>577</v>
      </c>
      <c r="J578" t="b">
        <f t="shared" si="20"/>
        <v>1</v>
      </c>
    </row>
    <row r="579" spans="1:10">
      <c r="A579" s="511" t="s">
        <v>1587</v>
      </c>
      <c r="B579" s="84" t="s">
        <v>1588</v>
      </c>
      <c r="C579">
        <v>578</v>
      </c>
      <c r="D579">
        <v>850</v>
      </c>
      <c r="F579" s="511" t="s">
        <v>1359</v>
      </c>
      <c r="G579" s="84" t="s">
        <v>1588</v>
      </c>
      <c r="H579">
        <v>578</v>
      </c>
      <c r="J579" t="b">
        <f t="shared" si="20"/>
        <v>1</v>
      </c>
    </row>
    <row r="580" spans="1:10">
      <c r="A580" s="511" t="s">
        <v>1589</v>
      </c>
      <c r="B580" s="84" t="s">
        <v>1590</v>
      </c>
      <c r="C580">
        <v>579</v>
      </c>
      <c r="D580">
        <v>851</v>
      </c>
      <c r="F580" s="511" t="s">
        <v>1362</v>
      </c>
      <c r="G580" s="84" t="s">
        <v>1590</v>
      </c>
      <c r="H580">
        <v>579</v>
      </c>
      <c r="J580" t="b">
        <f t="shared" si="20"/>
        <v>1</v>
      </c>
    </row>
    <row r="581" spans="1:10">
      <c r="A581" s="511" t="s">
        <v>1591</v>
      </c>
      <c r="B581" s="84" t="s">
        <v>1592</v>
      </c>
      <c r="C581">
        <v>580</v>
      </c>
      <c r="D581">
        <v>852</v>
      </c>
      <c r="F581" s="511" t="s">
        <v>1365</v>
      </c>
      <c r="G581" s="84" t="s">
        <v>1592</v>
      </c>
      <c r="H581">
        <v>580</v>
      </c>
      <c r="J581" t="b">
        <f t="shared" si="20"/>
        <v>1</v>
      </c>
    </row>
    <row r="582" spans="1:10">
      <c r="A582" s="511" t="s">
        <v>1593</v>
      </c>
      <c r="B582" s="84" t="s">
        <v>1594</v>
      </c>
      <c r="C582">
        <v>581</v>
      </c>
      <c r="D582">
        <v>853</v>
      </c>
      <c r="F582" s="511" t="s">
        <v>1368</v>
      </c>
      <c r="G582" s="84" t="s">
        <v>1594</v>
      </c>
      <c r="H582">
        <v>581</v>
      </c>
      <c r="J582" t="b">
        <f t="shared" si="20"/>
        <v>1</v>
      </c>
    </row>
    <row r="583" spans="1:10">
      <c r="A583" s="511" t="s">
        <v>1595</v>
      </c>
      <c r="B583" s="84" t="s">
        <v>1596</v>
      </c>
      <c r="C583">
        <v>582</v>
      </c>
      <c r="D583">
        <v>854</v>
      </c>
      <c r="E583" s="394" t="s">
        <v>840</v>
      </c>
      <c r="F583" s="511" t="s">
        <v>1597</v>
      </c>
      <c r="G583" s="84" t="s">
        <v>1596</v>
      </c>
      <c r="H583">
        <v>582</v>
      </c>
      <c r="I583" t="s">
        <v>840</v>
      </c>
      <c r="J583" t="b">
        <f t="shared" si="20"/>
        <v>0</v>
      </c>
    </row>
    <row r="584" spans="1:10">
      <c r="A584" s="511" t="s">
        <v>1598</v>
      </c>
      <c r="B584" s="84" t="s">
        <v>1599</v>
      </c>
      <c r="C584">
        <v>583</v>
      </c>
      <c r="D584">
        <v>855</v>
      </c>
      <c r="E584" s="394" t="s">
        <v>840</v>
      </c>
      <c r="F584" s="511" t="s">
        <v>1600</v>
      </c>
      <c r="G584" s="84" t="s">
        <v>1599</v>
      </c>
      <c r="H584">
        <v>583</v>
      </c>
      <c r="I584" t="s">
        <v>840</v>
      </c>
      <c r="J584" t="b">
        <f t="shared" si="20"/>
        <v>0</v>
      </c>
    </row>
    <row r="585" spans="1:10">
      <c r="A585" s="511" t="s">
        <v>1601</v>
      </c>
      <c r="B585" s="84" t="s">
        <v>1602</v>
      </c>
      <c r="C585">
        <v>584</v>
      </c>
      <c r="D585">
        <v>856</v>
      </c>
      <c r="E585" s="394" t="s">
        <v>840</v>
      </c>
      <c r="F585" s="511" t="s">
        <v>1603</v>
      </c>
      <c r="G585" s="84" t="s">
        <v>1602</v>
      </c>
      <c r="H585">
        <v>584</v>
      </c>
      <c r="I585" t="s">
        <v>370</v>
      </c>
      <c r="J585" t="b">
        <f t="shared" si="20"/>
        <v>0</v>
      </c>
    </row>
    <row r="586" spans="1:10">
      <c r="A586" s="511" t="s">
        <v>1604</v>
      </c>
      <c r="B586" s="84" t="s">
        <v>1605</v>
      </c>
      <c r="C586">
        <v>585</v>
      </c>
      <c r="D586">
        <v>857</v>
      </c>
      <c r="E586" s="394" t="s">
        <v>840</v>
      </c>
      <c r="F586" s="511" t="s">
        <v>1606</v>
      </c>
      <c r="G586" s="84" t="s">
        <v>1605</v>
      </c>
      <c r="H586">
        <v>585</v>
      </c>
      <c r="I586" t="s">
        <v>370</v>
      </c>
      <c r="J586" t="b">
        <f t="shared" si="20"/>
        <v>0</v>
      </c>
    </row>
    <row r="587" spans="1:10">
      <c r="A587" s="511" t="s">
        <v>1607</v>
      </c>
      <c r="B587" s="84" t="s">
        <v>1608</v>
      </c>
      <c r="C587">
        <v>586</v>
      </c>
      <c r="D587">
        <v>858</v>
      </c>
      <c r="E587" s="394" t="s">
        <v>840</v>
      </c>
      <c r="F587" s="511" t="s">
        <v>1609</v>
      </c>
      <c r="G587" s="84" t="s">
        <v>1608</v>
      </c>
      <c r="H587">
        <v>586</v>
      </c>
      <c r="I587" t="s">
        <v>840</v>
      </c>
      <c r="J587" t="b">
        <f t="shared" si="20"/>
        <v>0</v>
      </c>
    </row>
    <row r="588" spans="1:10">
      <c r="A588" s="511" t="s">
        <v>1610</v>
      </c>
      <c r="B588" s="84" t="s">
        <v>1611</v>
      </c>
      <c r="C588">
        <v>587</v>
      </c>
      <c r="D588">
        <v>859</v>
      </c>
      <c r="E588" s="394" t="s">
        <v>840</v>
      </c>
      <c r="F588" s="511" t="s">
        <v>1612</v>
      </c>
      <c r="G588" s="84" t="s">
        <v>1611</v>
      </c>
      <c r="H588">
        <v>587</v>
      </c>
      <c r="I588" t="s">
        <v>370</v>
      </c>
      <c r="J588" t="b">
        <f t="shared" si="20"/>
        <v>0</v>
      </c>
    </row>
    <row r="589" spans="1:10">
      <c r="A589" s="511" t="s">
        <v>1613</v>
      </c>
      <c r="B589" s="84" t="s">
        <v>1614</v>
      </c>
      <c r="C589">
        <v>588</v>
      </c>
      <c r="D589">
        <v>860</v>
      </c>
      <c r="E589" s="394"/>
      <c r="F589" s="511" t="s">
        <v>1615</v>
      </c>
      <c r="G589" s="84" t="s">
        <v>1614</v>
      </c>
      <c r="H589">
        <v>588</v>
      </c>
      <c r="I589" t="s">
        <v>840</v>
      </c>
      <c r="J589" t="b">
        <f t="shared" si="20"/>
        <v>0</v>
      </c>
    </row>
    <row r="590" spans="1:10">
      <c r="A590" s="511" t="s">
        <v>1616</v>
      </c>
      <c r="B590" s="84" t="s">
        <v>1617</v>
      </c>
      <c r="C590">
        <v>589</v>
      </c>
      <c r="D590">
        <v>861</v>
      </c>
      <c r="E590" s="394"/>
      <c r="F590" s="511" t="s">
        <v>1618</v>
      </c>
      <c r="G590" s="84" t="s">
        <v>1617</v>
      </c>
      <c r="H590">
        <v>589</v>
      </c>
      <c r="I590" t="s">
        <v>840</v>
      </c>
      <c r="J590" t="b">
        <f t="shared" si="20"/>
        <v>0</v>
      </c>
    </row>
    <row r="591" spans="1:10">
      <c r="A591" s="511" t="s">
        <v>1619</v>
      </c>
      <c r="B591" s="84" t="s">
        <v>1620</v>
      </c>
      <c r="C591">
        <v>590</v>
      </c>
      <c r="D591">
        <v>862</v>
      </c>
      <c r="E591" s="394"/>
      <c r="F591" s="511" t="s">
        <v>1621</v>
      </c>
      <c r="G591" s="84" t="s">
        <v>1620</v>
      </c>
      <c r="H591">
        <v>590</v>
      </c>
      <c r="I591" t="s">
        <v>370</v>
      </c>
      <c r="J591" t="b">
        <f t="shared" si="20"/>
        <v>0</v>
      </c>
    </row>
    <row r="592" spans="1:10">
      <c r="A592" s="511" t="s">
        <v>1622</v>
      </c>
      <c r="B592" s="84" t="s">
        <v>1623</v>
      </c>
      <c r="C592">
        <v>591</v>
      </c>
      <c r="D592">
        <v>863</v>
      </c>
      <c r="F592" s="511" t="s">
        <v>1624</v>
      </c>
      <c r="G592" s="84" t="s">
        <v>1623</v>
      </c>
      <c r="H592">
        <v>591</v>
      </c>
      <c r="I592" t="s">
        <v>840</v>
      </c>
      <c r="J592" t="b">
        <f t="shared" si="20"/>
        <v>0</v>
      </c>
    </row>
    <row r="593" spans="1:10">
      <c r="A593" s="511" t="s">
        <v>1625</v>
      </c>
      <c r="B593" s="84" t="s">
        <v>1626</v>
      </c>
      <c r="C593">
        <v>592</v>
      </c>
      <c r="D593">
        <v>864</v>
      </c>
      <c r="F593" s="511" t="s">
        <v>1627</v>
      </c>
      <c r="G593" s="84" t="s">
        <v>1626</v>
      </c>
      <c r="H593">
        <v>592</v>
      </c>
      <c r="J593" t="b">
        <f>A501=F593</f>
        <v>0</v>
      </c>
    </row>
    <row r="594" spans="1:10">
      <c r="A594" s="511" t="s">
        <v>1628</v>
      </c>
      <c r="B594" s="84" t="s">
        <v>1629</v>
      </c>
      <c r="C594">
        <v>593</v>
      </c>
      <c r="D594">
        <v>865</v>
      </c>
      <c r="F594" s="511" t="s">
        <v>1389</v>
      </c>
      <c r="G594" s="84" t="s">
        <v>1629</v>
      </c>
      <c r="H594">
        <v>593</v>
      </c>
      <c r="J594" t="b">
        <f t="shared" ref="J594:J595" si="21">A502=F594</f>
        <v>1</v>
      </c>
    </row>
    <row r="595" spans="1:10">
      <c r="A595" s="511" t="s">
        <v>1630</v>
      </c>
      <c r="B595" s="84" t="s">
        <v>1631</v>
      </c>
      <c r="C595">
        <v>594</v>
      </c>
      <c r="D595">
        <v>866</v>
      </c>
      <c r="F595" s="511" t="s">
        <v>1391</v>
      </c>
      <c r="G595" s="84" t="s">
        <v>1631</v>
      </c>
      <c r="H595">
        <v>594</v>
      </c>
      <c r="J595" t="b">
        <f t="shared" si="21"/>
        <v>1</v>
      </c>
    </row>
    <row r="596" spans="1:10">
      <c r="A596" s="511" t="s">
        <v>1632</v>
      </c>
      <c r="B596" s="84" t="s">
        <v>1633</v>
      </c>
      <c r="C596">
        <v>595</v>
      </c>
      <c r="D596">
        <v>867</v>
      </c>
      <c r="E596" s="394" t="s">
        <v>840</v>
      </c>
      <c r="F596" s="511" t="s">
        <v>826</v>
      </c>
      <c r="G596" s="84" t="s">
        <v>1633</v>
      </c>
      <c r="H596">
        <v>595</v>
      </c>
      <c r="I596" s="394" t="s">
        <v>370</v>
      </c>
    </row>
    <row r="597" spans="1:10">
      <c r="A597" s="511" t="s">
        <v>1634</v>
      </c>
      <c r="B597" s="84" t="s">
        <v>1635</v>
      </c>
      <c r="C597">
        <v>596</v>
      </c>
      <c r="D597">
        <v>868</v>
      </c>
      <c r="E597" s="394" t="s">
        <v>840</v>
      </c>
      <c r="F597" s="511" t="s">
        <v>828</v>
      </c>
      <c r="G597" s="84" t="s">
        <v>1635</v>
      </c>
      <c r="H597">
        <v>596</v>
      </c>
      <c r="I597" s="394" t="s">
        <v>370</v>
      </c>
    </row>
    <row r="598" spans="1:10">
      <c r="A598" s="511" t="s">
        <v>1636</v>
      </c>
      <c r="B598" s="84" t="s">
        <v>1637</v>
      </c>
      <c r="C598">
        <v>597</v>
      </c>
      <c r="D598">
        <v>869</v>
      </c>
      <c r="E598" s="394" t="s">
        <v>840</v>
      </c>
      <c r="F598" s="511" t="s">
        <v>830</v>
      </c>
      <c r="G598" s="84" t="s">
        <v>1637</v>
      </c>
      <c r="H598">
        <v>597</v>
      </c>
      <c r="I598" s="394" t="s">
        <v>370</v>
      </c>
    </row>
    <row r="599" spans="1:10">
      <c r="A599" s="511" t="s">
        <v>1638</v>
      </c>
      <c r="B599" s="84" t="s">
        <v>1639</v>
      </c>
      <c r="C599">
        <v>598</v>
      </c>
      <c r="D599">
        <v>870</v>
      </c>
      <c r="E599" s="394" t="s">
        <v>840</v>
      </c>
      <c r="F599" s="511" t="s">
        <v>832</v>
      </c>
      <c r="G599" s="84" t="s">
        <v>1639</v>
      </c>
      <c r="H599">
        <v>598</v>
      </c>
      <c r="I599" s="394" t="s">
        <v>370</v>
      </c>
    </row>
    <row r="600" spans="1:10">
      <c r="A600" s="511" t="s">
        <v>1640</v>
      </c>
      <c r="B600" s="84" t="s">
        <v>1641</v>
      </c>
      <c r="C600">
        <v>599</v>
      </c>
      <c r="D600">
        <v>871</v>
      </c>
      <c r="E600" s="394" t="s">
        <v>840</v>
      </c>
      <c r="F600" s="511" t="s">
        <v>834</v>
      </c>
      <c r="G600" s="84" t="s">
        <v>1641</v>
      </c>
      <c r="H600">
        <v>599</v>
      </c>
      <c r="I600" s="394" t="s">
        <v>370</v>
      </c>
    </row>
    <row r="601" spans="1:10">
      <c r="A601" s="511" t="s">
        <v>1642</v>
      </c>
      <c r="B601" s="84" t="s">
        <v>1643</v>
      </c>
      <c r="C601">
        <v>600</v>
      </c>
      <c r="D601">
        <v>872</v>
      </c>
      <c r="E601" s="394" t="s">
        <v>840</v>
      </c>
      <c r="F601" s="511" t="s">
        <v>836</v>
      </c>
      <c r="G601" s="84" t="s">
        <v>1643</v>
      </c>
      <c r="H601">
        <v>600</v>
      </c>
      <c r="I601" s="394" t="s">
        <v>370</v>
      </c>
    </row>
    <row r="602" spans="1:10">
      <c r="A602" s="511" t="s">
        <v>1644</v>
      </c>
      <c r="B602" s="84" t="s">
        <v>1645</v>
      </c>
      <c r="C602">
        <v>601</v>
      </c>
      <c r="D602">
        <v>873</v>
      </c>
      <c r="E602" s="394"/>
      <c r="F602" s="511" t="s">
        <v>911</v>
      </c>
      <c r="G602" s="84" t="s">
        <v>1645</v>
      </c>
      <c r="H602">
        <v>601</v>
      </c>
      <c r="I602" s="394" t="s">
        <v>370</v>
      </c>
    </row>
    <row r="603" spans="1:10">
      <c r="A603" s="511" t="s">
        <v>1646</v>
      </c>
      <c r="B603" s="84" t="s">
        <v>1647</v>
      </c>
      <c r="C603">
        <v>602</v>
      </c>
      <c r="D603">
        <v>874</v>
      </c>
      <c r="E603" s="394"/>
      <c r="F603" s="511" t="s">
        <v>914</v>
      </c>
      <c r="G603" s="84" t="s">
        <v>1647</v>
      </c>
      <c r="H603">
        <v>602</v>
      </c>
      <c r="I603" s="394" t="s">
        <v>370</v>
      </c>
    </row>
    <row r="604" spans="1:10">
      <c r="A604" s="511" t="s">
        <v>1648</v>
      </c>
      <c r="B604" s="84" t="s">
        <v>1649</v>
      </c>
      <c r="C604">
        <v>603</v>
      </c>
      <c r="D604">
        <v>875</v>
      </c>
      <c r="E604" s="394"/>
      <c r="F604" s="511" t="s">
        <v>917</v>
      </c>
      <c r="G604" s="84" t="s">
        <v>1649</v>
      </c>
      <c r="H604">
        <v>603</v>
      </c>
      <c r="I604" s="394" t="s">
        <v>370</v>
      </c>
    </row>
    <row r="605" spans="1:10">
      <c r="A605" s="511" t="s">
        <v>1650</v>
      </c>
      <c r="B605" s="84" t="s">
        <v>1651</v>
      </c>
      <c r="C605">
        <v>604</v>
      </c>
      <c r="D605">
        <v>876</v>
      </c>
      <c r="F605" s="511" t="s">
        <v>920</v>
      </c>
      <c r="G605" s="84" t="s">
        <v>1651</v>
      </c>
      <c r="H605">
        <v>604</v>
      </c>
      <c r="I605" s="394" t="s">
        <v>370</v>
      </c>
    </row>
    <row r="606" spans="1:10">
      <c r="A606" s="511" t="s">
        <v>1652</v>
      </c>
      <c r="B606" s="84" t="s">
        <v>1653</v>
      </c>
      <c r="C606">
        <v>605</v>
      </c>
      <c r="D606">
        <v>877</v>
      </c>
      <c r="F606" s="511" t="s">
        <v>923</v>
      </c>
      <c r="G606" s="84" t="s">
        <v>1653</v>
      </c>
      <c r="H606">
        <v>605</v>
      </c>
      <c r="I606" s="394" t="s">
        <v>370</v>
      </c>
    </row>
    <row r="607" spans="1:10">
      <c r="A607" s="511" t="s">
        <v>1654</v>
      </c>
      <c r="B607" s="84" t="s">
        <v>1655</v>
      </c>
      <c r="C607">
        <v>606</v>
      </c>
      <c r="D607">
        <v>878</v>
      </c>
      <c r="F607" s="511" t="s">
        <v>926</v>
      </c>
      <c r="G607" s="84" t="s">
        <v>1655</v>
      </c>
      <c r="H607">
        <v>606</v>
      </c>
      <c r="I607" s="394" t="s">
        <v>370</v>
      </c>
    </row>
    <row r="608" spans="1:10">
      <c r="A608" s="511" t="s">
        <v>1656</v>
      </c>
      <c r="B608" s="84" t="s">
        <v>1657</v>
      </c>
      <c r="C608">
        <v>607</v>
      </c>
      <c r="D608">
        <v>879</v>
      </c>
      <c r="F608" s="511" t="s">
        <v>929</v>
      </c>
      <c r="G608" s="84" t="s">
        <v>1657</v>
      </c>
      <c r="H608">
        <v>607</v>
      </c>
      <c r="I608" s="394" t="s">
        <v>370</v>
      </c>
    </row>
    <row r="609" spans="1:9">
      <c r="A609" s="511" t="s">
        <v>1658</v>
      </c>
      <c r="B609" s="84" t="s">
        <v>1659</v>
      </c>
      <c r="C609">
        <v>608</v>
      </c>
      <c r="D609">
        <v>880</v>
      </c>
      <c r="E609" s="394" t="s">
        <v>840</v>
      </c>
      <c r="F609" s="511" t="s">
        <v>941</v>
      </c>
      <c r="G609" s="84" t="s">
        <v>1659</v>
      </c>
      <c r="H609">
        <v>608</v>
      </c>
      <c r="I609" s="394" t="s">
        <v>370</v>
      </c>
    </row>
    <row r="610" spans="1:9">
      <c r="A610" s="511" t="s">
        <v>1660</v>
      </c>
      <c r="B610" s="84" t="s">
        <v>1661</v>
      </c>
      <c r="C610">
        <v>609</v>
      </c>
      <c r="D610">
        <v>881</v>
      </c>
      <c r="E610" s="394" t="s">
        <v>840</v>
      </c>
      <c r="F610" s="511" t="s">
        <v>853</v>
      </c>
      <c r="G610" s="84" t="s">
        <v>1661</v>
      </c>
      <c r="H610">
        <v>609</v>
      </c>
      <c r="I610" s="394" t="s">
        <v>370</v>
      </c>
    </row>
    <row r="611" spans="1:9">
      <c r="A611" s="511" t="s">
        <v>1662</v>
      </c>
      <c r="B611" s="84" t="s">
        <v>1663</v>
      </c>
      <c r="C611">
        <v>610</v>
      </c>
      <c r="D611">
        <v>882</v>
      </c>
      <c r="E611" s="394" t="s">
        <v>840</v>
      </c>
      <c r="F611" s="511" t="s">
        <v>855</v>
      </c>
      <c r="G611" s="84" t="s">
        <v>1663</v>
      </c>
      <c r="H611">
        <v>610</v>
      </c>
      <c r="I611" s="394" t="s">
        <v>370</v>
      </c>
    </row>
    <row r="612" spans="1:9">
      <c r="A612" s="511" t="s">
        <v>1664</v>
      </c>
      <c r="B612" s="84" t="s">
        <v>1665</v>
      </c>
      <c r="C612">
        <v>611</v>
      </c>
      <c r="D612">
        <v>883</v>
      </c>
      <c r="E612" s="394" t="s">
        <v>840</v>
      </c>
      <c r="F612" s="511" t="s">
        <v>857</v>
      </c>
      <c r="G612" s="84" t="s">
        <v>1665</v>
      </c>
      <c r="H612">
        <v>611</v>
      </c>
      <c r="I612" s="394" t="s">
        <v>370</v>
      </c>
    </row>
    <row r="613" spans="1:9">
      <c r="A613" s="511" t="s">
        <v>1666</v>
      </c>
      <c r="B613" s="84" t="s">
        <v>1667</v>
      </c>
      <c r="C613">
        <v>612</v>
      </c>
      <c r="D613">
        <v>884</v>
      </c>
      <c r="E613" s="394" t="s">
        <v>840</v>
      </c>
      <c r="F613" s="511" t="s">
        <v>859</v>
      </c>
      <c r="G613" s="84" t="s">
        <v>1667</v>
      </c>
      <c r="H613">
        <v>612</v>
      </c>
      <c r="I613" s="394" t="s">
        <v>370</v>
      </c>
    </row>
    <row r="614" spans="1:9">
      <c r="A614" s="511" t="s">
        <v>1668</v>
      </c>
      <c r="B614" s="84" t="s">
        <v>1669</v>
      </c>
      <c r="C614">
        <v>613</v>
      </c>
      <c r="D614">
        <v>885</v>
      </c>
      <c r="E614" s="394" t="s">
        <v>840</v>
      </c>
      <c r="F614" s="511" t="s">
        <v>861</v>
      </c>
      <c r="G614" s="84" t="s">
        <v>1669</v>
      </c>
      <c r="H614">
        <v>613</v>
      </c>
      <c r="I614" s="394" t="s">
        <v>370</v>
      </c>
    </row>
    <row r="615" spans="1:9">
      <c r="A615" s="511" t="s">
        <v>1670</v>
      </c>
      <c r="B615" s="84" t="s">
        <v>1671</v>
      </c>
      <c r="C615">
        <v>614</v>
      </c>
      <c r="D615">
        <v>886</v>
      </c>
      <c r="E615" s="394"/>
      <c r="F615" s="511" t="s">
        <v>863</v>
      </c>
      <c r="G615" s="84" t="s">
        <v>1671</v>
      </c>
      <c r="H615">
        <v>614</v>
      </c>
      <c r="I615" s="394" t="s">
        <v>370</v>
      </c>
    </row>
    <row r="616" spans="1:9">
      <c r="A616" s="511" t="s">
        <v>1672</v>
      </c>
      <c r="B616" s="84" t="s">
        <v>1673</v>
      </c>
      <c r="C616">
        <v>615</v>
      </c>
      <c r="D616">
        <v>887</v>
      </c>
      <c r="E616" s="394"/>
      <c r="F616" s="511" t="s">
        <v>865</v>
      </c>
      <c r="G616" s="84" t="s">
        <v>1673</v>
      </c>
      <c r="H616">
        <v>615</v>
      </c>
      <c r="I616" s="394" t="s">
        <v>370</v>
      </c>
    </row>
    <row r="617" spans="1:9">
      <c r="A617" s="511" t="s">
        <v>1674</v>
      </c>
      <c r="B617" s="84" t="s">
        <v>1675</v>
      </c>
      <c r="C617">
        <v>616</v>
      </c>
      <c r="D617">
        <v>888</v>
      </c>
      <c r="E617" s="394"/>
      <c r="F617" s="511" t="s">
        <v>867</v>
      </c>
      <c r="G617" s="84" t="s">
        <v>1675</v>
      </c>
      <c r="H617">
        <v>616</v>
      </c>
      <c r="I617" s="394" t="s">
        <v>370</v>
      </c>
    </row>
    <row r="618" spans="1:9">
      <c r="A618" s="511" t="s">
        <v>1676</v>
      </c>
      <c r="B618" s="84" t="s">
        <v>1677</v>
      </c>
      <c r="C618">
        <v>617</v>
      </c>
      <c r="D618">
        <v>889</v>
      </c>
      <c r="F618" s="511" t="s">
        <v>960</v>
      </c>
      <c r="G618" s="84" t="s">
        <v>1677</v>
      </c>
      <c r="H618">
        <v>617</v>
      </c>
      <c r="I618" s="394" t="s">
        <v>370</v>
      </c>
    </row>
    <row r="619" spans="1:9">
      <c r="A619" s="511" t="s">
        <v>1678</v>
      </c>
      <c r="B619" s="84" t="s">
        <v>1679</v>
      </c>
      <c r="C619">
        <v>618</v>
      </c>
      <c r="D619">
        <v>890</v>
      </c>
      <c r="F619" s="511" t="s">
        <v>963</v>
      </c>
      <c r="G619" s="84" t="s">
        <v>1679</v>
      </c>
      <c r="H619">
        <v>618</v>
      </c>
      <c r="I619" s="394" t="s">
        <v>370</v>
      </c>
    </row>
    <row r="620" spans="1:9">
      <c r="A620" s="511" t="s">
        <v>1680</v>
      </c>
      <c r="B620" s="84" t="s">
        <v>1681</v>
      </c>
      <c r="C620">
        <v>619</v>
      </c>
      <c r="D620">
        <v>891</v>
      </c>
      <c r="F620" s="511" t="s">
        <v>966</v>
      </c>
      <c r="G620" s="84" t="s">
        <v>1681</v>
      </c>
      <c r="H620">
        <v>619</v>
      </c>
      <c r="I620" s="394" t="s">
        <v>370</v>
      </c>
    </row>
    <row r="621" spans="1:9">
      <c r="A621" s="511" t="s">
        <v>1682</v>
      </c>
      <c r="B621" s="84" t="s">
        <v>1683</v>
      </c>
      <c r="C621">
        <v>620</v>
      </c>
      <c r="D621">
        <v>892</v>
      </c>
      <c r="F621" s="511" t="s">
        <v>969</v>
      </c>
      <c r="G621" s="84" t="s">
        <v>1683</v>
      </c>
      <c r="H621">
        <v>620</v>
      </c>
      <c r="I621" s="394" t="s">
        <v>370</v>
      </c>
    </row>
    <row r="622" spans="1:9">
      <c r="A622" s="511" t="s">
        <v>1684</v>
      </c>
      <c r="B622" s="84" t="s">
        <v>1685</v>
      </c>
      <c r="C622">
        <v>621</v>
      </c>
      <c r="D622">
        <v>893</v>
      </c>
      <c r="E622" s="394" t="s">
        <v>840</v>
      </c>
      <c r="F622" s="511" t="s">
        <v>972</v>
      </c>
      <c r="G622" s="84" t="s">
        <v>1685</v>
      </c>
      <c r="H622">
        <v>621</v>
      </c>
      <c r="I622" s="394" t="s">
        <v>370</v>
      </c>
    </row>
    <row r="623" spans="1:9">
      <c r="A623" s="511" t="s">
        <v>1686</v>
      </c>
      <c r="B623" s="84" t="s">
        <v>1687</v>
      </c>
      <c r="C623">
        <v>622</v>
      </c>
      <c r="D623">
        <v>894</v>
      </c>
      <c r="E623" s="394" t="s">
        <v>840</v>
      </c>
      <c r="F623" s="511" t="s">
        <v>975</v>
      </c>
      <c r="G623" s="84" t="s">
        <v>1687</v>
      </c>
      <c r="H623">
        <v>622</v>
      </c>
      <c r="I623" s="394" t="s">
        <v>370</v>
      </c>
    </row>
    <row r="624" spans="1:9">
      <c r="A624" s="511" t="s">
        <v>1688</v>
      </c>
      <c r="B624" s="84" t="s">
        <v>1689</v>
      </c>
      <c r="C624">
        <v>623</v>
      </c>
      <c r="D624">
        <v>895</v>
      </c>
      <c r="E624" s="394" t="s">
        <v>840</v>
      </c>
      <c r="F624" s="511" t="s">
        <v>978</v>
      </c>
      <c r="G624" s="84" t="s">
        <v>1689</v>
      </c>
      <c r="H624">
        <v>623</v>
      </c>
      <c r="I624" s="394" t="s">
        <v>370</v>
      </c>
    </row>
    <row r="625" spans="1:9">
      <c r="A625" s="511" t="s">
        <v>1690</v>
      </c>
      <c r="B625" s="84" t="s">
        <v>1691</v>
      </c>
      <c r="C625">
        <v>624</v>
      </c>
      <c r="D625">
        <v>896</v>
      </c>
      <c r="E625" s="394" t="s">
        <v>840</v>
      </c>
      <c r="F625" s="511" t="s">
        <v>990</v>
      </c>
      <c r="G625" s="84" t="s">
        <v>1691</v>
      </c>
      <c r="H625">
        <v>624</v>
      </c>
      <c r="I625" s="394" t="s">
        <v>370</v>
      </c>
    </row>
    <row r="626" spans="1:9">
      <c r="A626" s="511" t="s">
        <v>1692</v>
      </c>
      <c r="B626" s="84" t="s">
        <v>1693</v>
      </c>
      <c r="C626">
        <v>625</v>
      </c>
      <c r="D626">
        <v>897</v>
      </c>
      <c r="E626" s="394" t="s">
        <v>840</v>
      </c>
      <c r="F626" s="511" t="s">
        <v>888</v>
      </c>
      <c r="G626" s="84" t="s">
        <v>1693</v>
      </c>
      <c r="H626">
        <v>625</v>
      </c>
      <c r="I626" s="394" t="s">
        <v>370</v>
      </c>
    </row>
    <row r="627" spans="1:9">
      <c r="A627" s="511" t="s">
        <v>1694</v>
      </c>
      <c r="B627" s="84" t="s">
        <v>1695</v>
      </c>
      <c r="C627">
        <v>626</v>
      </c>
      <c r="D627">
        <v>898</v>
      </c>
      <c r="E627" s="394" t="s">
        <v>840</v>
      </c>
      <c r="F627" s="511" t="s">
        <v>890</v>
      </c>
      <c r="G627" s="84" t="s">
        <v>1695</v>
      </c>
      <c r="H627">
        <v>626</v>
      </c>
      <c r="I627" s="394" t="s">
        <v>370</v>
      </c>
    </row>
    <row r="628" spans="1:9">
      <c r="A628" s="511" t="s">
        <v>1696</v>
      </c>
      <c r="B628" s="84" t="s">
        <v>1697</v>
      </c>
      <c r="C628">
        <v>627</v>
      </c>
      <c r="D628">
        <v>899</v>
      </c>
      <c r="E628" s="394"/>
      <c r="F628" s="511" t="s">
        <v>892</v>
      </c>
      <c r="G628" s="84" t="s">
        <v>1697</v>
      </c>
      <c r="H628">
        <v>627</v>
      </c>
      <c r="I628" s="394" t="s">
        <v>370</v>
      </c>
    </row>
    <row r="629" spans="1:9">
      <c r="A629" s="511" t="s">
        <v>1698</v>
      </c>
      <c r="B629" s="84" t="s">
        <v>1699</v>
      </c>
      <c r="C629">
        <v>628</v>
      </c>
      <c r="D629">
        <v>900</v>
      </c>
      <c r="E629" s="394"/>
      <c r="F629" s="511" t="s">
        <v>894</v>
      </c>
      <c r="G629" s="84" t="s">
        <v>1699</v>
      </c>
      <c r="H629">
        <v>628</v>
      </c>
      <c r="I629" s="394" t="s">
        <v>370</v>
      </c>
    </row>
    <row r="630" spans="1:9">
      <c r="A630" s="511" t="s">
        <v>1700</v>
      </c>
      <c r="B630" s="84" t="s">
        <v>1701</v>
      </c>
      <c r="C630">
        <v>629</v>
      </c>
      <c r="D630">
        <v>901</v>
      </c>
      <c r="E630" s="394"/>
      <c r="F630" s="511" t="s">
        <v>896</v>
      </c>
      <c r="G630" s="84" t="s">
        <v>1701</v>
      </c>
      <c r="H630">
        <v>629</v>
      </c>
      <c r="I630" s="394" t="s">
        <v>370</v>
      </c>
    </row>
    <row r="631" spans="1:9">
      <c r="A631" s="511" t="s">
        <v>1702</v>
      </c>
      <c r="B631" s="84" t="s">
        <v>1703</v>
      </c>
      <c r="C631">
        <v>630</v>
      </c>
      <c r="D631">
        <v>902</v>
      </c>
      <c r="F631" s="511" t="s">
        <v>899</v>
      </c>
      <c r="G631" s="84" t="s">
        <v>1703</v>
      </c>
      <c r="H631">
        <v>630</v>
      </c>
      <c r="I631" s="394" t="s">
        <v>370</v>
      </c>
    </row>
    <row r="632" spans="1:9">
      <c r="A632" s="511" t="s">
        <v>1704</v>
      </c>
      <c r="B632" s="84" t="s">
        <v>1705</v>
      </c>
      <c r="C632">
        <v>631</v>
      </c>
      <c r="D632">
        <v>903</v>
      </c>
      <c r="F632" s="511" t="s">
        <v>901</v>
      </c>
      <c r="G632" s="84" t="s">
        <v>1705</v>
      </c>
      <c r="H632">
        <v>631</v>
      </c>
      <c r="I632" s="394" t="s">
        <v>370</v>
      </c>
    </row>
    <row r="633" spans="1:9">
      <c r="A633" s="511" t="s">
        <v>1706</v>
      </c>
      <c r="B633" s="84" t="s">
        <v>1707</v>
      </c>
      <c r="C633">
        <v>632</v>
      </c>
      <c r="D633">
        <v>904</v>
      </c>
      <c r="F633" s="511" t="s">
        <v>903</v>
      </c>
      <c r="G633" s="84" t="s">
        <v>1707</v>
      </c>
      <c r="H633">
        <v>632</v>
      </c>
      <c r="I633" s="394" t="s">
        <v>370</v>
      </c>
    </row>
    <row r="634" spans="1:9">
      <c r="A634" s="511" t="s">
        <v>1708</v>
      </c>
      <c r="B634" s="84" t="s">
        <v>1709</v>
      </c>
      <c r="C634">
        <v>633</v>
      </c>
      <c r="D634">
        <v>905</v>
      </c>
      <c r="F634" s="511" t="s">
        <v>1009</v>
      </c>
      <c r="G634" s="84" t="s">
        <v>1709</v>
      </c>
      <c r="H634">
        <v>633</v>
      </c>
      <c r="I634" s="394" t="s">
        <v>370</v>
      </c>
    </row>
    <row r="635" spans="1:9">
      <c r="A635" s="511" t="s">
        <v>1710</v>
      </c>
      <c r="B635" s="84" t="s">
        <v>1711</v>
      </c>
      <c r="C635">
        <v>634</v>
      </c>
      <c r="D635">
        <v>906</v>
      </c>
      <c r="E635" s="394" t="s">
        <v>840</v>
      </c>
      <c r="F635" s="511" t="s">
        <v>1012</v>
      </c>
      <c r="G635" s="84" t="s">
        <v>1711</v>
      </c>
      <c r="H635">
        <v>634</v>
      </c>
      <c r="I635" s="394" t="s">
        <v>370</v>
      </c>
    </row>
    <row r="636" spans="1:9">
      <c r="A636" s="511" t="s">
        <v>1712</v>
      </c>
      <c r="B636" s="84" t="s">
        <v>1713</v>
      </c>
      <c r="C636">
        <v>635</v>
      </c>
      <c r="D636">
        <v>907</v>
      </c>
      <c r="E636" s="394" t="s">
        <v>840</v>
      </c>
      <c r="F636" s="511" t="s">
        <v>1015</v>
      </c>
      <c r="G636" s="84" t="s">
        <v>1713</v>
      </c>
      <c r="H636">
        <v>635</v>
      </c>
      <c r="I636" s="394" t="s">
        <v>370</v>
      </c>
    </row>
    <row r="637" spans="1:9">
      <c r="A637" s="511" t="s">
        <v>1714</v>
      </c>
      <c r="B637" s="84" t="s">
        <v>1715</v>
      </c>
      <c r="C637">
        <v>636</v>
      </c>
      <c r="D637">
        <v>908</v>
      </c>
      <c r="E637" s="394" t="s">
        <v>840</v>
      </c>
      <c r="F637" s="511" t="s">
        <v>1018</v>
      </c>
      <c r="G637" s="84" t="s">
        <v>1715</v>
      </c>
      <c r="H637">
        <v>636</v>
      </c>
      <c r="I637" s="394" t="s">
        <v>370</v>
      </c>
    </row>
    <row r="638" spans="1:9">
      <c r="A638" s="511" t="s">
        <v>1716</v>
      </c>
      <c r="B638" s="84" t="s">
        <v>1717</v>
      </c>
      <c r="C638">
        <v>637</v>
      </c>
      <c r="D638">
        <v>909</v>
      </c>
      <c r="E638" s="394" t="s">
        <v>840</v>
      </c>
      <c r="F638" s="511" t="s">
        <v>1021</v>
      </c>
      <c r="G638" s="84" t="s">
        <v>1717</v>
      </c>
      <c r="H638">
        <v>637</v>
      </c>
      <c r="I638" s="394" t="s">
        <v>370</v>
      </c>
    </row>
    <row r="639" spans="1:9">
      <c r="A639" s="511" t="s">
        <v>1718</v>
      </c>
      <c r="B639" s="84" t="s">
        <v>1719</v>
      </c>
      <c r="C639">
        <v>638</v>
      </c>
      <c r="D639">
        <v>910</v>
      </c>
      <c r="E639" s="394" t="s">
        <v>840</v>
      </c>
      <c r="F639" s="511" t="s">
        <v>1024</v>
      </c>
      <c r="G639" s="84" t="s">
        <v>1719</v>
      </c>
      <c r="H639">
        <v>638</v>
      </c>
      <c r="I639" s="394" t="s">
        <v>370</v>
      </c>
    </row>
    <row r="640" spans="1:9">
      <c r="A640" s="511" t="s">
        <v>1720</v>
      </c>
      <c r="B640" s="84" t="s">
        <v>1721</v>
      </c>
      <c r="C640">
        <v>639</v>
      </c>
      <c r="D640">
        <v>911</v>
      </c>
      <c r="E640" s="394" t="s">
        <v>840</v>
      </c>
      <c r="F640" s="511" t="s">
        <v>1027</v>
      </c>
      <c r="G640" s="84" t="s">
        <v>1721</v>
      </c>
      <c r="H640">
        <v>639</v>
      </c>
      <c r="I640" s="394" t="s">
        <v>370</v>
      </c>
    </row>
    <row r="641" spans="1:9">
      <c r="A641" s="511" t="s">
        <v>1722</v>
      </c>
      <c r="B641" s="84" t="s">
        <v>1723</v>
      </c>
      <c r="C641">
        <v>640</v>
      </c>
      <c r="D641">
        <v>912</v>
      </c>
      <c r="E641" s="394"/>
      <c r="F641" s="511" t="s">
        <v>1039</v>
      </c>
      <c r="G641" s="84" t="s">
        <v>1723</v>
      </c>
      <c r="H641">
        <v>640</v>
      </c>
      <c r="I641" s="394" t="s">
        <v>370</v>
      </c>
    </row>
    <row r="642" spans="1:9">
      <c r="A642" s="511" t="s">
        <v>1724</v>
      </c>
      <c r="B642" s="84" t="s">
        <v>1725</v>
      </c>
      <c r="C642">
        <v>641</v>
      </c>
      <c r="D642">
        <v>913</v>
      </c>
      <c r="E642" s="394"/>
      <c r="F642" s="511" t="s">
        <v>924</v>
      </c>
      <c r="G642" s="84" t="s">
        <v>1725</v>
      </c>
      <c r="H642">
        <v>641</v>
      </c>
      <c r="I642" s="394" t="s">
        <v>370</v>
      </c>
    </row>
    <row r="643" spans="1:9">
      <c r="A643" s="511" t="s">
        <v>1726</v>
      </c>
      <c r="B643" s="84" t="s">
        <v>1727</v>
      </c>
      <c r="C643">
        <v>642</v>
      </c>
      <c r="D643">
        <v>914</v>
      </c>
      <c r="E643" s="394"/>
      <c r="F643" s="511" t="s">
        <v>927</v>
      </c>
      <c r="G643" s="84" t="s">
        <v>1727</v>
      </c>
      <c r="H643">
        <v>642</v>
      </c>
      <c r="I643" s="394" t="s">
        <v>370</v>
      </c>
    </row>
    <row r="644" spans="1:9">
      <c r="A644" s="511" t="s">
        <v>1728</v>
      </c>
      <c r="B644" s="84" t="s">
        <v>1729</v>
      </c>
      <c r="C644">
        <v>643</v>
      </c>
      <c r="D644">
        <v>915</v>
      </c>
      <c r="F644" s="511" t="s">
        <v>930</v>
      </c>
      <c r="G644" s="84" t="s">
        <v>1729</v>
      </c>
      <c r="H644">
        <v>643</v>
      </c>
      <c r="I644" s="394" t="s">
        <v>370</v>
      </c>
    </row>
    <row r="645" spans="1:9">
      <c r="A645" s="511" t="s">
        <v>1730</v>
      </c>
      <c r="B645" s="84" t="s">
        <v>1731</v>
      </c>
      <c r="C645">
        <v>644</v>
      </c>
      <c r="D645">
        <v>916</v>
      </c>
      <c r="F645" s="511" t="s">
        <v>933</v>
      </c>
      <c r="G645" s="84" t="s">
        <v>1731</v>
      </c>
      <c r="H645">
        <v>644</v>
      </c>
      <c r="I645" s="394" t="s">
        <v>370</v>
      </c>
    </row>
    <row r="646" spans="1:9">
      <c r="A646" s="511" t="s">
        <v>1732</v>
      </c>
      <c r="B646" s="84" t="s">
        <v>1733</v>
      </c>
      <c r="C646">
        <v>645</v>
      </c>
      <c r="D646">
        <v>917</v>
      </c>
      <c r="F646" s="511" t="s">
        <v>936</v>
      </c>
      <c r="G646" s="84" t="s">
        <v>1733</v>
      </c>
      <c r="H646">
        <v>645</v>
      </c>
      <c r="I646" s="394" t="s">
        <v>370</v>
      </c>
    </row>
    <row r="647" spans="1:9">
      <c r="A647" s="511" t="s">
        <v>1734</v>
      </c>
      <c r="B647" s="84" t="s">
        <v>1735</v>
      </c>
      <c r="C647">
        <v>646</v>
      </c>
      <c r="D647">
        <v>918</v>
      </c>
      <c r="F647" s="511" t="s">
        <v>939</v>
      </c>
      <c r="G647" s="84" t="s">
        <v>1735</v>
      </c>
      <c r="H647">
        <v>646</v>
      </c>
      <c r="I647" s="394" t="s">
        <v>370</v>
      </c>
    </row>
    <row r="648" spans="1:9">
      <c r="A648" s="511" t="s">
        <v>1736</v>
      </c>
      <c r="B648" s="84" t="s">
        <v>1737</v>
      </c>
      <c r="C648">
        <v>647</v>
      </c>
      <c r="D648">
        <v>919</v>
      </c>
      <c r="F648" s="511" t="s">
        <v>942</v>
      </c>
      <c r="G648" s="84" t="s">
        <v>1737</v>
      </c>
      <c r="H648">
        <v>647</v>
      </c>
      <c r="I648" s="394" t="s">
        <v>370</v>
      </c>
    </row>
    <row r="649" spans="1:9">
      <c r="A649" s="511" t="s">
        <v>1738</v>
      </c>
      <c r="B649" s="84" t="s">
        <v>1739</v>
      </c>
      <c r="C649">
        <v>648</v>
      </c>
      <c r="D649">
        <v>920</v>
      </c>
      <c r="F649" s="511" t="s">
        <v>944</v>
      </c>
      <c r="G649" s="84" t="s">
        <v>1739</v>
      </c>
      <c r="H649">
        <v>648</v>
      </c>
      <c r="I649" s="394" t="s">
        <v>370</v>
      </c>
    </row>
    <row r="650" spans="1:9">
      <c r="A650" s="511" t="s">
        <v>1740</v>
      </c>
      <c r="B650" s="84" t="s">
        <v>1741</v>
      </c>
      <c r="C650">
        <v>649</v>
      </c>
      <c r="D650">
        <v>921</v>
      </c>
      <c r="F650" s="511" t="s">
        <v>1058</v>
      </c>
      <c r="G650" s="84" t="s">
        <v>1741</v>
      </c>
      <c r="H650">
        <v>649</v>
      </c>
      <c r="I650" s="394" t="s">
        <v>370</v>
      </c>
    </row>
    <row r="651" spans="1:9">
      <c r="A651" s="511" t="s">
        <v>1742</v>
      </c>
      <c r="B651" s="84" t="s">
        <v>1743</v>
      </c>
      <c r="C651">
        <v>650</v>
      </c>
      <c r="D651">
        <v>922</v>
      </c>
      <c r="F651" s="511" t="s">
        <v>1061</v>
      </c>
      <c r="G651" s="84" t="s">
        <v>1743</v>
      </c>
      <c r="H651">
        <v>650</v>
      </c>
      <c r="I651" s="394" t="s">
        <v>370</v>
      </c>
    </row>
    <row r="652" spans="1:9">
      <c r="A652" s="511" t="s">
        <v>1744</v>
      </c>
      <c r="B652" s="84" t="s">
        <v>1745</v>
      </c>
      <c r="C652">
        <v>651</v>
      </c>
      <c r="D652">
        <v>923</v>
      </c>
      <c r="F652" s="511" t="s">
        <v>1064</v>
      </c>
      <c r="G652" s="84" t="s">
        <v>1745</v>
      </c>
      <c r="H652">
        <v>651</v>
      </c>
      <c r="I652" s="394" t="s">
        <v>370</v>
      </c>
    </row>
    <row r="653" spans="1:9">
      <c r="A653" s="511" t="s">
        <v>1746</v>
      </c>
      <c r="B653" s="84" t="s">
        <v>1747</v>
      </c>
      <c r="C653">
        <v>652</v>
      </c>
      <c r="D653">
        <v>924</v>
      </c>
      <c r="F653" s="511" t="s">
        <v>1067</v>
      </c>
      <c r="G653" s="84" t="s">
        <v>1747</v>
      </c>
      <c r="H653">
        <v>652</v>
      </c>
      <c r="I653" s="394" t="s">
        <v>370</v>
      </c>
    </row>
    <row r="654" spans="1:9">
      <c r="A654" s="511" t="s">
        <v>1748</v>
      </c>
      <c r="B654" s="84" t="s">
        <v>1749</v>
      </c>
      <c r="C654">
        <v>653</v>
      </c>
      <c r="D654">
        <v>925</v>
      </c>
      <c r="F654" s="511" t="s">
        <v>1070</v>
      </c>
      <c r="G654" s="84" t="s">
        <v>1749</v>
      </c>
      <c r="H654">
        <v>653</v>
      </c>
      <c r="I654" s="394" t="s">
        <v>370</v>
      </c>
    </row>
    <row r="655" spans="1:9">
      <c r="A655" s="511" t="s">
        <v>1750</v>
      </c>
      <c r="B655" s="84" t="s">
        <v>1751</v>
      </c>
      <c r="C655">
        <v>654</v>
      </c>
      <c r="D655">
        <v>926</v>
      </c>
      <c r="F655" s="511" t="s">
        <v>1073</v>
      </c>
      <c r="G655" s="84" t="s">
        <v>1751</v>
      </c>
      <c r="H655">
        <v>654</v>
      </c>
      <c r="I655" s="394" t="s">
        <v>370</v>
      </c>
    </row>
    <row r="656" spans="1:9">
      <c r="A656" s="511" t="s">
        <v>1752</v>
      </c>
      <c r="B656" s="84" t="s">
        <v>1753</v>
      </c>
      <c r="C656">
        <v>655</v>
      </c>
      <c r="D656">
        <v>927</v>
      </c>
      <c r="F656" s="511" t="s">
        <v>1076</v>
      </c>
      <c r="G656" s="84" t="s">
        <v>1753</v>
      </c>
      <c r="H656">
        <v>655</v>
      </c>
      <c r="I656" s="394" t="s">
        <v>370</v>
      </c>
    </row>
    <row r="657" spans="1:9">
      <c r="A657" s="511" t="s">
        <v>1754</v>
      </c>
      <c r="B657" s="84" t="s">
        <v>1755</v>
      </c>
      <c r="C657">
        <v>656</v>
      </c>
      <c r="D657">
        <v>928</v>
      </c>
      <c r="F657" s="511" t="s">
        <v>1088</v>
      </c>
      <c r="G657" s="84" t="s">
        <v>1755</v>
      </c>
      <c r="H657">
        <v>656</v>
      </c>
      <c r="I657" s="394" t="s">
        <v>370</v>
      </c>
    </row>
    <row r="658" spans="1:9">
      <c r="A658" s="511" t="s">
        <v>1756</v>
      </c>
      <c r="B658" s="84" t="s">
        <v>1757</v>
      </c>
      <c r="C658">
        <v>657</v>
      </c>
      <c r="D658">
        <v>929</v>
      </c>
      <c r="F658" s="511" t="s">
        <v>961</v>
      </c>
      <c r="G658" s="84" t="s">
        <v>1757</v>
      </c>
      <c r="H658">
        <v>657</v>
      </c>
      <c r="I658" s="394" t="s">
        <v>370</v>
      </c>
    </row>
    <row r="659" spans="1:9">
      <c r="A659" s="511" t="s">
        <v>1758</v>
      </c>
      <c r="B659" s="84" t="s">
        <v>1759</v>
      </c>
      <c r="C659">
        <v>658</v>
      </c>
      <c r="D659">
        <v>930</v>
      </c>
      <c r="F659" s="511" t="s">
        <v>964</v>
      </c>
      <c r="G659" s="84" t="s">
        <v>1759</v>
      </c>
      <c r="H659">
        <v>658</v>
      </c>
      <c r="I659" s="394" t="s">
        <v>370</v>
      </c>
    </row>
    <row r="660" spans="1:9">
      <c r="A660" s="511" t="s">
        <v>1760</v>
      </c>
      <c r="B660" s="84" t="s">
        <v>1761</v>
      </c>
      <c r="C660">
        <v>659</v>
      </c>
      <c r="D660">
        <v>931</v>
      </c>
      <c r="F660" s="511" t="s">
        <v>967</v>
      </c>
      <c r="G660" s="84" t="s">
        <v>1761</v>
      </c>
      <c r="H660">
        <v>659</v>
      </c>
      <c r="I660" s="394" t="s">
        <v>370</v>
      </c>
    </row>
    <row r="661" spans="1:9">
      <c r="A661" s="511" t="s">
        <v>1762</v>
      </c>
      <c r="B661" s="84" t="s">
        <v>1763</v>
      </c>
      <c r="C661">
        <v>660</v>
      </c>
      <c r="D661">
        <v>932</v>
      </c>
      <c r="F661" s="511" t="s">
        <v>970</v>
      </c>
      <c r="G661" s="84" t="s">
        <v>1763</v>
      </c>
      <c r="H661">
        <v>660</v>
      </c>
      <c r="I661" s="394" t="s">
        <v>370</v>
      </c>
    </row>
    <row r="662" spans="1:9">
      <c r="A662" s="511" t="s">
        <v>1764</v>
      </c>
      <c r="B662" s="84" t="s">
        <v>1765</v>
      </c>
      <c r="C662">
        <v>661</v>
      </c>
      <c r="D662">
        <v>933</v>
      </c>
      <c r="F662" s="511" t="s">
        <v>973</v>
      </c>
      <c r="G662" s="84" t="s">
        <v>1765</v>
      </c>
      <c r="H662">
        <v>661</v>
      </c>
      <c r="I662" s="394" t="s">
        <v>370</v>
      </c>
    </row>
    <row r="663" spans="1:9">
      <c r="A663" s="511" t="s">
        <v>1766</v>
      </c>
      <c r="B663" s="84" t="s">
        <v>1767</v>
      </c>
      <c r="C663">
        <v>662</v>
      </c>
      <c r="D663">
        <v>934</v>
      </c>
      <c r="F663" s="511" t="s">
        <v>976</v>
      </c>
      <c r="G663" s="84" t="s">
        <v>1767</v>
      </c>
      <c r="H663">
        <v>662</v>
      </c>
      <c r="I663" s="394" t="s">
        <v>370</v>
      </c>
    </row>
    <row r="664" spans="1:9">
      <c r="A664" s="511" t="s">
        <v>1768</v>
      </c>
      <c r="B664" s="84" t="s">
        <v>1769</v>
      </c>
      <c r="C664">
        <v>663</v>
      </c>
      <c r="D664">
        <v>935</v>
      </c>
      <c r="F664" s="511" t="s">
        <v>979</v>
      </c>
      <c r="G664" s="84" t="s">
        <v>1769</v>
      </c>
      <c r="H664">
        <v>663</v>
      </c>
      <c r="I664" s="394" t="s">
        <v>370</v>
      </c>
    </row>
    <row r="665" spans="1:9">
      <c r="A665" s="511" t="s">
        <v>1770</v>
      </c>
      <c r="B665" s="84" t="s">
        <v>1771</v>
      </c>
      <c r="C665">
        <v>664</v>
      </c>
      <c r="D665">
        <v>936</v>
      </c>
      <c r="F665" s="511" t="s">
        <v>982</v>
      </c>
      <c r="G665" s="84" t="s">
        <v>1771</v>
      </c>
      <c r="H665">
        <v>664</v>
      </c>
      <c r="I665" s="394" t="s">
        <v>370</v>
      </c>
    </row>
    <row r="666" spans="1:9">
      <c r="A666" s="511" t="s">
        <v>1772</v>
      </c>
      <c r="B666" s="84" t="s">
        <v>1773</v>
      </c>
      <c r="C666">
        <v>665</v>
      </c>
      <c r="D666">
        <v>937</v>
      </c>
      <c r="F666" s="511" t="s">
        <v>1107</v>
      </c>
      <c r="G666" s="84" t="s">
        <v>1773</v>
      </c>
      <c r="H666">
        <v>665</v>
      </c>
      <c r="I666" s="394" t="s">
        <v>370</v>
      </c>
    </row>
    <row r="667" spans="1:9">
      <c r="A667" s="511" t="s">
        <v>1774</v>
      </c>
      <c r="B667" s="84" t="s">
        <v>1775</v>
      </c>
      <c r="C667">
        <v>666</v>
      </c>
      <c r="D667">
        <v>938</v>
      </c>
      <c r="F667" s="511" t="s">
        <v>1110</v>
      </c>
      <c r="G667" s="84" t="s">
        <v>1775</v>
      </c>
      <c r="H667">
        <v>666</v>
      </c>
      <c r="I667" s="394" t="s">
        <v>370</v>
      </c>
    </row>
    <row r="668" spans="1:9">
      <c r="A668" s="511" t="s">
        <v>1776</v>
      </c>
      <c r="B668" s="84" t="s">
        <v>1777</v>
      </c>
      <c r="C668">
        <v>667</v>
      </c>
      <c r="D668">
        <v>939</v>
      </c>
      <c r="F668" s="511" t="s">
        <v>1113</v>
      </c>
      <c r="G668" s="84" t="s">
        <v>1777</v>
      </c>
      <c r="H668">
        <v>667</v>
      </c>
      <c r="I668" s="394" t="s">
        <v>370</v>
      </c>
    </row>
    <row r="669" spans="1:9">
      <c r="A669" s="511" t="s">
        <v>1778</v>
      </c>
      <c r="B669" s="84" t="s">
        <v>1779</v>
      </c>
      <c r="C669">
        <v>668</v>
      </c>
      <c r="D669">
        <v>940</v>
      </c>
      <c r="F669" s="511" t="s">
        <v>1116</v>
      </c>
      <c r="G669" s="84" t="s">
        <v>1779</v>
      </c>
      <c r="H669">
        <v>668</v>
      </c>
      <c r="I669" s="394" t="s">
        <v>370</v>
      </c>
    </row>
    <row r="670" spans="1:9">
      <c r="A670" s="511" t="s">
        <v>1780</v>
      </c>
      <c r="B670" s="84" t="s">
        <v>1781</v>
      </c>
      <c r="C670">
        <v>669</v>
      </c>
      <c r="D670">
        <v>941</v>
      </c>
      <c r="F670" s="511" t="s">
        <v>1119</v>
      </c>
      <c r="G670" s="84" t="s">
        <v>1781</v>
      </c>
      <c r="H670">
        <v>669</v>
      </c>
      <c r="I670" s="394" t="s">
        <v>370</v>
      </c>
    </row>
    <row r="671" spans="1:9">
      <c r="A671" s="511" t="s">
        <v>1782</v>
      </c>
      <c r="B671" s="84" t="s">
        <v>1783</v>
      </c>
      <c r="C671">
        <v>670</v>
      </c>
      <c r="D671">
        <v>942</v>
      </c>
      <c r="F671" s="511" t="s">
        <v>1122</v>
      </c>
      <c r="G671" s="84" t="s">
        <v>1783</v>
      </c>
      <c r="H671">
        <v>670</v>
      </c>
      <c r="I671" s="394" t="s">
        <v>370</v>
      </c>
    </row>
    <row r="672" spans="1:9">
      <c r="A672" s="511" t="s">
        <v>1784</v>
      </c>
      <c r="B672" s="84" t="s">
        <v>1785</v>
      </c>
      <c r="C672">
        <v>671</v>
      </c>
      <c r="D672">
        <v>943</v>
      </c>
      <c r="F672" s="511" t="s">
        <v>1125</v>
      </c>
      <c r="G672" s="84" t="s">
        <v>1785</v>
      </c>
      <c r="H672">
        <v>671</v>
      </c>
      <c r="I672" s="394" t="s">
        <v>370</v>
      </c>
    </row>
    <row r="673" spans="1:9">
      <c r="A673" s="511" t="s">
        <v>1786</v>
      </c>
      <c r="B673" s="84" t="s">
        <v>1787</v>
      </c>
      <c r="C673">
        <v>672</v>
      </c>
      <c r="D673">
        <v>944</v>
      </c>
      <c r="F673" s="511" t="s">
        <v>1137</v>
      </c>
      <c r="G673" s="84" t="s">
        <v>1787</v>
      </c>
      <c r="H673">
        <v>672</v>
      </c>
      <c r="I673" s="394" t="s">
        <v>370</v>
      </c>
    </row>
    <row r="674" spans="1:9">
      <c r="A674" s="511" t="s">
        <v>1788</v>
      </c>
      <c r="B674" s="84" t="s">
        <v>1789</v>
      </c>
      <c r="C674">
        <v>673</v>
      </c>
      <c r="D674">
        <v>945</v>
      </c>
      <c r="F674" s="511" t="s">
        <v>1001</v>
      </c>
      <c r="G674" s="84" t="s">
        <v>1789</v>
      </c>
      <c r="H674">
        <v>673</v>
      </c>
      <c r="I674" s="394" t="s">
        <v>370</v>
      </c>
    </row>
    <row r="675" spans="1:9">
      <c r="A675" s="511" t="s">
        <v>1790</v>
      </c>
      <c r="B675" s="84" t="s">
        <v>1791</v>
      </c>
      <c r="C675">
        <v>674</v>
      </c>
      <c r="D675">
        <v>946</v>
      </c>
      <c r="F675" s="511" t="s">
        <v>1003</v>
      </c>
      <c r="G675" s="84" t="s">
        <v>1791</v>
      </c>
      <c r="H675">
        <v>674</v>
      </c>
      <c r="I675" s="394" t="s">
        <v>370</v>
      </c>
    </row>
    <row r="676" spans="1:9">
      <c r="A676" s="511" t="s">
        <v>1792</v>
      </c>
      <c r="B676" s="84" t="s">
        <v>1793</v>
      </c>
      <c r="C676">
        <v>675</v>
      </c>
      <c r="D676">
        <v>947</v>
      </c>
      <c r="F676" s="511" t="s">
        <v>1005</v>
      </c>
      <c r="G676" s="84" t="s">
        <v>1793</v>
      </c>
      <c r="H676">
        <v>675</v>
      </c>
      <c r="I676" s="394" t="s">
        <v>370</v>
      </c>
    </row>
    <row r="677" spans="1:9">
      <c r="A677" s="511" t="s">
        <v>1794</v>
      </c>
      <c r="B677" s="84" t="s">
        <v>1795</v>
      </c>
      <c r="C677">
        <v>676</v>
      </c>
      <c r="D677">
        <v>948</v>
      </c>
      <c r="F677" s="511" t="s">
        <v>1007</v>
      </c>
      <c r="G677" s="84" t="s">
        <v>1795</v>
      </c>
      <c r="H677">
        <v>676</v>
      </c>
      <c r="I677" s="394" t="s">
        <v>370</v>
      </c>
    </row>
    <row r="678" spans="1:9">
      <c r="A678" s="511" t="s">
        <v>1796</v>
      </c>
      <c r="B678" s="84" t="s">
        <v>1797</v>
      </c>
      <c r="C678">
        <v>677</v>
      </c>
      <c r="D678">
        <v>949</v>
      </c>
      <c r="F678" s="511" t="s">
        <v>1010</v>
      </c>
      <c r="G678" s="84" t="s">
        <v>1797</v>
      </c>
      <c r="H678">
        <v>677</v>
      </c>
      <c r="I678" s="394" t="s">
        <v>370</v>
      </c>
    </row>
    <row r="679" spans="1:9">
      <c r="A679" s="511" t="s">
        <v>1798</v>
      </c>
      <c r="B679" s="84" t="s">
        <v>1799</v>
      </c>
      <c r="C679">
        <v>678</v>
      </c>
      <c r="D679">
        <v>950</v>
      </c>
      <c r="F679" s="511" t="s">
        <v>1013</v>
      </c>
      <c r="G679" s="84" t="s">
        <v>1799</v>
      </c>
      <c r="H679">
        <v>678</v>
      </c>
      <c r="I679" s="394" t="s">
        <v>370</v>
      </c>
    </row>
    <row r="680" spans="1:9">
      <c r="A680" s="511" t="s">
        <v>1800</v>
      </c>
      <c r="B680" s="84" t="s">
        <v>1801</v>
      </c>
      <c r="C680">
        <v>679</v>
      </c>
      <c r="D680">
        <v>951</v>
      </c>
      <c r="F680" s="511" t="s">
        <v>1016</v>
      </c>
      <c r="G680" s="84" t="s">
        <v>1801</v>
      </c>
      <c r="H680">
        <v>679</v>
      </c>
      <c r="I680" s="394" t="s">
        <v>370</v>
      </c>
    </row>
    <row r="681" spans="1:9">
      <c r="A681" s="511" t="s">
        <v>1802</v>
      </c>
      <c r="B681" s="84" t="s">
        <v>1803</v>
      </c>
      <c r="C681">
        <v>680</v>
      </c>
      <c r="D681">
        <v>952</v>
      </c>
      <c r="F681" s="511" t="s">
        <v>1019</v>
      </c>
      <c r="G681" s="84" t="s">
        <v>1803</v>
      </c>
      <c r="H681">
        <v>680</v>
      </c>
      <c r="I681" s="394" t="s">
        <v>370</v>
      </c>
    </row>
    <row r="682" spans="1:9">
      <c r="A682" s="511" t="s">
        <v>1804</v>
      </c>
      <c r="B682" s="84" t="s">
        <v>1805</v>
      </c>
      <c r="C682">
        <v>681</v>
      </c>
      <c r="D682">
        <v>953</v>
      </c>
      <c r="F682" s="511" t="s">
        <v>1156</v>
      </c>
      <c r="G682" s="84" t="s">
        <v>1805</v>
      </c>
      <c r="H682">
        <v>681</v>
      </c>
      <c r="I682" s="394" t="s">
        <v>370</v>
      </c>
    </row>
    <row r="683" spans="1:9">
      <c r="A683" s="511" t="s">
        <v>1806</v>
      </c>
      <c r="B683" s="84" t="s">
        <v>1807</v>
      </c>
      <c r="C683">
        <v>682</v>
      </c>
      <c r="D683">
        <v>954</v>
      </c>
      <c r="F683" s="511" t="s">
        <v>1159</v>
      </c>
      <c r="G683" s="84" t="s">
        <v>1807</v>
      </c>
      <c r="H683">
        <v>682</v>
      </c>
      <c r="I683" s="394" t="s">
        <v>370</v>
      </c>
    </row>
    <row r="684" spans="1:9">
      <c r="A684" s="511" t="s">
        <v>1808</v>
      </c>
      <c r="B684" s="84" t="s">
        <v>1809</v>
      </c>
      <c r="C684">
        <v>683</v>
      </c>
      <c r="D684">
        <v>955</v>
      </c>
      <c r="F684" s="511" t="s">
        <v>1162</v>
      </c>
      <c r="G684" s="84" t="s">
        <v>1809</v>
      </c>
      <c r="H684">
        <v>683</v>
      </c>
      <c r="I684" s="394" t="s">
        <v>370</v>
      </c>
    </row>
    <row r="685" spans="1:9">
      <c r="A685" s="511" t="s">
        <v>1810</v>
      </c>
      <c r="B685" s="84" t="s">
        <v>1811</v>
      </c>
      <c r="C685">
        <v>684</v>
      </c>
      <c r="D685">
        <v>956</v>
      </c>
      <c r="F685" s="511" t="s">
        <v>1165</v>
      </c>
      <c r="G685" s="84" t="s">
        <v>1811</v>
      </c>
      <c r="H685">
        <v>684</v>
      </c>
      <c r="I685" s="394" t="s">
        <v>370</v>
      </c>
    </row>
    <row r="686" spans="1:9">
      <c r="A686" s="511" t="s">
        <v>1812</v>
      </c>
      <c r="B686" s="84" t="s">
        <v>1813</v>
      </c>
      <c r="C686">
        <v>685</v>
      </c>
      <c r="D686">
        <v>957</v>
      </c>
      <c r="F686" s="511" t="s">
        <v>1168</v>
      </c>
      <c r="G686" s="84" t="s">
        <v>1813</v>
      </c>
      <c r="H686">
        <v>685</v>
      </c>
      <c r="I686" s="394" t="s">
        <v>370</v>
      </c>
    </row>
    <row r="687" spans="1:9">
      <c r="A687" s="511" t="s">
        <v>1814</v>
      </c>
      <c r="B687" s="84" t="s">
        <v>1815</v>
      </c>
      <c r="C687">
        <v>686</v>
      </c>
      <c r="D687">
        <v>958</v>
      </c>
      <c r="F687" s="511" t="s">
        <v>1171</v>
      </c>
      <c r="G687" s="84" t="s">
        <v>1815</v>
      </c>
      <c r="H687">
        <v>686</v>
      </c>
      <c r="I687" s="394" t="s">
        <v>370</v>
      </c>
    </row>
    <row r="688" spans="1:9">
      <c r="A688" s="511" t="s">
        <v>1816</v>
      </c>
      <c r="B688" s="84" t="s">
        <v>1817</v>
      </c>
      <c r="C688">
        <v>687</v>
      </c>
      <c r="D688">
        <v>959</v>
      </c>
      <c r="F688" s="511" t="s">
        <v>1174</v>
      </c>
      <c r="G688" s="84" t="s">
        <v>1817</v>
      </c>
      <c r="H688">
        <v>687</v>
      </c>
      <c r="I688" s="394" t="s">
        <v>370</v>
      </c>
    </row>
    <row r="689" spans="1:9">
      <c r="A689" s="511" t="s">
        <v>1818</v>
      </c>
      <c r="B689" s="84" t="s">
        <v>1819</v>
      </c>
      <c r="C689">
        <v>688</v>
      </c>
      <c r="D689">
        <v>960</v>
      </c>
      <c r="F689" s="511" t="s">
        <v>1186</v>
      </c>
      <c r="G689" s="84" t="s">
        <v>1819</v>
      </c>
      <c r="H689">
        <v>688</v>
      </c>
      <c r="I689" s="394" t="s">
        <v>370</v>
      </c>
    </row>
    <row r="690" spans="1:9">
      <c r="A690" s="511" t="s">
        <v>1820</v>
      </c>
      <c r="B690" s="84" t="s">
        <v>1821</v>
      </c>
      <c r="C690">
        <v>689</v>
      </c>
      <c r="D690">
        <v>961</v>
      </c>
      <c r="F690" s="511" t="s">
        <v>1042</v>
      </c>
      <c r="G690" s="84" t="s">
        <v>1821</v>
      </c>
      <c r="H690">
        <v>689</v>
      </c>
      <c r="I690" s="394" t="s">
        <v>370</v>
      </c>
    </row>
    <row r="691" spans="1:9">
      <c r="A691" s="511" t="s">
        <v>1822</v>
      </c>
      <c r="B691" s="84" t="s">
        <v>1823</v>
      </c>
      <c r="C691">
        <v>690</v>
      </c>
      <c r="D691">
        <v>962</v>
      </c>
      <c r="F691" s="511" t="s">
        <v>1044</v>
      </c>
      <c r="G691" s="84" t="s">
        <v>1823</v>
      </c>
      <c r="H691">
        <v>690</v>
      </c>
      <c r="I691" s="394" t="s">
        <v>370</v>
      </c>
    </row>
    <row r="692" spans="1:9">
      <c r="A692" s="511" t="s">
        <v>1824</v>
      </c>
      <c r="B692" s="84" t="s">
        <v>1825</v>
      </c>
      <c r="C692">
        <v>691</v>
      </c>
      <c r="D692">
        <v>963</v>
      </c>
      <c r="F692" s="511" t="s">
        <v>1046</v>
      </c>
      <c r="G692" s="84" t="s">
        <v>1825</v>
      </c>
      <c r="H692">
        <v>691</v>
      </c>
      <c r="I692" s="394" t="s">
        <v>370</v>
      </c>
    </row>
    <row r="693" spans="1:9">
      <c r="A693" s="511" t="s">
        <v>1826</v>
      </c>
      <c r="B693" s="84" t="s">
        <v>1827</v>
      </c>
      <c r="C693">
        <v>692</v>
      </c>
      <c r="D693">
        <v>964</v>
      </c>
      <c r="F693" s="511" t="s">
        <v>1048</v>
      </c>
      <c r="G693" s="84" t="s">
        <v>1827</v>
      </c>
      <c r="H693">
        <v>692</v>
      </c>
      <c r="I693" s="394" t="s">
        <v>370</v>
      </c>
    </row>
    <row r="694" spans="1:9">
      <c r="A694" s="511" t="s">
        <v>1828</v>
      </c>
      <c r="B694" s="84" t="s">
        <v>1829</v>
      </c>
      <c r="C694">
        <v>693</v>
      </c>
      <c r="D694">
        <v>965</v>
      </c>
      <c r="F694" s="511" t="s">
        <v>1050</v>
      </c>
      <c r="G694" s="84" t="s">
        <v>1829</v>
      </c>
      <c r="H694">
        <v>693</v>
      </c>
      <c r="I694" s="394" t="s">
        <v>370</v>
      </c>
    </row>
    <row r="695" spans="1:9">
      <c r="A695" s="511" t="s">
        <v>1830</v>
      </c>
      <c r="B695" s="84" t="s">
        <v>1831</v>
      </c>
      <c r="C695">
        <v>694</v>
      </c>
      <c r="D695">
        <v>966</v>
      </c>
      <c r="F695" s="511" t="s">
        <v>1052</v>
      </c>
      <c r="G695" s="84" t="s">
        <v>1831</v>
      </c>
      <c r="H695">
        <v>694</v>
      </c>
      <c r="I695" s="394" t="s">
        <v>370</v>
      </c>
    </row>
    <row r="696" spans="1:9">
      <c r="A696" s="511" t="s">
        <v>1832</v>
      </c>
      <c r="B696" s="84" t="s">
        <v>1833</v>
      </c>
      <c r="C696">
        <v>695</v>
      </c>
      <c r="D696">
        <v>967</v>
      </c>
      <c r="F696" s="511" t="s">
        <v>1054</v>
      </c>
      <c r="G696" s="84" t="s">
        <v>1833</v>
      </c>
      <c r="H696">
        <v>695</v>
      </c>
      <c r="I696" s="394" t="s">
        <v>370</v>
      </c>
    </row>
    <row r="697" spans="1:9">
      <c r="A697" s="511" t="s">
        <v>1834</v>
      </c>
      <c r="B697" s="84" t="s">
        <v>1835</v>
      </c>
      <c r="C697">
        <v>696</v>
      </c>
      <c r="D697">
        <v>968</v>
      </c>
      <c r="F697" s="511" t="s">
        <v>1056</v>
      </c>
      <c r="G697" s="84" t="s">
        <v>1835</v>
      </c>
      <c r="H697">
        <v>696</v>
      </c>
      <c r="I697" s="394" t="s">
        <v>370</v>
      </c>
    </row>
    <row r="698" spans="1:9">
      <c r="A698" s="511" t="s">
        <v>1836</v>
      </c>
      <c r="B698" s="84" t="s">
        <v>1837</v>
      </c>
      <c r="C698">
        <v>697</v>
      </c>
      <c r="D698">
        <v>969</v>
      </c>
      <c r="F698" s="511" t="s">
        <v>1205</v>
      </c>
      <c r="G698" s="84" t="s">
        <v>1837</v>
      </c>
      <c r="H698">
        <v>697</v>
      </c>
      <c r="I698" s="394" t="s">
        <v>370</v>
      </c>
    </row>
    <row r="699" spans="1:9">
      <c r="A699" s="511" t="s">
        <v>1838</v>
      </c>
      <c r="B699" s="84" t="s">
        <v>1839</v>
      </c>
      <c r="C699">
        <v>698</v>
      </c>
      <c r="D699">
        <v>970</v>
      </c>
      <c r="F699" s="511" t="s">
        <v>1208</v>
      </c>
      <c r="G699" s="84" t="s">
        <v>1839</v>
      </c>
      <c r="H699">
        <v>698</v>
      </c>
      <c r="I699" s="394" t="s">
        <v>370</v>
      </c>
    </row>
    <row r="700" spans="1:9">
      <c r="A700" s="511" t="s">
        <v>1840</v>
      </c>
      <c r="B700" s="84" t="s">
        <v>1841</v>
      </c>
      <c r="C700">
        <v>699</v>
      </c>
      <c r="D700">
        <v>971</v>
      </c>
      <c r="F700" s="511" t="s">
        <v>1211</v>
      </c>
      <c r="G700" s="84" t="s">
        <v>1841</v>
      </c>
      <c r="H700">
        <v>699</v>
      </c>
      <c r="I700" s="394" t="s">
        <v>370</v>
      </c>
    </row>
    <row r="701" spans="1:9">
      <c r="A701" s="511" t="s">
        <v>1842</v>
      </c>
      <c r="B701" s="84" t="s">
        <v>1843</v>
      </c>
      <c r="C701">
        <v>700</v>
      </c>
      <c r="D701">
        <v>972</v>
      </c>
      <c r="F701" s="511" t="s">
        <v>1214</v>
      </c>
      <c r="G701" s="84" t="s">
        <v>1843</v>
      </c>
      <c r="H701">
        <v>700</v>
      </c>
      <c r="I701" s="394" t="s">
        <v>370</v>
      </c>
    </row>
    <row r="702" spans="1:9">
      <c r="A702" s="511" t="s">
        <v>1844</v>
      </c>
      <c r="B702" s="84" t="s">
        <v>1845</v>
      </c>
      <c r="C702">
        <v>701</v>
      </c>
      <c r="D702">
        <v>973</v>
      </c>
      <c r="F702" s="511" t="s">
        <v>1217</v>
      </c>
      <c r="G702" s="84" t="s">
        <v>1845</v>
      </c>
      <c r="H702">
        <v>701</v>
      </c>
      <c r="I702" s="394" t="s">
        <v>370</v>
      </c>
    </row>
    <row r="703" spans="1:9">
      <c r="A703" s="511" t="s">
        <v>1846</v>
      </c>
      <c r="B703" s="84" t="s">
        <v>1847</v>
      </c>
      <c r="C703">
        <v>702</v>
      </c>
      <c r="D703">
        <v>974</v>
      </c>
      <c r="F703" s="511" t="s">
        <v>1220</v>
      </c>
      <c r="G703" s="84" t="s">
        <v>1847</v>
      </c>
      <c r="H703">
        <v>702</v>
      </c>
      <c r="I703" s="394" t="s">
        <v>370</v>
      </c>
    </row>
    <row r="704" spans="1:9">
      <c r="A704" s="511" t="s">
        <v>1848</v>
      </c>
      <c r="B704" s="84" t="s">
        <v>1849</v>
      </c>
      <c r="C704">
        <v>703</v>
      </c>
      <c r="D704">
        <v>975</v>
      </c>
      <c r="F704" s="511" t="s">
        <v>1223</v>
      </c>
      <c r="G704" s="84" t="s">
        <v>1849</v>
      </c>
      <c r="H704">
        <v>703</v>
      </c>
      <c r="I704" s="394" t="s">
        <v>370</v>
      </c>
    </row>
    <row r="705" spans="1:9">
      <c r="A705" s="511" t="s">
        <v>1850</v>
      </c>
      <c r="B705" s="84" t="s">
        <v>1851</v>
      </c>
      <c r="C705">
        <v>704</v>
      </c>
      <c r="D705">
        <v>976</v>
      </c>
      <c r="F705" s="511" t="s">
        <v>1235</v>
      </c>
      <c r="G705" s="84" t="s">
        <v>1851</v>
      </c>
      <c r="H705">
        <v>704</v>
      </c>
      <c r="I705" s="394" t="s">
        <v>370</v>
      </c>
    </row>
    <row r="706" spans="1:9">
      <c r="A706" s="511" t="s">
        <v>1852</v>
      </c>
      <c r="B706" s="84" t="s">
        <v>1853</v>
      </c>
      <c r="C706">
        <v>705</v>
      </c>
      <c r="D706">
        <v>977</v>
      </c>
      <c r="F706" s="511" t="s">
        <v>1080</v>
      </c>
      <c r="G706" s="84" t="s">
        <v>1853</v>
      </c>
      <c r="H706">
        <v>705</v>
      </c>
      <c r="I706" s="394" t="s">
        <v>370</v>
      </c>
    </row>
    <row r="707" spans="1:9">
      <c r="A707" s="511" t="s">
        <v>1854</v>
      </c>
      <c r="B707" s="84" t="s">
        <v>1855</v>
      </c>
      <c r="C707">
        <v>706</v>
      </c>
      <c r="D707">
        <v>978</v>
      </c>
      <c r="F707" s="511" t="s">
        <v>1083</v>
      </c>
      <c r="G707" s="84" t="s">
        <v>1855</v>
      </c>
      <c r="H707">
        <v>706</v>
      </c>
      <c r="I707" s="394" t="s">
        <v>370</v>
      </c>
    </row>
    <row r="708" spans="1:9">
      <c r="A708" s="511" t="s">
        <v>1856</v>
      </c>
      <c r="B708" s="84" t="s">
        <v>1857</v>
      </c>
      <c r="C708">
        <v>707</v>
      </c>
      <c r="D708">
        <v>979</v>
      </c>
      <c r="F708" s="511" t="s">
        <v>1086</v>
      </c>
      <c r="G708" s="84" t="s">
        <v>1857</v>
      </c>
      <c r="H708">
        <v>707</v>
      </c>
      <c r="I708" s="394" t="s">
        <v>370</v>
      </c>
    </row>
    <row r="709" spans="1:9">
      <c r="A709" s="511" t="s">
        <v>1858</v>
      </c>
      <c r="B709" s="84" t="s">
        <v>1859</v>
      </c>
      <c r="C709">
        <v>708</v>
      </c>
      <c r="D709">
        <v>980</v>
      </c>
      <c r="F709" s="511" t="s">
        <v>1089</v>
      </c>
      <c r="G709" s="84" t="s">
        <v>1859</v>
      </c>
      <c r="H709">
        <v>708</v>
      </c>
      <c r="I709" s="394" t="s">
        <v>370</v>
      </c>
    </row>
    <row r="710" spans="1:9">
      <c r="A710" s="511" t="s">
        <v>1860</v>
      </c>
      <c r="B710" s="84" t="s">
        <v>1861</v>
      </c>
      <c r="C710">
        <v>709</v>
      </c>
      <c r="D710">
        <v>981</v>
      </c>
      <c r="F710" s="511" t="s">
        <v>1091</v>
      </c>
      <c r="G710" s="84" t="s">
        <v>1861</v>
      </c>
      <c r="H710">
        <v>709</v>
      </c>
      <c r="I710" s="394" t="s">
        <v>370</v>
      </c>
    </row>
    <row r="711" spans="1:9">
      <c r="A711" s="511" t="s">
        <v>1862</v>
      </c>
      <c r="B711" s="84" t="s">
        <v>1863</v>
      </c>
      <c r="C711">
        <v>710</v>
      </c>
      <c r="D711">
        <v>982</v>
      </c>
      <c r="F711" s="511" t="s">
        <v>1093</v>
      </c>
      <c r="G711" s="84" t="s">
        <v>1863</v>
      </c>
      <c r="H711">
        <v>710</v>
      </c>
      <c r="I711" s="394" t="s">
        <v>370</v>
      </c>
    </row>
    <row r="712" spans="1:9">
      <c r="A712" s="511" t="s">
        <v>1864</v>
      </c>
      <c r="B712" s="84" t="s">
        <v>1865</v>
      </c>
      <c r="C712">
        <v>711</v>
      </c>
      <c r="D712">
        <v>983</v>
      </c>
      <c r="F712" s="511" t="s">
        <v>1095</v>
      </c>
      <c r="G712" s="84" t="s">
        <v>1865</v>
      </c>
      <c r="H712">
        <v>711</v>
      </c>
      <c r="I712" s="394" t="s">
        <v>370</v>
      </c>
    </row>
    <row r="713" spans="1:9">
      <c r="A713" s="511" t="s">
        <v>1866</v>
      </c>
      <c r="B713" s="84" t="s">
        <v>1867</v>
      </c>
      <c r="C713">
        <v>712</v>
      </c>
      <c r="D713">
        <v>984</v>
      </c>
      <c r="F713" s="511" t="s">
        <v>1097</v>
      </c>
      <c r="G713" s="84" t="s">
        <v>1867</v>
      </c>
      <c r="H713">
        <v>712</v>
      </c>
      <c r="I713" s="394" t="s">
        <v>370</v>
      </c>
    </row>
    <row r="714" spans="1:9">
      <c r="A714" s="511" t="s">
        <v>1868</v>
      </c>
      <c r="B714" s="84" t="s">
        <v>1869</v>
      </c>
      <c r="C714">
        <v>713</v>
      </c>
      <c r="D714">
        <v>985</v>
      </c>
      <c r="F714" s="511" t="s">
        <v>1254</v>
      </c>
      <c r="G714" s="84" t="s">
        <v>1869</v>
      </c>
      <c r="H714">
        <v>713</v>
      </c>
      <c r="I714" s="394" t="s">
        <v>370</v>
      </c>
    </row>
    <row r="715" spans="1:9">
      <c r="A715" s="511" t="s">
        <v>1870</v>
      </c>
      <c r="B715" s="84" t="s">
        <v>1871</v>
      </c>
      <c r="C715">
        <v>714</v>
      </c>
      <c r="D715">
        <v>986</v>
      </c>
      <c r="F715" s="511" t="s">
        <v>1257</v>
      </c>
      <c r="G715" s="84" t="s">
        <v>1871</v>
      </c>
      <c r="H715">
        <v>714</v>
      </c>
      <c r="I715" s="394" t="s">
        <v>370</v>
      </c>
    </row>
    <row r="716" spans="1:9">
      <c r="A716" s="511" t="s">
        <v>1872</v>
      </c>
      <c r="B716" s="84" t="s">
        <v>1873</v>
      </c>
      <c r="C716">
        <v>715</v>
      </c>
      <c r="D716">
        <v>987</v>
      </c>
      <c r="F716" s="511" t="s">
        <v>1260</v>
      </c>
      <c r="G716" s="84" t="s">
        <v>1873</v>
      </c>
      <c r="H716">
        <v>715</v>
      </c>
      <c r="I716" s="394" t="s">
        <v>370</v>
      </c>
    </row>
    <row r="717" spans="1:9">
      <c r="A717" s="511" t="s">
        <v>1874</v>
      </c>
      <c r="B717" s="84" t="s">
        <v>1875</v>
      </c>
      <c r="C717">
        <v>716</v>
      </c>
      <c r="D717">
        <v>988</v>
      </c>
      <c r="F717" s="511" t="s">
        <v>1263</v>
      </c>
      <c r="G717" s="84" t="s">
        <v>1875</v>
      </c>
      <c r="H717">
        <v>716</v>
      </c>
      <c r="I717" s="394" t="s">
        <v>370</v>
      </c>
    </row>
    <row r="718" spans="1:9">
      <c r="A718" s="511" t="s">
        <v>1876</v>
      </c>
      <c r="B718" s="84" t="s">
        <v>1877</v>
      </c>
      <c r="C718">
        <v>717</v>
      </c>
      <c r="D718">
        <v>989</v>
      </c>
      <c r="F718" s="511" t="s">
        <v>1266</v>
      </c>
      <c r="G718" s="84" t="s">
        <v>1877</v>
      </c>
      <c r="H718">
        <v>717</v>
      </c>
      <c r="I718" s="394" t="s">
        <v>370</v>
      </c>
    </row>
    <row r="719" spans="1:9">
      <c r="A719" s="511" t="s">
        <v>1878</v>
      </c>
      <c r="B719" s="84" t="s">
        <v>1879</v>
      </c>
      <c r="C719">
        <v>718</v>
      </c>
      <c r="D719">
        <v>990</v>
      </c>
      <c r="F719" s="511" t="s">
        <v>1269</v>
      </c>
      <c r="G719" s="84" t="s">
        <v>1879</v>
      </c>
      <c r="H719">
        <v>718</v>
      </c>
      <c r="I719" s="394" t="s">
        <v>370</v>
      </c>
    </row>
    <row r="720" spans="1:9">
      <c r="A720" s="511" t="s">
        <v>1880</v>
      </c>
      <c r="B720" s="84" t="s">
        <v>1881</v>
      </c>
      <c r="C720">
        <v>719</v>
      </c>
      <c r="D720">
        <v>991</v>
      </c>
      <c r="F720" s="511" t="s">
        <v>1272</v>
      </c>
      <c r="G720" s="84" t="s">
        <v>1881</v>
      </c>
      <c r="H720">
        <v>719</v>
      </c>
      <c r="I720" s="394" t="s">
        <v>370</v>
      </c>
    </row>
    <row r="721" spans="1:9">
      <c r="A721" s="511" t="s">
        <v>1882</v>
      </c>
      <c r="B721" s="84" t="s">
        <v>1883</v>
      </c>
      <c r="C721">
        <v>720</v>
      </c>
      <c r="D721">
        <v>992</v>
      </c>
      <c r="F721" s="511" t="s">
        <v>1284</v>
      </c>
      <c r="G721" s="84" t="s">
        <v>1883</v>
      </c>
      <c r="H721">
        <v>720</v>
      </c>
      <c r="I721" s="394" t="s">
        <v>370</v>
      </c>
    </row>
    <row r="722" spans="1:9">
      <c r="A722" s="511" t="s">
        <v>1884</v>
      </c>
      <c r="B722" s="84" t="s">
        <v>1885</v>
      </c>
      <c r="C722">
        <v>721</v>
      </c>
      <c r="D722">
        <v>993</v>
      </c>
      <c r="F722" s="511" t="s">
        <v>1117</v>
      </c>
      <c r="G722" s="84" t="s">
        <v>1885</v>
      </c>
      <c r="H722">
        <v>721</v>
      </c>
      <c r="I722" s="394" t="s">
        <v>370</v>
      </c>
    </row>
    <row r="723" spans="1:9">
      <c r="A723" s="511" t="s">
        <v>1886</v>
      </c>
      <c r="B723" s="84" t="s">
        <v>1887</v>
      </c>
      <c r="C723">
        <v>722</v>
      </c>
      <c r="D723">
        <v>994</v>
      </c>
      <c r="F723" s="511" t="s">
        <v>1120</v>
      </c>
      <c r="G723" s="84" t="s">
        <v>1887</v>
      </c>
      <c r="H723">
        <v>722</v>
      </c>
      <c r="I723" s="394" t="s">
        <v>370</v>
      </c>
    </row>
    <row r="724" spans="1:9">
      <c r="A724" s="511" t="s">
        <v>1888</v>
      </c>
      <c r="B724" s="84" t="s">
        <v>1889</v>
      </c>
      <c r="C724">
        <v>723</v>
      </c>
      <c r="D724">
        <v>995</v>
      </c>
      <c r="F724" s="511" t="s">
        <v>1123</v>
      </c>
      <c r="G724" s="84" t="s">
        <v>1889</v>
      </c>
      <c r="H724">
        <v>723</v>
      </c>
      <c r="I724" s="394" t="s">
        <v>370</v>
      </c>
    </row>
    <row r="725" spans="1:9">
      <c r="A725" s="511" t="s">
        <v>1890</v>
      </c>
      <c r="B725" s="84" t="s">
        <v>1891</v>
      </c>
      <c r="C725">
        <v>724</v>
      </c>
      <c r="D725">
        <v>996</v>
      </c>
      <c r="F725" s="511" t="s">
        <v>1126</v>
      </c>
      <c r="G725" s="84" t="s">
        <v>1891</v>
      </c>
      <c r="H725">
        <v>724</v>
      </c>
      <c r="I725" s="394" t="s">
        <v>370</v>
      </c>
    </row>
    <row r="726" spans="1:9">
      <c r="A726" s="511" t="s">
        <v>1892</v>
      </c>
      <c r="B726" s="84" t="s">
        <v>1893</v>
      </c>
      <c r="C726">
        <v>725</v>
      </c>
      <c r="D726">
        <v>997</v>
      </c>
      <c r="F726" s="511" t="s">
        <v>1129</v>
      </c>
      <c r="G726" s="84" t="s">
        <v>1893</v>
      </c>
      <c r="H726">
        <v>725</v>
      </c>
      <c r="I726" s="394" t="s">
        <v>370</v>
      </c>
    </row>
    <row r="727" spans="1:9">
      <c r="A727" s="511" t="s">
        <v>1894</v>
      </c>
      <c r="B727" s="84" t="s">
        <v>1895</v>
      </c>
      <c r="C727">
        <v>726</v>
      </c>
      <c r="D727">
        <v>998</v>
      </c>
      <c r="F727" s="511" t="s">
        <v>1132</v>
      </c>
      <c r="G727" s="84" t="s">
        <v>1895</v>
      </c>
      <c r="H727">
        <v>726</v>
      </c>
      <c r="I727" s="394" t="s">
        <v>370</v>
      </c>
    </row>
    <row r="728" spans="1:9">
      <c r="A728" s="511" t="s">
        <v>1896</v>
      </c>
      <c r="B728" s="84" t="s">
        <v>1897</v>
      </c>
      <c r="C728">
        <v>727</v>
      </c>
      <c r="D728">
        <v>999</v>
      </c>
      <c r="F728" s="511" t="s">
        <v>1135</v>
      </c>
      <c r="G728" s="84" t="s">
        <v>1897</v>
      </c>
      <c r="H728">
        <v>727</v>
      </c>
      <c r="I728" s="394" t="s">
        <v>370</v>
      </c>
    </row>
    <row r="729" spans="1:9">
      <c r="A729" s="511" t="s">
        <v>1898</v>
      </c>
      <c r="B729" s="84" t="s">
        <v>1899</v>
      </c>
      <c r="C729">
        <v>728</v>
      </c>
      <c r="D729">
        <v>1000</v>
      </c>
      <c r="F729" s="511" t="s">
        <v>1138</v>
      </c>
      <c r="G729" s="84" t="s">
        <v>1899</v>
      </c>
      <c r="H729">
        <v>728</v>
      </c>
      <c r="I729" s="394" t="s">
        <v>370</v>
      </c>
    </row>
    <row r="730" spans="1:9">
      <c r="A730" s="511" t="s">
        <v>1900</v>
      </c>
      <c r="B730" s="84" t="s">
        <v>1901</v>
      </c>
      <c r="C730">
        <v>729</v>
      </c>
      <c r="D730">
        <v>1001</v>
      </c>
      <c r="F730" s="511" t="s">
        <v>1303</v>
      </c>
      <c r="G730" s="84" t="s">
        <v>1901</v>
      </c>
      <c r="H730">
        <v>729</v>
      </c>
      <c r="I730" s="394" t="s">
        <v>370</v>
      </c>
    </row>
    <row r="731" spans="1:9">
      <c r="A731" s="511" t="s">
        <v>1902</v>
      </c>
      <c r="B731" s="84" t="s">
        <v>1903</v>
      </c>
      <c r="C731">
        <v>730</v>
      </c>
      <c r="D731">
        <v>1002</v>
      </c>
      <c r="F731" s="511" t="s">
        <v>1306</v>
      </c>
      <c r="G731" s="84" t="s">
        <v>1903</v>
      </c>
      <c r="H731">
        <v>730</v>
      </c>
      <c r="I731" s="394" t="s">
        <v>370</v>
      </c>
    </row>
    <row r="732" spans="1:9">
      <c r="A732" s="511" t="s">
        <v>1904</v>
      </c>
      <c r="B732" s="84" t="s">
        <v>1905</v>
      </c>
      <c r="C732">
        <v>731</v>
      </c>
      <c r="D732">
        <v>1003</v>
      </c>
      <c r="F732" s="511" t="s">
        <v>1309</v>
      </c>
      <c r="G732" s="84" t="s">
        <v>1905</v>
      </c>
      <c r="H732">
        <v>731</v>
      </c>
      <c r="I732" s="394" t="s">
        <v>370</v>
      </c>
    </row>
    <row r="733" spans="1:9">
      <c r="A733" s="511" t="s">
        <v>1906</v>
      </c>
      <c r="B733" s="84" t="s">
        <v>1907</v>
      </c>
      <c r="C733">
        <v>732</v>
      </c>
      <c r="D733">
        <v>1004</v>
      </c>
      <c r="F733" s="511" t="s">
        <v>1312</v>
      </c>
      <c r="G733" s="84" t="s">
        <v>1907</v>
      </c>
      <c r="H733">
        <v>732</v>
      </c>
      <c r="I733" s="394" t="s">
        <v>370</v>
      </c>
    </row>
    <row r="734" spans="1:9">
      <c r="A734" s="511" t="s">
        <v>1908</v>
      </c>
      <c r="B734" s="84" t="s">
        <v>1909</v>
      </c>
      <c r="C734">
        <v>733</v>
      </c>
      <c r="D734">
        <v>1005</v>
      </c>
      <c r="F734" s="511" t="s">
        <v>1315</v>
      </c>
      <c r="G734" s="84" t="s">
        <v>1909</v>
      </c>
      <c r="H734">
        <v>733</v>
      </c>
      <c r="I734" s="394" t="s">
        <v>370</v>
      </c>
    </row>
    <row r="735" spans="1:9">
      <c r="A735" s="511" t="s">
        <v>1910</v>
      </c>
      <c r="B735" s="84" t="s">
        <v>1911</v>
      </c>
      <c r="C735">
        <v>734</v>
      </c>
      <c r="D735">
        <v>1006</v>
      </c>
      <c r="F735" s="511" t="s">
        <v>1318</v>
      </c>
      <c r="G735" s="84" t="s">
        <v>1911</v>
      </c>
      <c r="H735">
        <v>734</v>
      </c>
      <c r="I735" s="394" t="s">
        <v>370</v>
      </c>
    </row>
    <row r="736" spans="1:9">
      <c r="A736" s="511" t="s">
        <v>1912</v>
      </c>
      <c r="B736" s="84" t="s">
        <v>1913</v>
      </c>
      <c r="C736">
        <v>735</v>
      </c>
      <c r="D736">
        <v>1007</v>
      </c>
      <c r="F736" s="511" t="s">
        <v>1321</v>
      </c>
      <c r="G736" s="84" t="s">
        <v>1913</v>
      </c>
      <c r="H736">
        <v>735</v>
      </c>
      <c r="I736" s="394" t="s">
        <v>370</v>
      </c>
    </row>
    <row r="737" spans="1:9">
      <c r="A737" s="511" t="s">
        <v>1914</v>
      </c>
      <c r="B737" s="84" t="s">
        <v>1915</v>
      </c>
      <c r="C737">
        <v>736</v>
      </c>
      <c r="D737">
        <v>1008</v>
      </c>
      <c r="F737" s="511" t="s">
        <v>1333</v>
      </c>
      <c r="G737" s="84" t="s">
        <v>1915</v>
      </c>
      <c r="H737">
        <v>736</v>
      </c>
      <c r="I737" s="394" t="s">
        <v>370</v>
      </c>
    </row>
    <row r="738" spans="1:9">
      <c r="A738" s="511" t="s">
        <v>1916</v>
      </c>
      <c r="B738" s="84" t="s">
        <v>1917</v>
      </c>
      <c r="C738">
        <v>737</v>
      </c>
      <c r="D738">
        <v>1009</v>
      </c>
      <c r="F738" s="511" t="s">
        <v>1154</v>
      </c>
      <c r="G738" s="84" t="s">
        <v>1917</v>
      </c>
      <c r="H738">
        <v>737</v>
      </c>
      <c r="I738" s="394" t="s">
        <v>370</v>
      </c>
    </row>
    <row r="739" spans="1:9">
      <c r="A739" s="511" t="s">
        <v>1918</v>
      </c>
      <c r="B739" s="84" t="s">
        <v>1919</v>
      </c>
      <c r="C739">
        <v>738</v>
      </c>
      <c r="D739">
        <v>1010</v>
      </c>
      <c r="F739" s="511" t="s">
        <v>1157</v>
      </c>
      <c r="G739" s="84" t="s">
        <v>1919</v>
      </c>
      <c r="H739">
        <v>738</v>
      </c>
      <c r="I739" s="394" t="s">
        <v>370</v>
      </c>
    </row>
    <row r="740" spans="1:9">
      <c r="A740" s="511" t="s">
        <v>1920</v>
      </c>
      <c r="B740" s="84" t="s">
        <v>1921</v>
      </c>
      <c r="C740">
        <v>739</v>
      </c>
      <c r="D740">
        <v>1011</v>
      </c>
      <c r="F740" s="511" t="s">
        <v>1160</v>
      </c>
      <c r="G740" s="84" t="s">
        <v>1921</v>
      </c>
      <c r="H740">
        <v>739</v>
      </c>
      <c r="I740" s="394" t="s">
        <v>370</v>
      </c>
    </row>
    <row r="741" spans="1:9">
      <c r="A741" s="511" t="s">
        <v>1922</v>
      </c>
      <c r="B741" s="84" t="s">
        <v>1923</v>
      </c>
      <c r="C741">
        <v>740</v>
      </c>
      <c r="D741">
        <v>1012</v>
      </c>
      <c r="F741" s="511" t="s">
        <v>1163</v>
      </c>
      <c r="G741" s="84" t="s">
        <v>1923</v>
      </c>
      <c r="H741">
        <v>740</v>
      </c>
      <c r="I741" s="394" t="s">
        <v>370</v>
      </c>
    </row>
    <row r="742" spans="1:9">
      <c r="A742" s="511" t="s">
        <v>1924</v>
      </c>
      <c r="B742" s="84" t="s">
        <v>1925</v>
      </c>
      <c r="C742">
        <v>741</v>
      </c>
      <c r="D742">
        <v>1013</v>
      </c>
      <c r="F742" s="511" t="s">
        <v>1166</v>
      </c>
      <c r="G742" s="84" t="s">
        <v>1925</v>
      </c>
      <c r="H742">
        <v>741</v>
      </c>
      <c r="I742" s="394" t="s">
        <v>370</v>
      </c>
    </row>
    <row r="743" spans="1:9">
      <c r="A743" s="511" t="s">
        <v>1926</v>
      </c>
      <c r="B743" s="84" t="s">
        <v>1927</v>
      </c>
      <c r="C743">
        <v>742</v>
      </c>
      <c r="D743">
        <v>1014</v>
      </c>
      <c r="F743" s="511" t="s">
        <v>1169</v>
      </c>
      <c r="G743" s="84" t="s">
        <v>1927</v>
      </c>
      <c r="H743">
        <v>742</v>
      </c>
      <c r="I743" s="394" t="s">
        <v>370</v>
      </c>
    </row>
    <row r="744" spans="1:9">
      <c r="A744" s="511" t="s">
        <v>1928</v>
      </c>
      <c r="B744" s="84" t="s">
        <v>1929</v>
      </c>
      <c r="C744">
        <v>743</v>
      </c>
      <c r="D744">
        <v>1015</v>
      </c>
      <c r="F744" s="511" t="s">
        <v>1172</v>
      </c>
      <c r="G744" s="84" t="s">
        <v>1929</v>
      </c>
      <c r="H744">
        <v>743</v>
      </c>
      <c r="I744" s="394" t="s">
        <v>370</v>
      </c>
    </row>
    <row r="745" spans="1:9">
      <c r="A745" s="511" t="s">
        <v>1930</v>
      </c>
      <c r="B745" s="84" t="s">
        <v>1931</v>
      </c>
      <c r="C745">
        <v>744</v>
      </c>
      <c r="D745">
        <v>1016</v>
      </c>
      <c r="F745" s="511" t="s">
        <v>1175</v>
      </c>
      <c r="G745" s="84" t="s">
        <v>1931</v>
      </c>
      <c r="H745">
        <v>744</v>
      </c>
      <c r="I745" s="394" t="s">
        <v>370</v>
      </c>
    </row>
    <row r="746" spans="1:9">
      <c r="A746" s="511" t="s">
        <v>1932</v>
      </c>
      <c r="B746" s="84" t="s">
        <v>1933</v>
      </c>
      <c r="C746">
        <v>745</v>
      </c>
      <c r="D746">
        <v>1017</v>
      </c>
      <c r="F746" s="511" t="s">
        <v>1352</v>
      </c>
      <c r="G746" s="84" t="s">
        <v>1933</v>
      </c>
      <c r="H746">
        <v>745</v>
      </c>
      <c r="I746" s="394" t="s">
        <v>370</v>
      </c>
    </row>
    <row r="747" spans="1:9">
      <c r="A747" s="511" t="s">
        <v>1934</v>
      </c>
      <c r="B747" s="84" t="s">
        <v>1935</v>
      </c>
      <c r="C747">
        <v>746</v>
      </c>
      <c r="D747">
        <v>1018</v>
      </c>
      <c r="F747" s="511" t="s">
        <v>1355</v>
      </c>
      <c r="G747" s="84" t="s">
        <v>1935</v>
      </c>
      <c r="H747">
        <v>746</v>
      </c>
      <c r="I747" s="394" t="s">
        <v>370</v>
      </c>
    </row>
    <row r="748" spans="1:9">
      <c r="A748" s="511" t="s">
        <v>1936</v>
      </c>
      <c r="B748" s="84" t="s">
        <v>1937</v>
      </c>
      <c r="C748">
        <v>747</v>
      </c>
      <c r="D748">
        <v>1019</v>
      </c>
      <c r="F748" s="511" t="s">
        <v>1358</v>
      </c>
      <c r="G748" s="84" t="s">
        <v>1937</v>
      </c>
      <c r="H748">
        <v>747</v>
      </c>
      <c r="I748" s="394" t="s">
        <v>370</v>
      </c>
    </row>
    <row r="749" spans="1:9">
      <c r="A749" s="511" t="s">
        <v>1938</v>
      </c>
      <c r="B749" s="84" t="s">
        <v>1939</v>
      </c>
      <c r="C749">
        <v>748</v>
      </c>
      <c r="D749">
        <v>1020</v>
      </c>
      <c r="F749" s="511" t="s">
        <v>1361</v>
      </c>
      <c r="G749" s="84" t="s">
        <v>1939</v>
      </c>
      <c r="H749">
        <v>748</v>
      </c>
      <c r="I749" s="394" t="s">
        <v>370</v>
      </c>
    </row>
    <row r="750" spans="1:9">
      <c r="A750" s="511" t="s">
        <v>1940</v>
      </c>
      <c r="B750" s="84" t="s">
        <v>1941</v>
      </c>
      <c r="C750">
        <v>749</v>
      </c>
      <c r="D750">
        <v>1021</v>
      </c>
      <c r="F750" s="511" t="s">
        <v>1364</v>
      </c>
      <c r="G750" s="84" t="s">
        <v>1941</v>
      </c>
      <c r="H750">
        <v>749</v>
      </c>
      <c r="I750" s="394" t="s">
        <v>370</v>
      </c>
    </row>
    <row r="751" spans="1:9">
      <c r="A751" s="511" t="s">
        <v>1942</v>
      </c>
      <c r="B751" s="84" t="s">
        <v>1943</v>
      </c>
      <c r="C751">
        <v>750</v>
      </c>
      <c r="D751">
        <v>1022</v>
      </c>
      <c r="F751" s="511" t="s">
        <v>1367</v>
      </c>
      <c r="G751" s="84" t="s">
        <v>1943</v>
      </c>
      <c r="H751">
        <v>750</v>
      </c>
      <c r="I751" s="394" t="s">
        <v>370</v>
      </c>
    </row>
    <row r="752" spans="1:9">
      <c r="A752" s="511" t="s">
        <v>1944</v>
      </c>
      <c r="B752" s="84" t="s">
        <v>1945</v>
      </c>
      <c r="C752">
        <v>751</v>
      </c>
      <c r="D752">
        <v>1023</v>
      </c>
      <c r="F752" s="511" t="s">
        <v>1370</v>
      </c>
      <c r="G752" s="84" t="s">
        <v>1945</v>
      </c>
      <c r="H752">
        <v>751</v>
      </c>
      <c r="I752" s="394" t="s">
        <v>370</v>
      </c>
    </row>
    <row r="753" spans="1:10">
      <c r="A753" s="511" t="s">
        <v>1946</v>
      </c>
      <c r="B753" s="84" t="s">
        <v>1947</v>
      </c>
      <c r="C753">
        <v>752</v>
      </c>
      <c r="D753">
        <v>1024</v>
      </c>
      <c r="F753" s="511" t="s">
        <v>1382</v>
      </c>
      <c r="G753" s="84" t="s">
        <v>1947</v>
      </c>
      <c r="H753">
        <v>752</v>
      </c>
      <c r="I753" s="394" t="s">
        <v>370</v>
      </c>
    </row>
    <row r="754" spans="1:10">
      <c r="A754" s="511" t="s">
        <v>1948</v>
      </c>
      <c r="B754" s="84" t="s">
        <v>1949</v>
      </c>
      <c r="C754">
        <v>753</v>
      </c>
      <c r="D754">
        <v>1025</v>
      </c>
      <c r="F754" s="511" t="s">
        <v>1195</v>
      </c>
      <c r="G754" s="84" t="s">
        <v>1949</v>
      </c>
      <c r="H754">
        <v>753</v>
      </c>
      <c r="I754" s="394" t="s">
        <v>370</v>
      </c>
    </row>
    <row r="755" spans="1:10">
      <c r="A755" s="511" t="s">
        <v>1950</v>
      </c>
      <c r="B755" s="84" t="s">
        <v>1951</v>
      </c>
      <c r="C755">
        <v>754</v>
      </c>
      <c r="D755">
        <v>1026</v>
      </c>
      <c r="F755" s="511" t="s">
        <v>1197</v>
      </c>
      <c r="G755" s="84" t="s">
        <v>1951</v>
      </c>
      <c r="H755">
        <v>754</v>
      </c>
      <c r="I755" s="394" t="s">
        <v>370</v>
      </c>
    </row>
    <row r="756" spans="1:10">
      <c r="A756" s="511" t="s">
        <v>1952</v>
      </c>
      <c r="B756" s="84" t="s">
        <v>1953</v>
      </c>
      <c r="C756">
        <v>755</v>
      </c>
      <c r="D756">
        <v>1027</v>
      </c>
      <c r="F756" s="511" t="s">
        <v>1393</v>
      </c>
      <c r="G756" s="84" t="s">
        <v>1953</v>
      </c>
      <c r="H756">
        <v>755</v>
      </c>
      <c r="J756" t="b">
        <f>A504=F756</f>
        <v>1</v>
      </c>
    </row>
    <row r="757" spans="1:10">
      <c r="A757" s="511" t="s">
        <v>1954</v>
      </c>
      <c r="B757" s="84" t="s">
        <v>1955</v>
      </c>
      <c r="C757">
        <v>756</v>
      </c>
      <c r="D757">
        <v>1028</v>
      </c>
      <c r="F757" s="511" t="s">
        <v>1395</v>
      </c>
      <c r="G757" s="84" t="s">
        <v>1955</v>
      </c>
      <c r="H757">
        <v>756</v>
      </c>
      <c r="J757" t="b">
        <f t="shared" ref="J757:J771" si="22">A505=F757</f>
        <v>1</v>
      </c>
    </row>
    <row r="758" spans="1:10">
      <c r="A758" s="511" t="s">
        <v>1956</v>
      </c>
      <c r="B758" s="84" t="s">
        <v>1957</v>
      </c>
      <c r="C758">
        <v>757</v>
      </c>
      <c r="D758">
        <v>1029</v>
      </c>
      <c r="F758" s="511" t="s">
        <v>1397</v>
      </c>
      <c r="G758" s="84" t="s">
        <v>1957</v>
      </c>
      <c r="H758">
        <v>757</v>
      </c>
      <c r="J758" t="b">
        <f t="shared" si="22"/>
        <v>1</v>
      </c>
    </row>
    <row r="759" spans="1:10">
      <c r="A759" s="511" t="s">
        <v>1958</v>
      </c>
      <c r="B759" s="84" t="s">
        <v>1959</v>
      </c>
      <c r="C759">
        <v>758</v>
      </c>
      <c r="D759">
        <v>1030</v>
      </c>
      <c r="F759" s="511" t="s">
        <v>1399</v>
      </c>
      <c r="G759" s="84" t="s">
        <v>1959</v>
      </c>
      <c r="H759">
        <v>758</v>
      </c>
      <c r="J759" t="b">
        <f t="shared" si="22"/>
        <v>1</v>
      </c>
    </row>
    <row r="760" spans="1:10">
      <c r="A760" s="511" t="s">
        <v>1960</v>
      </c>
      <c r="B760" s="84" t="s">
        <v>1961</v>
      </c>
      <c r="C760">
        <v>759</v>
      </c>
      <c r="D760">
        <v>1031</v>
      </c>
      <c r="F760" s="511" t="s">
        <v>1402</v>
      </c>
      <c r="G760" s="84" t="s">
        <v>1961</v>
      </c>
      <c r="H760">
        <v>759</v>
      </c>
      <c r="J760" t="b">
        <f t="shared" si="22"/>
        <v>1</v>
      </c>
    </row>
    <row r="761" spans="1:10">
      <c r="A761" s="511" t="s">
        <v>1962</v>
      </c>
      <c r="B761" s="84" t="s">
        <v>1963</v>
      </c>
      <c r="C761">
        <v>760</v>
      </c>
      <c r="D761">
        <v>1032</v>
      </c>
      <c r="F761" s="511" t="s">
        <v>1405</v>
      </c>
      <c r="G761" s="84" t="s">
        <v>1963</v>
      </c>
      <c r="H761">
        <v>760</v>
      </c>
      <c r="J761" t="b">
        <f t="shared" si="22"/>
        <v>1</v>
      </c>
    </row>
    <row r="762" spans="1:10">
      <c r="A762" s="511" t="s">
        <v>1964</v>
      </c>
      <c r="B762" s="84" t="s">
        <v>1965</v>
      </c>
      <c r="C762">
        <v>761</v>
      </c>
      <c r="D762">
        <v>1033</v>
      </c>
      <c r="F762" s="511" t="s">
        <v>1966</v>
      </c>
      <c r="G762" s="84" t="s">
        <v>1965</v>
      </c>
      <c r="H762">
        <v>761</v>
      </c>
      <c r="I762" s="394" t="s">
        <v>840</v>
      </c>
      <c r="J762" t="b">
        <f t="shared" si="22"/>
        <v>0</v>
      </c>
    </row>
    <row r="763" spans="1:10">
      <c r="A763" s="511" t="s">
        <v>1967</v>
      </c>
      <c r="B763" s="84" t="s">
        <v>1968</v>
      </c>
      <c r="C763">
        <v>762</v>
      </c>
      <c r="D763">
        <v>1034</v>
      </c>
      <c r="F763" s="511" t="s">
        <v>1969</v>
      </c>
      <c r="G763" s="84" t="s">
        <v>1968</v>
      </c>
      <c r="H763">
        <v>762</v>
      </c>
      <c r="I763" s="394" t="s">
        <v>840</v>
      </c>
      <c r="J763" t="b">
        <f t="shared" si="22"/>
        <v>0</v>
      </c>
    </row>
    <row r="764" spans="1:10">
      <c r="A764" s="511" t="s">
        <v>1970</v>
      </c>
      <c r="B764" s="84" t="s">
        <v>1971</v>
      </c>
      <c r="C764">
        <v>763</v>
      </c>
      <c r="D764">
        <v>1035</v>
      </c>
      <c r="F764" s="511" t="s">
        <v>1972</v>
      </c>
      <c r="G764" s="84" t="s">
        <v>1971</v>
      </c>
      <c r="H764">
        <v>763</v>
      </c>
      <c r="I764" s="394" t="s">
        <v>370</v>
      </c>
      <c r="J764" t="b">
        <f t="shared" si="22"/>
        <v>0</v>
      </c>
    </row>
    <row r="765" spans="1:10">
      <c r="A765" s="511" t="s">
        <v>1973</v>
      </c>
      <c r="B765" s="84" t="s">
        <v>1974</v>
      </c>
      <c r="C765">
        <v>764</v>
      </c>
      <c r="D765">
        <v>1036</v>
      </c>
      <c r="F765" s="511" t="s">
        <v>1975</v>
      </c>
      <c r="G765" s="84" t="s">
        <v>1974</v>
      </c>
      <c r="H765">
        <v>764</v>
      </c>
      <c r="I765" s="394" t="s">
        <v>370</v>
      </c>
      <c r="J765" t="b">
        <f t="shared" si="22"/>
        <v>0</v>
      </c>
    </row>
    <row r="766" spans="1:10">
      <c r="A766" s="511" t="s">
        <v>1976</v>
      </c>
      <c r="B766" s="84" t="s">
        <v>1977</v>
      </c>
      <c r="C766">
        <v>765</v>
      </c>
      <c r="D766">
        <v>1037</v>
      </c>
      <c r="F766" s="511" t="s">
        <v>1978</v>
      </c>
      <c r="G766" s="84" t="s">
        <v>1977</v>
      </c>
      <c r="H766">
        <v>765</v>
      </c>
      <c r="I766" s="394" t="s">
        <v>840</v>
      </c>
      <c r="J766" t="b">
        <f t="shared" si="22"/>
        <v>0</v>
      </c>
    </row>
    <row r="767" spans="1:10">
      <c r="A767" s="511" t="s">
        <v>1979</v>
      </c>
      <c r="B767" s="84" t="s">
        <v>1980</v>
      </c>
      <c r="C767">
        <v>766</v>
      </c>
      <c r="D767">
        <v>1038</v>
      </c>
      <c r="F767" s="511" t="s">
        <v>1981</v>
      </c>
      <c r="G767" s="84" t="s">
        <v>1980</v>
      </c>
      <c r="H767">
        <v>766</v>
      </c>
      <c r="I767" s="394" t="s">
        <v>370</v>
      </c>
      <c r="J767" t="b">
        <f t="shared" si="22"/>
        <v>0</v>
      </c>
    </row>
    <row r="768" spans="1:10">
      <c r="A768" s="511" t="s">
        <v>1982</v>
      </c>
      <c r="B768" s="84" t="s">
        <v>1983</v>
      </c>
      <c r="C768">
        <v>767</v>
      </c>
      <c r="D768">
        <v>1039</v>
      </c>
      <c r="F768" s="511" t="s">
        <v>1984</v>
      </c>
      <c r="G768" s="84" t="s">
        <v>1983</v>
      </c>
      <c r="H768">
        <v>767</v>
      </c>
      <c r="I768" s="394" t="s">
        <v>840</v>
      </c>
      <c r="J768" t="b">
        <f t="shared" si="22"/>
        <v>0</v>
      </c>
    </row>
    <row r="769" spans="1:10">
      <c r="A769" s="511" t="s">
        <v>1985</v>
      </c>
      <c r="B769" s="84" t="s">
        <v>1986</v>
      </c>
      <c r="C769">
        <v>768</v>
      </c>
      <c r="D769">
        <v>1040</v>
      </c>
      <c r="F769" s="511" t="s">
        <v>1987</v>
      </c>
      <c r="G769" s="84" t="s">
        <v>1986</v>
      </c>
      <c r="H769">
        <v>768</v>
      </c>
      <c r="I769" s="394" t="s">
        <v>840</v>
      </c>
      <c r="J769" t="b">
        <f t="shared" si="22"/>
        <v>0</v>
      </c>
    </row>
    <row r="770" spans="1:10">
      <c r="A770" s="511" t="s">
        <v>1988</v>
      </c>
      <c r="B770" s="84" t="s">
        <v>1989</v>
      </c>
      <c r="C770">
        <v>769</v>
      </c>
      <c r="D770">
        <v>1041</v>
      </c>
      <c r="F770" s="511" t="s">
        <v>1990</v>
      </c>
      <c r="G770" s="84" t="s">
        <v>1989</v>
      </c>
      <c r="H770">
        <v>769</v>
      </c>
      <c r="I770" s="394" t="s">
        <v>370</v>
      </c>
      <c r="J770" t="b">
        <f t="shared" si="22"/>
        <v>0</v>
      </c>
    </row>
    <row r="771" spans="1:10">
      <c r="A771" s="511" t="s">
        <v>1991</v>
      </c>
      <c r="B771" s="84" t="s">
        <v>1992</v>
      </c>
      <c r="C771">
        <v>770</v>
      </c>
      <c r="D771">
        <v>1042</v>
      </c>
      <c r="F771" s="511" t="s">
        <v>1993</v>
      </c>
      <c r="G771" s="84" t="s">
        <v>1992</v>
      </c>
      <c r="H771">
        <v>770</v>
      </c>
      <c r="I771" s="394" t="s">
        <v>840</v>
      </c>
      <c r="J771" t="b">
        <f t="shared" si="22"/>
        <v>0</v>
      </c>
    </row>
    <row r="772" spans="1:10">
      <c r="A772" s="511" t="s">
        <v>1994</v>
      </c>
      <c r="B772" s="84" t="s">
        <v>1995</v>
      </c>
      <c r="C772">
        <v>771</v>
      </c>
      <c r="D772">
        <v>1043</v>
      </c>
      <c r="F772" s="511" t="s">
        <v>1996</v>
      </c>
      <c r="G772" s="84" t="s">
        <v>1995</v>
      </c>
      <c r="H772">
        <v>771</v>
      </c>
      <c r="J772" t="b">
        <f>A516=F772</f>
        <v>0</v>
      </c>
    </row>
    <row r="773" spans="1:10">
      <c r="A773" s="511" t="s">
        <v>1997</v>
      </c>
      <c r="B773" s="84" t="s">
        <v>1998</v>
      </c>
      <c r="C773">
        <v>772</v>
      </c>
      <c r="D773">
        <v>1044</v>
      </c>
      <c r="F773" s="511" t="s">
        <v>1429</v>
      </c>
      <c r="G773" s="84" t="s">
        <v>1998</v>
      </c>
      <c r="H773">
        <v>772</v>
      </c>
      <c r="J773" t="b">
        <f t="shared" ref="J773:J790" si="23">A517=F773</f>
        <v>1</v>
      </c>
    </row>
    <row r="774" spans="1:10">
      <c r="A774" s="511" t="s">
        <v>1999</v>
      </c>
      <c r="B774" s="84" t="s">
        <v>2000</v>
      </c>
      <c r="C774">
        <v>773</v>
      </c>
      <c r="D774">
        <v>1045</v>
      </c>
      <c r="F774" s="511" t="s">
        <v>1432</v>
      </c>
      <c r="G774" s="84" t="s">
        <v>2000</v>
      </c>
      <c r="H774">
        <v>773</v>
      </c>
      <c r="J774" t="b">
        <f t="shared" si="23"/>
        <v>1</v>
      </c>
    </row>
    <row r="775" spans="1:10">
      <c r="A775" s="511" t="s">
        <v>2001</v>
      </c>
      <c r="B775" s="84" t="s">
        <v>2002</v>
      </c>
      <c r="C775">
        <v>774</v>
      </c>
      <c r="D775">
        <v>1046</v>
      </c>
      <c r="F775" s="511" t="s">
        <v>1434</v>
      </c>
      <c r="G775" s="84" t="s">
        <v>2002</v>
      </c>
      <c r="H775">
        <v>774</v>
      </c>
      <c r="J775" t="b">
        <f t="shared" si="23"/>
        <v>1</v>
      </c>
    </row>
    <row r="776" spans="1:10">
      <c r="A776" s="511" t="s">
        <v>2003</v>
      </c>
      <c r="B776" s="84" t="s">
        <v>2004</v>
      </c>
      <c r="C776">
        <v>775</v>
      </c>
      <c r="D776">
        <v>1047</v>
      </c>
      <c r="F776" s="511" t="s">
        <v>1436</v>
      </c>
      <c r="G776" s="84" t="s">
        <v>2004</v>
      </c>
      <c r="H776">
        <v>775</v>
      </c>
      <c r="J776" t="b">
        <f t="shared" si="23"/>
        <v>1</v>
      </c>
    </row>
    <row r="777" spans="1:10">
      <c r="A777" s="511" t="s">
        <v>2005</v>
      </c>
      <c r="B777" s="84" t="s">
        <v>2006</v>
      </c>
      <c r="C777">
        <v>776</v>
      </c>
      <c r="D777">
        <v>1048</v>
      </c>
      <c r="F777" s="511" t="s">
        <v>1438</v>
      </c>
      <c r="G777" s="84" t="s">
        <v>2006</v>
      </c>
      <c r="H777">
        <v>776</v>
      </c>
      <c r="J777" t="b">
        <f t="shared" si="23"/>
        <v>1</v>
      </c>
    </row>
    <row r="778" spans="1:10">
      <c r="A778" s="511" t="s">
        <v>2007</v>
      </c>
      <c r="B778" s="84" t="s">
        <v>2008</v>
      </c>
      <c r="C778">
        <v>777</v>
      </c>
      <c r="D778">
        <v>1049</v>
      </c>
      <c r="F778" s="511" t="s">
        <v>1440</v>
      </c>
      <c r="G778" s="84" t="s">
        <v>2008</v>
      </c>
      <c r="H778">
        <v>777</v>
      </c>
      <c r="J778" t="b">
        <f t="shared" si="23"/>
        <v>1</v>
      </c>
    </row>
    <row r="779" spans="1:10">
      <c r="A779" s="511" t="s">
        <v>2009</v>
      </c>
      <c r="B779" s="84" t="s">
        <v>2010</v>
      </c>
      <c r="C779">
        <v>778</v>
      </c>
      <c r="D779">
        <v>1050</v>
      </c>
      <c r="F779" s="511" t="s">
        <v>1442</v>
      </c>
      <c r="G779" s="84" t="s">
        <v>2010</v>
      </c>
      <c r="H779">
        <v>778</v>
      </c>
      <c r="J779" t="b">
        <f t="shared" si="23"/>
        <v>1</v>
      </c>
    </row>
    <row r="780" spans="1:10">
      <c r="A780" s="511" t="s">
        <v>2011</v>
      </c>
      <c r="B780" s="84" t="s">
        <v>2012</v>
      </c>
      <c r="C780">
        <v>779</v>
      </c>
      <c r="D780">
        <v>1051</v>
      </c>
      <c r="F780" s="511" t="s">
        <v>1444</v>
      </c>
      <c r="G780" s="84" t="s">
        <v>2012</v>
      </c>
      <c r="H780">
        <v>779</v>
      </c>
      <c r="J780" t="b">
        <f t="shared" si="23"/>
        <v>1</v>
      </c>
    </row>
    <row r="781" spans="1:10">
      <c r="A781" s="511" t="s">
        <v>2013</v>
      </c>
      <c r="B781" s="84" t="s">
        <v>2014</v>
      </c>
      <c r="C781">
        <v>780</v>
      </c>
      <c r="D781">
        <v>1052</v>
      </c>
      <c r="F781" s="511" t="s">
        <v>2015</v>
      </c>
      <c r="G781" s="84" t="s">
        <v>2014</v>
      </c>
      <c r="H781">
        <v>780</v>
      </c>
      <c r="I781" s="394" t="s">
        <v>840</v>
      </c>
      <c r="J781" t="b">
        <f t="shared" si="23"/>
        <v>0</v>
      </c>
    </row>
    <row r="782" spans="1:10">
      <c r="A782" s="511" t="s">
        <v>2016</v>
      </c>
      <c r="B782" s="84" t="s">
        <v>2017</v>
      </c>
      <c r="C782">
        <v>781</v>
      </c>
      <c r="D782">
        <v>1053</v>
      </c>
      <c r="F782" s="511" t="s">
        <v>2018</v>
      </c>
      <c r="G782" s="84" t="s">
        <v>2017</v>
      </c>
      <c r="H782">
        <v>781</v>
      </c>
      <c r="I782" s="394" t="s">
        <v>840</v>
      </c>
      <c r="J782" t="b">
        <f t="shared" si="23"/>
        <v>0</v>
      </c>
    </row>
    <row r="783" spans="1:10">
      <c r="A783" s="511" t="s">
        <v>2019</v>
      </c>
      <c r="B783" s="84" t="s">
        <v>2020</v>
      </c>
      <c r="C783">
        <v>782</v>
      </c>
      <c r="D783">
        <v>1054</v>
      </c>
      <c r="F783" s="511" t="s">
        <v>2021</v>
      </c>
      <c r="G783" s="84" t="s">
        <v>2020</v>
      </c>
      <c r="H783">
        <v>782</v>
      </c>
      <c r="I783" s="394" t="s">
        <v>370</v>
      </c>
      <c r="J783" t="b">
        <f t="shared" si="23"/>
        <v>0</v>
      </c>
    </row>
    <row r="784" spans="1:10">
      <c r="A784" s="511" t="s">
        <v>2022</v>
      </c>
      <c r="B784" s="84" t="s">
        <v>2023</v>
      </c>
      <c r="C784">
        <v>783</v>
      </c>
      <c r="D784">
        <v>1055</v>
      </c>
      <c r="F784" s="511" t="s">
        <v>2024</v>
      </c>
      <c r="G784" s="84" t="s">
        <v>2023</v>
      </c>
      <c r="H784">
        <v>783</v>
      </c>
      <c r="I784" s="394" t="s">
        <v>370</v>
      </c>
      <c r="J784" t="b">
        <f t="shared" si="23"/>
        <v>0</v>
      </c>
    </row>
    <row r="785" spans="1:10">
      <c r="A785" s="511" t="s">
        <v>2025</v>
      </c>
      <c r="B785" s="84" t="s">
        <v>2026</v>
      </c>
      <c r="C785">
        <v>784</v>
      </c>
      <c r="D785">
        <v>1056</v>
      </c>
      <c r="F785" s="511" t="s">
        <v>2027</v>
      </c>
      <c r="G785" s="84" t="s">
        <v>2026</v>
      </c>
      <c r="H785">
        <v>784</v>
      </c>
      <c r="I785" s="394" t="s">
        <v>840</v>
      </c>
      <c r="J785" t="b">
        <f t="shared" si="23"/>
        <v>0</v>
      </c>
    </row>
    <row r="786" spans="1:10">
      <c r="A786" s="511" t="s">
        <v>2028</v>
      </c>
      <c r="B786" s="84" t="s">
        <v>2029</v>
      </c>
      <c r="C786">
        <v>785</v>
      </c>
      <c r="D786">
        <v>1057</v>
      </c>
      <c r="F786" s="511" t="s">
        <v>2030</v>
      </c>
      <c r="G786" s="84" t="s">
        <v>2029</v>
      </c>
      <c r="H786">
        <v>785</v>
      </c>
      <c r="I786" s="394" t="s">
        <v>370</v>
      </c>
      <c r="J786" t="b">
        <f t="shared" si="23"/>
        <v>0</v>
      </c>
    </row>
    <row r="787" spans="1:10">
      <c r="A787" s="511" t="s">
        <v>2031</v>
      </c>
      <c r="B787" s="84" t="s">
        <v>2032</v>
      </c>
      <c r="C787">
        <v>786</v>
      </c>
      <c r="D787">
        <v>1058</v>
      </c>
      <c r="F787" s="511" t="s">
        <v>2033</v>
      </c>
      <c r="G787" s="84" t="s">
        <v>2032</v>
      </c>
      <c r="H787">
        <v>786</v>
      </c>
      <c r="I787" s="394" t="s">
        <v>840</v>
      </c>
      <c r="J787" t="b">
        <f t="shared" si="23"/>
        <v>0</v>
      </c>
    </row>
    <row r="788" spans="1:10">
      <c r="A788" s="511" t="s">
        <v>2034</v>
      </c>
      <c r="B788" s="84" t="s">
        <v>2035</v>
      </c>
      <c r="C788">
        <v>787</v>
      </c>
      <c r="D788">
        <v>1059</v>
      </c>
      <c r="F788" s="511" t="s">
        <v>2036</v>
      </c>
      <c r="G788" s="84" t="s">
        <v>2035</v>
      </c>
      <c r="H788">
        <v>787</v>
      </c>
      <c r="I788" s="394" t="s">
        <v>840</v>
      </c>
      <c r="J788" t="b">
        <f t="shared" si="23"/>
        <v>0</v>
      </c>
    </row>
    <row r="789" spans="1:10">
      <c r="A789" s="511" t="s">
        <v>2037</v>
      </c>
      <c r="B789" s="84" t="s">
        <v>2038</v>
      </c>
      <c r="C789">
        <v>788</v>
      </c>
      <c r="D789">
        <v>1060</v>
      </c>
      <c r="F789" s="511" t="s">
        <v>2039</v>
      </c>
      <c r="G789" s="84" t="s">
        <v>2038</v>
      </c>
      <c r="H789">
        <v>788</v>
      </c>
      <c r="I789" s="394" t="s">
        <v>370</v>
      </c>
      <c r="J789" t="b">
        <f t="shared" si="23"/>
        <v>0</v>
      </c>
    </row>
    <row r="790" spans="1:10">
      <c r="A790" s="511" t="s">
        <v>2040</v>
      </c>
      <c r="B790" s="84" t="s">
        <v>2041</v>
      </c>
      <c r="C790">
        <v>789</v>
      </c>
      <c r="D790">
        <v>1061</v>
      </c>
      <c r="F790" s="511" t="s">
        <v>2042</v>
      </c>
      <c r="G790" s="84" t="s">
        <v>2041</v>
      </c>
      <c r="H790">
        <v>789</v>
      </c>
      <c r="I790" s="394" t="s">
        <v>840</v>
      </c>
      <c r="J790" t="b">
        <f t="shared" si="23"/>
        <v>0</v>
      </c>
    </row>
    <row r="791" spans="1:10">
      <c r="A791" s="511" t="s">
        <v>2043</v>
      </c>
      <c r="B791" s="84" t="s">
        <v>2044</v>
      </c>
      <c r="C791">
        <v>790</v>
      </c>
      <c r="D791">
        <v>1062</v>
      </c>
      <c r="F791" s="511" t="s">
        <v>2045</v>
      </c>
      <c r="G791" s="84" t="s">
        <v>2044</v>
      </c>
      <c r="H791">
        <v>790</v>
      </c>
      <c r="J791" t="b">
        <f>A531=F791</f>
        <v>0</v>
      </c>
    </row>
    <row r="792" spans="1:10">
      <c r="A792" s="511" t="s">
        <v>2046</v>
      </c>
      <c r="B792" s="84" t="s">
        <v>2047</v>
      </c>
      <c r="C792">
        <v>791</v>
      </c>
      <c r="D792">
        <v>1063</v>
      </c>
      <c r="F792" s="511" t="s">
        <v>1466</v>
      </c>
      <c r="G792" s="84" t="s">
        <v>2047</v>
      </c>
      <c r="H792">
        <v>791</v>
      </c>
      <c r="J792" t="b">
        <f t="shared" ref="J792:J809" si="24">A532=F792</f>
        <v>1</v>
      </c>
    </row>
    <row r="793" spans="1:10">
      <c r="A793" s="511" t="s">
        <v>2048</v>
      </c>
      <c r="B793" s="84" t="s">
        <v>2049</v>
      </c>
      <c r="C793">
        <v>792</v>
      </c>
      <c r="D793">
        <v>1064</v>
      </c>
      <c r="F793" s="511" t="s">
        <v>1469</v>
      </c>
      <c r="G793" s="84" t="s">
        <v>2049</v>
      </c>
      <c r="H793">
        <v>792</v>
      </c>
      <c r="J793" t="b">
        <f t="shared" si="24"/>
        <v>1</v>
      </c>
    </row>
    <row r="794" spans="1:10">
      <c r="A794" s="511" t="s">
        <v>2050</v>
      </c>
      <c r="B794" s="84" t="s">
        <v>2051</v>
      </c>
      <c r="C794">
        <v>793</v>
      </c>
      <c r="D794">
        <v>1065</v>
      </c>
      <c r="F794" s="511" t="s">
        <v>1472</v>
      </c>
      <c r="G794" s="84" t="s">
        <v>2051</v>
      </c>
      <c r="H794">
        <v>793</v>
      </c>
      <c r="J794" t="b">
        <f t="shared" si="24"/>
        <v>1</v>
      </c>
    </row>
    <row r="795" spans="1:10">
      <c r="A795" s="511" t="s">
        <v>2052</v>
      </c>
      <c r="B795" s="84" t="s">
        <v>2053</v>
      </c>
      <c r="C795">
        <v>794</v>
      </c>
      <c r="D795">
        <v>1066</v>
      </c>
      <c r="F795" s="511" t="s">
        <v>1475</v>
      </c>
      <c r="G795" s="84" t="s">
        <v>2053</v>
      </c>
      <c r="H795">
        <v>794</v>
      </c>
      <c r="J795" t="b">
        <f t="shared" si="24"/>
        <v>1</v>
      </c>
    </row>
    <row r="796" spans="1:10">
      <c r="A796" s="511" t="s">
        <v>2054</v>
      </c>
      <c r="B796" s="84" t="s">
        <v>2055</v>
      </c>
      <c r="C796">
        <v>795</v>
      </c>
      <c r="D796">
        <v>1067</v>
      </c>
      <c r="F796" s="511" t="s">
        <v>1478</v>
      </c>
      <c r="G796" s="84" t="s">
        <v>2055</v>
      </c>
      <c r="H796">
        <v>795</v>
      </c>
      <c r="J796" t="b">
        <f t="shared" si="24"/>
        <v>1</v>
      </c>
    </row>
    <row r="797" spans="1:10">
      <c r="A797" s="511" t="s">
        <v>2056</v>
      </c>
      <c r="B797" s="84" t="s">
        <v>2057</v>
      </c>
      <c r="C797">
        <v>796</v>
      </c>
      <c r="D797">
        <v>1068</v>
      </c>
      <c r="F797" s="511" t="s">
        <v>1481</v>
      </c>
      <c r="G797" s="84" t="s">
        <v>2057</v>
      </c>
      <c r="H797">
        <v>796</v>
      </c>
      <c r="J797" t="b">
        <f t="shared" si="24"/>
        <v>1</v>
      </c>
    </row>
    <row r="798" spans="1:10">
      <c r="A798" s="511" t="s">
        <v>2058</v>
      </c>
      <c r="B798" s="84" t="s">
        <v>2059</v>
      </c>
      <c r="C798">
        <v>797</v>
      </c>
      <c r="D798">
        <v>1069</v>
      </c>
      <c r="F798" s="511" t="s">
        <v>1483</v>
      </c>
      <c r="G798" s="84" t="s">
        <v>2059</v>
      </c>
      <c r="H798">
        <v>797</v>
      </c>
      <c r="J798" t="b">
        <f t="shared" si="24"/>
        <v>1</v>
      </c>
    </row>
    <row r="799" spans="1:10">
      <c r="A799" s="511" t="s">
        <v>2060</v>
      </c>
      <c r="B799" s="84" t="s">
        <v>2061</v>
      </c>
      <c r="C799">
        <v>798</v>
      </c>
      <c r="D799">
        <v>1070</v>
      </c>
      <c r="F799" s="511" t="s">
        <v>1485</v>
      </c>
      <c r="G799" s="84" t="s">
        <v>2061</v>
      </c>
      <c r="H799">
        <v>798</v>
      </c>
      <c r="J799" t="b">
        <f t="shared" si="24"/>
        <v>1</v>
      </c>
    </row>
    <row r="800" spans="1:10">
      <c r="A800" s="511" t="s">
        <v>2062</v>
      </c>
      <c r="B800" s="84" t="s">
        <v>2063</v>
      </c>
      <c r="C800">
        <v>799</v>
      </c>
      <c r="D800">
        <v>1071</v>
      </c>
      <c r="F800" s="511" t="s">
        <v>2064</v>
      </c>
      <c r="G800" s="84" t="s">
        <v>2063</v>
      </c>
      <c r="H800">
        <v>799</v>
      </c>
      <c r="I800" s="394" t="s">
        <v>840</v>
      </c>
      <c r="J800" t="b">
        <f t="shared" si="24"/>
        <v>0</v>
      </c>
    </row>
    <row r="801" spans="1:10">
      <c r="A801" s="511" t="s">
        <v>2065</v>
      </c>
      <c r="B801" s="84" t="s">
        <v>2066</v>
      </c>
      <c r="C801">
        <v>800</v>
      </c>
      <c r="D801">
        <v>1072</v>
      </c>
      <c r="F801" s="511" t="s">
        <v>2067</v>
      </c>
      <c r="G801" s="84" t="s">
        <v>2066</v>
      </c>
      <c r="H801">
        <v>800</v>
      </c>
      <c r="I801" s="394" t="s">
        <v>840</v>
      </c>
      <c r="J801" t="b">
        <f t="shared" si="24"/>
        <v>0</v>
      </c>
    </row>
    <row r="802" spans="1:10">
      <c r="A802" s="511" t="s">
        <v>2068</v>
      </c>
      <c r="B802" s="84" t="s">
        <v>2069</v>
      </c>
      <c r="C802">
        <v>801</v>
      </c>
      <c r="D802">
        <v>1073</v>
      </c>
      <c r="F802" s="511" t="s">
        <v>2070</v>
      </c>
      <c r="G802" s="84" t="s">
        <v>2069</v>
      </c>
      <c r="H802">
        <v>801</v>
      </c>
      <c r="I802" s="394" t="s">
        <v>370</v>
      </c>
      <c r="J802" t="b">
        <f t="shared" si="24"/>
        <v>0</v>
      </c>
    </row>
    <row r="803" spans="1:10">
      <c r="A803" s="511" t="s">
        <v>2071</v>
      </c>
      <c r="B803" s="84" t="s">
        <v>2072</v>
      </c>
      <c r="C803">
        <v>802</v>
      </c>
      <c r="D803">
        <v>1074</v>
      </c>
      <c r="F803" s="511" t="s">
        <v>2073</v>
      </c>
      <c r="G803" s="84" t="s">
        <v>2072</v>
      </c>
      <c r="H803">
        <v>802</v>
      </c>
      <c r="I803" s="394" t="s">
        <v>370</v>
      </c>
      <c r="J803" t="b">
        <f t="shared" si="24"/>
        <v>0</v>
      </c>
    </row>
    <row r="804" spans="1:10">
      <c r="A804" s="511" t="s">
        <v>2074</v>
      </c>
      <c r="B804" s="84" t="s">
        <v>2075</v>
      </c>
      <c r="C804">
        <v>803</v>
      </c>
      <c r="D804">
        <v>1075</v>
      </c>
      <c r="F804" s="511" t="s">
        <v>2076</v>
      </c>
      <c r="G804" s="84" t="s">
        <v>2075</v>
      </c>
      <c r="H804">
        <v>803</v>
      </c>
      <c r="I804" s="394" t="s">
        <v>840</v>
      </c>
      <c r="J804" t="b">
        <f t="shared" si="24"/>
        <v>0</v>
      </c>
    </row>
    <row r="805" spans="1:10">
      <c r="A805" s="511" t="s">
        <v>2077</v>
      </c>
      <c r="B805" s="84" t="s">
        <v>2078</v>
      </c>
      <c r="C805">
        <v>804</v>
      </c>
      <c r="D805">
        <v>1076</v>
      </c>
      <c r="F805" s="511" t="s">
        <v>2079</v>
      </c>
      <c r="G805" s="84" t="s">
        <v>2078</v>
      </c>
      <c r="H805">
        <v>804</v>
      </c>
      <c r="I805" s="394" t="s">
        <v>370</v>
      </c>
      <c r="J805" t="b">
        <f t="shared" si="24"/>
        <v>0</v>
      </c>
    </row>
    <row r="806" spans="1:10">
      <c r="A806" s="511" t="s">
        <v>2080</v>
      </c>
      <c r="B806" s="84" t="s">
        <v>2081</v>
      </c>
      <c r="C806">
        <v>805</v>
      </c>
      <c r="D806">
        <v>1077</v>
      </c>
      <c r="F806" s="511" t="s">
        <v>2082</v>
      </c>
      <c r="G806" s="84" t="s">
        <v>2081</v>
      </c>
      <c r="H806">
        <v>805</v>
      </c>
      <c r="I806" s="394" t="s">
        <v>840</v>
      </c>
      <c r="J806" t="b">
        <f t="shared" si="24"/>
        <v>0</v>
      </c>
    </row>
    <row r="807" spans="1:10">
      <c r="A807" s="511" t="s">
        <v>2083</v>
      </c>
      <c r="B807" s="84" t="s">
        <v>2084</v>
      </c>
      <c r="C807">
        <v>806</v>
      </c>
      <c r="D807">
        <v>1078</v>
      </c>
      <c r="F807" s="511" t="s">
        <v>2085</v>
      </c>
      <c r="G807" s="84" t="s">
        <v>2084</v>
      </c>
      <c r="H807">
        <v>806</v>
      </c>
      <c r="I807" s="394" t="s">
        <v>840</v>
      </c>
      <c r="J807" t="b">
        <f t="shared" si="24"/>
        <v>0</v>
      </c>
    </row>
    <row r="808" spans="1:10">
      <c r="A808" s="511" t="s">
        <v>2086</v>
      </c>
      <c r="B808" s="84" t="s">
        <v>2087</v>
      </c>
      <c r="C808">
        <v>807</v>
      </c>
      <c r="D808">
        <v>1079</v>
      </c>
      <c r="F808" s="511" t="s">
        <v>2088</v>
      </c>
      <c r="G808" s="84" t="s">
        <v>2087</v>
      </c>
      <c r="H808">
        <v>807</v>
      </c>
      <c r="I808" s="394" t="s">
        <v>370</v>
      </c>
      <c r="J808" t="b">
        <f t="shared" si="24"/>
        <v>0</v>
      </c>
    </row>
    <row r="809" spans="1:10">
      <c r="A809" s="511" t="s">
        <v>2089</v>
      </c>
      <c r="B809" s="84" t="s">
        <v>2090</v>
      </c>
      <c r="C809">
        <v>808</v>
      </c>
      <c r="D809">
        <v>1080</v>
      </c>
      <c r="F809" s="511" t="s">
        <v>2091</v>
      </c>
      <c r="G809" s="84" t="s">
        <v>2090</v>
      </c>
      <c r="H809">
        <v>808</v>
      </c>
      <c r="I809" s="394" t="s">
        <v>840</v>
      </c>
      <c r="J809" t="b">
        <f t="shared" si="24"/>
        <v>0</v>
      </c>
    </row>
    <row r="810" spans="1:10">
      <c r="A810" s="511" t="s">
        <v>2092</v>
      </c>
      <c r="B810" s="84" t="s">
        <v>2093</v>
      </c>
      <c r="C810">
        <v>809</v>
      </c>
      <c r="D810">
        <v>1081</v>
      </c>
      <c r="F810" s="511" t="s">
        <v>2094</v>
      </c>
      <c r="G810" s="84" t="s">
        <v>2093</v>
      </c>
      <c r="H810">
        <v>809</v>
      </c>
      <c r="J810" t="b">
        <f>A546=F810</f>
        <v>0</v>
      </c>
    </row>
    <row r="811" spans="1:10">
      <c r="A811" s="511" t="s">
        <v>2095</v>
      </c>
      <c r="B811" s="84" t="s">
        <v>2096</v>
      </c>
      <c r="C811">
        <v>810</v>
      </c>
      <c r="D811">
        <v>1082</v>
      </c>
      <c r="F811" s="511" t="s">
        <v>1503</v>
      </c>
      <c r="G811" s="84" t="s">
        <v>2096</v>
      </c>
      <c r="H811">
        <v>810</v>
      </c>
      <c r="J811" t="b">
        <f t="shared" ref="J811:J828" si="25">A547=F811</f>
        <v>1</v>
      </c>
    </row>
    <row r="812" spans="1:10">
      <c r="A812" s="511" t="s">
        <v>2097</v>
      </c>
      <c r="B812" s="84" t="s">
        <v>2098</v>
      </c>
      <c r="C812">
        <v>811</v>
      </c>
      <c r="D812">
        <v>1083</v>
      </c>
      <c r="F812" s="511" t="s">
        <v>1506</v>
      </c>
      <c r="G812" s="84" t="s">
        <v>2098</v>
      </c>
      <c r="H812">
        <v>811</v>
      </c>
      <c r="J812" t="b">
        <f t="shared" si="25"/>
        <v>1</v>
      </c>
    </row>
    <row r="813" spans="1:10">
      <c r="A813" s="511" t="s">
        <v>2099</v>
      </c>
      <c r="B813" s="84" t="s">
        <v>2100</v>
      </c>
      <c r="C813">
        <v>812</v>
      </c>
      <c r="D813">
        <v>1084</v>
      </c>
      <c r="F813" s="511" t="s">
        <v>1509</v>
      </c>
      <c r="G813" s="84" t="s">
        <v>2100</v>
      </c>
      <c r="H813">
        <v>812</v>
      </c>
      <c r="J813" t="b">
        <f t="shared" si="25"/>
        <v>1</v>
      </c>
    </row>
    <row r="814" spans="1:10">
      <c r="A814" s="511" t="s">
        <v>2101</v>
      </c>
      <c r="B814" s="84" t="s">
        <v>2102</v>
      </c>
      <c r="C814">
        <v>813</v>
      </c>
      <c r="D814">
        <v>1085</v>
      </c>
      <c r="F814" s="511" t="s">
        <v>1512</v>
      </c>
      <c r="G814" s="84" t="s">
        <v>2102</v>
      </c>
      <c r="H814">
        <v>813</v>
      </c>
      <c r="J814" t="b">
        <f t="shared" si="25"/>
        <v>1</v>
      </c>
    </row>
    <row r="815" spans="1:10">
      <c r="A815" s="511" t="s">
        <v>2103</v>
      </c>
      <c r="B815" s="84" t="s">
        <v>2104</v>
      </c>
      <c r="C815">
        <v>814</v>
      </c>
      <c r="D815">
        <v>1086</v>
      </c>
      <c r="F815" s="511" t="s">
        <v>1515</v>
      </c>
      <c r="G815" s="84" t="s">
        <v>2104</v>
      </c>
      <c r="H815">
        <v>814</v>
      </c>
      <c r="J815" t="b">
        <f t="shared" si="25"/>
        <v>1</v>
      </c>
    </row>
    <row r="816" spans="1:10">
      <c r="A816" s="511" t="s">
        <v>2105</v>
      </c>
      <c r="B816" s="84" t="s">
        <v>2106</v>
      </c>
      <c r="C816">
        <v>815</v>
      </c>
      <c r="D816">
        <v>1087</v>
      </c>
      <c r="F816" s="511" t="s">
        <v>1518</v>
      </c>
      <c r="G816" s="84" t="s">
        <v>2106</v>
      </c>
      <c r="H816">
        <v>815</v>
      </c>
      <c r="J816" t="b">
        <f t="shared" si="25"/>
        <v>1</v>
      </c>
    </row>
    <row r="817" spans="1:10">
      <c r="A817" s="511" t="s">
        <v>2107</v>
      </c>
      <c r="B817" s="84" t="s">
        <v>2108</v>
      </c>
      <c r="C817">
        <v>816</v>
      </c>
      <c r="D817">
        <v>1088</v>
      </c>
      <c r="F817" s="511" t="s">
        <v>1521</v>
      </c>
      <c r="G817" s="84" t="s">
        <v>2108</v>
      </c>
      <c r="H817">
        <v>816</v>
      </c>
      <c r="J817" t="b">
        <f t="shared" si="25"/>
        <v>1</v>
      </c>
    </row>
    <row r="818" spans="1:10">
      <c r="A818" s="511" t="s">
        <v>2109</v>
      </c>
      <c r="B818" s="84" t="s">
        <v>2110</v>
      </c>
      <c r="C818">
        <v>817</v>
      </c>
      <c r="D818">
        <v>1089</v>
      </c>
      <c r="F818" s="511" t="s">
        <v>1524</v>
      </c>
      <c r="G818" s="84" t="s">
        <v>2110</v>
      </c>
      <c r="H818">
        <v>817</v>
      </c>
      <c r="J818" t="b">
        <f t="shared" si="25"/>
        <v>1</v>
      </c>
    </row>
    <row r="819" spans="1:10">
      <c r="A819" s="511" t="s">
        <v>2111</v>
      </c>
      <c r="B819" s="84" t="s">
        <v>2112</v>
      </c>
      <c r="C819">
        <v>818</v>
      </c>
      <c r="D819">
        <v>1090</v>
      </c>
      <c r="F819" s="511" t="s">
        <v>2113</v>
      </c>
      <c r="G819" s="84" t="s">
        <v>2112</v>
      </c>
      <c r="H819">
        <v>818</v>
      </c>
      <c r="I819" s="394" t="s">
        <v>840</v>
      </c>
      <c r="J819" t="b">
        <f t="shared" si="25"/>
        <v>0</v>
      </c>
    </row>
    <row r="820" spans="1:10">
      <c r="A820" s="511" t="s">
        <v>2114</v>
      </c>
      <c r="B820" s="84" t="s">
        <v>2115</v>
      </c>
      <c r="C820">
        <v>819</v>
      </c>
      <c r="D820">
        <v>1091</v>
      </c>
      <c r="F820" s="511" t="s">
        <v>2116</v>
      </c>
      <c r="G820" s="84" t="s">
        <v>2115</v>
      </c>
      <c r="H820">
        <v>819</v>
      </c>
      <c r="I820" s="394" t="s">
        <v>840</v>
      </c>
      <c r="J820" t="b">
        <f t="shared" si="25"/>
        <v>0</v>
      </c>
    </row>
    <row r="821" spans="1:10">
      <c r="A821" s="511" t="s">
        <v>2117</v>
      </c>
      <c r="B821" s="84" t="s">
        <v>2118</v>
      </c>
      <c r="C821">
        <v>820</v>
      </c>
      <c r="D821">
        <v>1092</v>
      </c>
      <c r="F821" s="511" t="s">
        <v>2119</v>
      </c>
      <c r="G821" s="84" t="s">
        <v>2118</v>
      </c>
      <c r="H821">
        <v>820</v>
      </c>
      <c r="I821" s="394" t="s">
        <v>370</v>
      </c>
      <c r="J821" t="b">
        <f t="shared" si="25"/>
        <v>0</v>
      </c>
    </row>
    <row r="822" spans="1:10">
      <c r="A822" s="511" t="s">
        <v>2120</v>
      </c>
      <c r="B822" s="84" t="s">
        <v>2121</v>
      </c>
      <c r="C822">
        <v>821</v>
      </c>
      <c r="D822">
        <v>1093</v>
      </c>
      <c r="F822" s="511" t="s">
        <v>2122</v>
      </c>
      <c r="G822" s="84" t="s">
        <v>2121</v>
      </c>
      <c r="H822">
        <v>821</v>
      </c>
      <c r="I822" s="394" t="s">
        <v>370</v>
      </c>
      <c r="J822" t="b">
        <f t="shared" si="25"/>
        <v>0</v>
      </c>
    </row>
    <row r="823" spans="1:10">
      <c r="A823" s="511" t="s">
        <v>2123</v>
      </c>
      <c r="B823" s="84" t="s">
        <v>2124</v>
      </c>
      <c r="C823">
        <v>822</v>
      </c>
      <c r="D823">
        <v>1094</v>
      </c>
      <c r="F823" s="511" t="s">
        <v>2125</v>
      </c>
      <c r="G823" s="84" t="s">
        <v>2124</v>
      </c>
      <c r="H823">
        <v>822</v>
      </c>
      <c r="I823" s="394" t="s">
        <v>840</v>
      </c>
      <c r="J823" t="b">
        <f t="shared" si="25"/>
        <v>0</v>
      </c>
    </row>
    <row r="824" spans="1:10">
      <c r="A824" s="511" t="s">
        <v>2126</v>
      </c>
      <c r="B824" s="84" t="s">
        <v>2127</v>
      </c>
      <c r="C824">
        <v>823</v>
      </c>
      <c r="D824">
        <v>1095</v>
      </c>
      <c r="F824" s="511" t="s">
        <v>2128</v>
      </c>
      <c r="G824" s="84" t="s">
        <v>2127</v>
      </c>
      <c r="H824">
        <v>823</v>
      </c>
      <c r="I824" s="394" t="s">
        <v>370</v>
      </c>
      <c r="J824" t="b">
        <f t="shared" si="25"/>
        <v>0</v>
      </c>
    </row>
    <row r="825" spans="1:10">
      <c r="A825" s="511" t="s">
        <v>2129</v>
      </c>
      <c r="B825" s="84" t="s">
        <v>2130</v>
      </c>
      <c r="C825">
        <v>824</v>
      </c>
      <c r="D825">
        <v>1096</v>
      </c>
      <c r="F825" s="511" t="s">
        <v>2131</v>
      </c>
      <c r="G825" s="84" t="s">
        <v>2130</v>
      </c>
      <c r="H825">
        <v>824</v>
      </c>
      <c r="I825" s="394" t="s">
        <v>840</v>
      </c>
      <c r="J825" t="b">
        <f t="shared" si="25"/>
        <v>0</v>
      </c>
    </row>
    <row r="826" spans="1:10">
      <c r="A826" s="511" t="s">
        <v>2132</v>
      </c>
      <c r="B826" s="84" t="s">
        <v>2133</v>
      </c>
      <c r="C826">
        <v>825</v>
      </c>
      <c r="D826">
        <v>1097</v>
      </c>
      <c r="F826" s="511" t="s">
        <v>2134</v>
      </c>
      <c r="G826" s="84" t="s">
        <v>2133</v>
      </c>
      <c r="H826">
        <v>825</v>
      </c>
      <c r="I826" s="394" t="s">
        <v>840</v>
      </c>
      <c r="J826" t="b">
        <f t="shared" si="25"/>
        <v>0</v>
      </c>
    </row>
    <row r="827" spans="1:10">
      <c r="A827" s="511" t="s">
        <v>2135</v>
      </c>
      <c r="B827" s="84" t="s">
        <v>2136</v>
      </c>
      <c r="C827">
        <v>826</v>
      </c>
      <c r="D827">
        <v>1098</v>
      </c>
      <c r="F827" s="511" t="s">
        <v>2137</v>
      </c>
      <c r="G827" s="84" t="s">
        <v>2136</v>
      </c>
      <c r="H827">
        <v>826</v>
      </c>
      <c r="I827" s="394" t="s">
        <v>370</v>
      </c>
      <c r="J827" t="b">
        <f t="shared" si="25"/>
        <v>0</v>
      </c>
    </row>
    <row r="828" spans="1:10">
      <c r="A828" s="511" t="s">
        <v>2138</v>
      </c>
      <c r="B828" s="84" t="s">
        <v>2139</v>
      </c>
      <c r="C828">
        <v>827</v>
      </c>
      <c r="D828">
        <v>1099</v>
      </c>
      <c r="F828" s="511" t="s">
        <v>2140</v>
      </c>
      <c r="G828" s="84" t="s">
        <v>2139</v>
      </c>
      <c r="H828">
        <v>827</v>
      </c>
      <c r="I828" s="394" t="s">
        <v>840</v>
      </c>
      <c r="J828" t="b">
        <f t="shared" si="25"/>
        <v>0</v>
      </c>
    </row>
    <row r="829" spans="1:10">
      <c r="A829" s="511" t="s">
        <v>2141</v>
      </c>
      <c r="B829" s="84" t="s">
        <v>2142</v>
      </c>
      <c r="C829">
        <v>828</v>
      </c>
      <c r="D829">
        <v>1100</v>
      </c>
      <c r="F829" s="511" t="s">
        <v>2143</v>
      </c>
      <c r="G829" s="84" t="s">
        <v>2142</v>
      </c>
      <c r="H829">
        <v>828</v>
      </c>
      <c r="J829" t="b">
        <f>A561=F829</f>
        <v>0</v>
      </c>
    </row>
    <row r="830" spans="1:10">
      <c r="F830" s="511" t="s">
        <v>1542</v>
      </c>
      <c r="G830" s="84" t="s">
        <v>2144</v>
      </c>
      <c r="H830">
        <v>829</v>
      </c>
      <c r="J830" t="b">
        <f t="shared" ref="J830:J847" si="26">A562=F830</f>
        <v>1</v>
      </c>
    </row>
    <row r="831" spans="1:10">
      <c r="F831" s="511" t="s">
        <v>1544</v>
      </c>
      <c r="G831" s="84" t="s">
        <v>2145</v>
      </c>
      <c r="H831">
        <v>830</v>
      </c>
      <c r="J831" t="b">
        <f t="shared" si="26"/>
        <v>1</v>
      </c>
    </row>
    <row r="832" spans="1:10">
      <c r="F832" s="511" t="s">
        <v>1546</v>
      </c>
      <c r="G832" s="84" t="s">
        <v>2146</v>
      </c>
      <c r="H832">
        <v>831</v>
      </c>
      <c r="J832" t="b">
        <f t="shared" si="26"/>
        <v>1</v>
      </c>
    </row>
    <row r="833" spans="6:10">
      <c r="F833" s="511" t="s">
        <v>1549</v>
      </c>
      <c r="G833" s="84" t="s">
        <v>2147</v>
      </c>
      <c r="H833">
        <v>832</v>
      </c>
      <c r="J833" t="b">
        <f t="shared" si="26"/>
        <v>1</v>
      </c>
    </row>
    <row r="834" spans="6:10">
      <c r="F834" s="511" t="s">
        <v>1552</v>
      </c>
      <c r="G834" s="84" t="s">
        <v>2148</v>
      </c>
      <c r="H834">
        <v>833</v>
      </c>
      <c r="J834" t="b">
        <f t="shared" si="26"/>
        <v>1</v>
      </c>
    </row>
    <row r="835" spans="6:10">
      <c r="F835" s="511" t="s">
        <v>1555</v>
      </c>
      <c r="G835" s="84" t="s">
        <v>2149</v>
      </c>
      <c r="H835">
        <v>834</v>
      </c>
      <c r="J835" t="b">
        <f t="shared" si="26"/>
        <v>1</v>
      </c>
    </row>
    <row r="836" spans="6:10">
      <c r="F836" s="511" t="s">
        <v>1558</v>
      </c>
      <c r="G836" s="84" t="s">
        <v>2150</v>
      </c>
      <c r="H836">
        <v>835</v>
      </c>
      <c r="J836" t="b">
        <f t="shared" si="26"/>
        <v>1</v>
      </c>
    </row>
    <row r="837" spans="6:10">
      <c r="F837" s="511" t="s">
        <v>1561</v>
      </c>
      <c r="G837" s="84" t="s">
        <v>2151</v>
      </c>
      <c r="H837">
        <v>836</v>
      </c>
      <c r="J837" t="b">
        <f t="shared" si="26"/>
        <v>1</v>
      </c>
    </row>
    <row r="838" spans="6:10">
      <c r="F838" s="511" t="s">
        <v>2152</v>
      </c>
      <c r="G838" s="84" t="s">
        <v>2153</v>
      </c>
      <c r="H838">
        <v>837</v>
      </c>
      <c r="I838" s="394" t="s">
        <v>840</v>
      </c>
      <c r="J838" t="b">
        <f t="shared" si="26"/>
        <v>0</v>
      </c>
    </row>
    <row r="839" spans="6:10">
      <c r="F839" s="511" t="s">
        <v>2154</v>
      </c>
      <c r="G839" s="84" t="s">
        <v>2155</v>
      </c>
      <c r="H839">
        <v>838</v>
      </c>
      <c r="I839" s="394" t="s">
        <v>840</v>
      </c>
      <c r="J839" t="b">
        <f t="shared" si="26"/>
        <v>0</v>
      </c>
    </row>
    <row r="840" spans="6:10">
      <c r="F840" s="511" t="s">
        <v>2156</v>
      </c>
      <c r="G840" s="84" t="s">
        <v>2157</v>
      </c>
      <c r="H840">
        <v>839</v>
      </c>
      <c r="I840" s="394" t="s">
        <v>370</v>
      </c>
      <c r="J840" t="b">
        <f t="shared" si="26"/>
        <v>0</v>
      </c>
    </row>
    <row r="841" spans="6:10">
      <c r="F841" s="511" t="s">
        <v>2158</v>
      </c>
      <c r="G841" s="84" t="s">
        <v>2159</v>
      </c>
      <c r="H841">
        <v>840</v>
      </c>
      <c r="I841" s="394" t="s">
        <v>370</v>
      </c>
      <c r="J841" t="b">
        <f t="shared" si="26"/>
        <v>0</v>
      </c>
    </row>
    <row r="842" spans="6:10">
      <c r="F842" s="511" t="s">
        <v>2160</v>
      </c>
      <c r="G842" s="84" t="s">
        <v>2161</v>
      </c>
      <c r="H842">
        <v>841</v>
      </c>
      <c r="I842" s="394" t="s">
        <v>840</v>
      </c>
      <c r="J842" t="b">
        <f t="shared" si="26"/>
        <v>0</v>
      </c>
    </row>
    <row r="843" spans="6:10">
      <c r="F843" s="511" t="s">
        <v>2162</v>
      </c>
      <c r="G843" s="84" t="s">
        <v>2163</v>
      </c>
      <c r="H843">
        <v>842</v>
      </c>
      <c r="I843" s="394" t="s">
        <v>370</v>
      </c>
      <c r="J843" t="b">
        <f t="shared" si="26"/>
        <v>0</v>
      </c>
    </row>
    <row r="844" spans="6:10">
      <c r="F844" s="511" t="s">
        <v>2164</v>
      </c>
      <c r="G844" s="84" t="s">
        <v>2165</v>
      </c>
      <c r="H844">
        <v>843</v>
      </c>
      <c r="I844" s="394" t="s">
        <v>840</v>
      </c>
      <c r="J844" t="b">
        <f t="shared" si="26"/>
        <v>0</v>
      </c>
    </row>
    <row r="845" spans="6:10">
      <c r="F845" s="511" t="s">
        <v>2166</v>
      </c>
      <c r="G845" s="84" t="s">
        <v>2167</v>
      </c>
      <c r="H845">
        <v>844</v>
      </c>
      <c r="I845" s="394" t="s">
        <v>840</v>
      </c>
      <c r="J845" t="b">
        <f t="shared" si="26"/>
        <v>0</v>
      </c>
    </row>
    <row r="846" spans="6:10">
      <c r="F846" s="511" t="s">
        <v>2168</v>
      </c>
      <c r="G846" s="84" t="s">
        <v>2169</v>
      </c>
      <c r="H846">
        <v>845</v>
      </c>
      <c r="I846" s="394" t="s">
        <v>370</v>
      </c>
      <c r="J846" t="b">
        <f t="shared" si="26"/>
        <v>0</v>
      </c>
    </row>
    <row r="847" spans="6:10">
      <c r="F847" s="511" t="s">
        <v>2170</v>
      </c>
      <c r="G847" s="84" t="s">
        <v>2171</v>
      </c>
      <c r="H847">
        <v>846</v>
      </c>
      <c r="I847" s="394" t="s">
        <v>840</v>
      </c>
      <c r="J847" t="b">
        <f t="shared" si="26"/>
        <v>0</v>
      </c>
    </row>
    <row r="848" spans="6:10">
      <c r="F848" s="511" t="s">
        <v>2172</v>
      </c>
      <c r="G848" s="84" t="s">
        <v>2173</v>
      </c>
      <c r="H848">
        <v>847</v>
      </c>
      <c r="J848" t="b">
        <f>A576=F848</f>
        <v>0</v>
      </c>
    </row>
    <row r="849" spans="6:10">
      <c r="F849" s="511" t="s">
        <v>1583</v>
      </c>
      <c r="G849" s="84" t="s">
        <v>2174</v>
      </c>
      <c r="H849">
        <v>848</v>
      </c>
      <c r="J849" t="b">
        <f t="shared" ref="J849:J912" si="27">A577=F849</f>
        <v>1</v>
      </c>
    </row>
    <row r="850" spans="6:10">
      <c r="F850" s="511" t="s">
        <v>1585</v>
      </c>
      <c r="G850" s="84" t="s">
        <v>2175</v>
      </c>
      <c r="H850">
        <v>849</v>
      </c>
      <c r="J850" t="b">
        <f t="shared" si="27"/>
        <v>1</v>
      </c>
    </row>
    <row r="851" spans="6:10">
      <c r="F851" s="511" t="s">
        <v>1587</v>
      </c>
      <c r="G851" s="84" t="s">
        <v>2176</v>
      </c>
      <c r="H851">
        <v>850</v>
      </c>
      <c r="J851" t="b">
        <f t="shared" si="27"/>
        <v>1</v>
      </c>
    </row>
    <row r="852" spans="6:10">
      <c r="F852" s="511" t="s">
        <v>1589</v>
      </c>
      <c r="G852" s="84" t="s">
        <v>2177</v>
      </c>
      <c r="H852">
        <v>851</v>
      </c>
      <c r="J852" t="b">
        <f t="shared" si="27"/>
        <v>1</v>
      </c>
    </row>
    <row r="853" spans="6:10">
      <c r="F853" s="511" t="s">
        <v>2178</v>
      </c>
      <c r="G853" s="84" t="s">
        <v>2179</v>
      </c>
      <c r="H853">
        <v>852</v>
      </c>
      <c r="J853" t="b">
        <f t="shared" si="27"/>
        <v>0</v>
      </c>
    </row>
    <row r="854" spans="6:10">
      <c r="F854" s="511" t="s">
        <v>1593</v>
      </c>
      <c r="G854" s="84" t="s">
        <v>2180</v>
      </c>
      <c r="H854">
        <v>853</v>
      </c>
      <c r="J854" t="b">
        <f t="shared" si="27"/>
        <v>1</v>
      </c>
    </row>
    <row r="855" spans="6:10">
      <c r="F855" s="511" t="s">
        <v>2181</v>
      </c>
      <c r="G855" s="84" t="s">
        <v>2182</v>
      </c>
      <c r="H855">
        <v>854</v>
      </c>
      <c r="I855" s="394" t="s">
        <v>840</v>
      </c>
      <c r="J855" t="b">
        <f t="shared" si="27"/>
        <v>0</v>
      </c>
    </row>
    <row r="856" spans="6:10">
      <c r="F856" s="511" t="s">
        <v>2183</v>
      </c>
      <c r="G856" s="84" t="s">
        <v>2184</v>
      </c>
      <c r="H856">
        <v>855</v>
      </c>
      <c r="I856" s="394" t="s">
        <v>840</v>
      </c>
      <c r="J856" t="b">
        <f t="shared" si="27"/>
        <v>0</v>
      </c>
    </row>
    <row r="857" spans="6:10">
      <c r="F857" s="511" t="s">
        <v>2185</v>
      </c>
      <c r="G857" s="84" t="s">
        <v>2186</v>
      </c>
      <c r="H857">
        <v>856</v>
      </c>
      <c r="I857" s="394" t="s">
        <v>840</v>
      </c>
      <c r="J857" t="b">
        <f t="shared" si="27"/>
        <v>0</v>
      </c>
    </row>
    <row r="858" spans="6:10">
      <c r="F858" s="511" t="s">
        <v>2187</v>
      </c>
      <c r="G858" s="84" t="s">
        <v>2188</v>
      </c>
      <c r="H858">
        <v>857</v>
      </c>
      <c r="I858" s="394" t="s">
        <v>840</v>
      </c>
      <c r="J858" t="b">
        <f t="shared" si="27"/>
        <v>0</v>
      </c>
    </row>
    <row r="859" spans="6:10">
      <c r="F859" s="511" t="s">
        <v>2189</v>
      </c>
      <c r="G859" s="84" t="s">
        <v>2190</v>
      </c>
      <c r="H859">
        <v>858</v>
      </c>
      <c r="I859" s="394" t="s">
        <v>840</v>
      </c>
      <c r="J859" t="b">
        <f t="shared" si="27"/>
        <v>0</v>
      </c>
    </row>
    <row r="860" spans="6:10">
      <c r="F860" s="511" t="s">
        <v>2191</v>
      </c>
      <c r="G860" s="84" t="s">
        <v>2192</v>
      </c>
      <c r="H860">
        <v>859</v>
      </c>
      <c r="I860" s="394" t="s">
        <v>840</v>
      </c>
      <c r="J860" t="b">
        <f t="shared" si="27"/>
        <v>0</v>
      </c>
    </row>
    <row r="861" spans="6:10">
      <c r="F861" s="511" t="s">
        <v>2193</v>
      </c>
      <c r="G861" s="84" t="s">
        <v>2194</v>
      </c>
      <c r="H861">
        <v>860</v>
      </c>
      <c r="I861" s="394"/>
      <c r="J861" t="b">
        <f t="shared" si="27"/>
        <v>0</v>
      </c>
    </row>
    <row r="862" spans="6:10">
      <c r="F862" s="511" t="s">
        <v>1616</v>
      </c>
      <c r="G862" s="84" t="s">
        <v>2195</v>
      </c>
      <c r="H862">
        <v>861</v>
      </c>
      <c r="I862" s="394"/>
      <c r="J862" t="b">
        <f t="shared" si="27"/>
        <v>1</v>
      </c>
    </row>
    <row r="863" spans="6:10">
      <c r="F863" s="511" t="s">
        <v>1619</v>
      </c>
      <c r="G863" s="84" t="s">
        <v>2196</v>
      </c>
      <c r="H863">
        <v>862</v>
      </c>
      <c r="I863" s="394"/>
      <c r="J863" t="b">
        <f t="shared" si="27"/>
        <v>1</v>
      </c>
    </row>
    <row r="864" spans="6:10">
      <c r="F864" s="511" t="s">
        <v>1622</v>
      </c>
      <c r="G864" s="84" t="s">
        <v>2197</v>
      </c>
      <c r="H864">
        <v>863</v>
      </c>
      <c r="J864" t="b">
        <f t="shared" si="27"/>
        <v>1</v>
      </c>
    </row>
    <row r="865" spans="6:10">
      <c r="F865" s="511" t="s">
        <v>1625</v>
      </c>
      <c r="G865" s="84" t="s">
        <v>2198</v>
      </c>
      <c r="H865">
        <v>864</v>
      </c>
      <c r="J865" t="b">
        <f t="shared" si="27"/>
        <v>1</v>
      </c>
    </row>
    <row r="866" spans="6:10">
      <c r="F866" s="511" t="s">
        <v>2199</v>
      </c>
      <c r="G866" s="84" t="s">
        <v>2200</v>
      </c>
      <c r="H866">
        <v>865</v>
      </c>
      <c r="J866" t="b">
        <f t="shared" si="27"/>
        <v>0</v>
      </c>
    </row>
    <row r="867" spans="6:10">
      <c r="F867" s="511" t="s">
        <v>1630</v>
      </c>
      <c r="G867" s="84" t="s">
        <v>2201</v>
      </c>
      <c r="H867">
        <v>866</v>
      </c>
      <c r="J867" t="b">
        <f t="shared" si="27"/>
        <v>1</v>
      </c>
    </row>
    <row r="868" spans="6:10">
      <c r="F868" s="511" t="s">
        <v>2202</v>
      </c>
      <c r="G868" s="84" t="s">
        <v>2203</v>
      </c>
      <c r="H868">
        <v>867</v>
      </c>
      <c r="I868" s="394" t="s">
        <v>840</v>
      </c>
      <c r="J868" t="b">
        <f t="shared" si="27"/>
        <v>0</v>
      </c>
    </row>
    <row r="869" spans="6:10">
      <c r="F869" s="511" t="s">
        <v>2204</v>
      </c>
      <c r="G869" s="84" t="s">
        <v>2205</v>
      </c>
      <c r="H869">
        <v>868</v>
      </c>
      <c r="I869" s="394" t="s">
        <v>840</v>
      </c>
      <c r="J869" t="b">
        <f t="shared" si="27"/>
        <v>0</v>
      </c>
    </row>
    <row r="870" spans="6:10">
      <c r="F870" s="511" t="s">
        <v>2206</v>
      </c>
      <c r="G870" s="84" t="s">
        <v>2207</v>
      </c>
      <c r="H870">
        <v>869</v>
      </c>
      <c r="I870" s="394" t="s">
        <v>840</v>
      </c>
      <c r="J870" t="b">
        <f t="shared" si="27"/>
        <v>0</v>
      </c>
    </row>
    <row r="871" spans="6:10">
      <c r="F871" s="511" t="s">
        <v>2208</v>
      </c>
      <c r="G871" s="84" t="s">
        <v>2209</v>
      </c>
      <c r="H871">
        <v>870</v>
      </c>
      <c r="I871" s="394" t="s">
        <v>840</v>
      </c>
      <c r="J871" t="b">
        <f t="shared" si="27"/>
        <v>0</v>
      </c>
    </row>
    <row r="872" spans="6:10">
      <c r="F872" s="511" t="s">
        <v>2210</v>
      </c>
      <c r="G872" s="84" t="s">
        <v>2211</v>
      </c>
      <c r="H872">
        <v>871</v>
      </c>
      <c r="I872" s="394" t="s">
        <v>840</v>
      </c>
      <c r="J872" t="b">
        <f t="shared" si="27"/>
        <v>0</v>
      </c>
    </row>
    <row r="873" spans="6:10">
      <c r="F873" s="511" t="s">
        <v>2212</v>
      </c>
      <c r="G873" s="84" t="s">
        <v>2213</v>
      </c>
      <c r="H873">
        <v>872</v>
      </c>
      <c r="I873" s="394" t="s">
        <v>840</v>
      </c>
      <c r="J873" t="b">
        <f t="shared" si="27"/>
        <v>0</v>
      </c>
    </row>
    <row r="874" spans="6:10">
      <c r="F874" s="511" t="s">
        <v>2214</v>
      </c>
      <c r="G874" s="84" t="s">
        <v>2215</v>
      </c>
      <c r="H874">
        <v>873</v>
      </c>
      <c r="I874" s="394"/>
      <c r="J874" t="b">
        <f t="shared" si="27"/>
        <v>0</v>
      </c>
    </row>
    <row r="875" spans="6:10">
      <c r="F875" s="511" t="s">
        <v>1646</v>
      </c>
      <c r="G875" s="84" t="s">
        <v>2216</v>
      </c>
      <c r="H875">
        <v>874</v>
      </c>
      <c r="I875" s="394"/>
      <c r="J875" t="b">
        <f t="shared" si="27"/>
        <v>1</v>
      </c>
    </row>
    <row r="876" spans="6:10">
      <c r="F876" s="511" t="s">
        <v>1648</v>
      </c>
      <c r="G876" s="84" t="s">
        <v>2217</v>
      </c>
      <c r="H876">
        <v>875</v>
      </c>
      <c r="I876" s="394"/>
      <c r="J876" t="b">
        <f t="shared" si="27"/>
        <v>1</v>
      </c>
    </row>
    <row r="877" spans="6:10">
      <c r="F877" s="511" t="s">
        <v>1650</v>
      </c>
      <c r="G877" s="84" t="s">
        <v>2218</v>
      </c>
      <c r="H877">
        <v>876</v>
      </c>
      <c r="J877" t="b">
        <f t="shared" si="27"/>
        <v>1</v>
      </c>
    </row>
    <row r="878" spans="6:10">
      <c r="F878" s="511" t="s">
        <v>1652</v>
      </c>
      <c r="G878" s="84" t="s">
        <v>2219</v>
      </c>
      <c r="H878">
        <v>877</v>
      </c>
      <c r="J878" t="b">
        <f t="shared" si="27"/>
        <v>1</v>
      </c>
    </row>
    <row r="879" spans="6:10">
      <c r="F879" s="511" t="s">
        <v>2220</v>
      </c>
      <c r="G879" s="84" t="s">
        <v>2221</v>
      </c>
      <c r="H879">
        <v>878</v>
      </c>
      <c r="J879" t="b">
        <f t="shared" si="27"/>
        <v>0</v>
      </c>
    </row>
    <row r="880" spans="6:10">
      <c r="F880" s="511" t="s">
        <v>1656</v>
      </c>
      <c r="G880" s="84" t="s">
        <v>2222</v>
      </c>
      <c r="H880">
        <v>879</v>
      </c>
      <c r="J880" t="b">
        <f t="shared" si="27"/>
        <v>1</v>
      </c>
    </row>
    <row r="881" spans="6:10">
      <c r="F881" s="511" t="s">
        <v>2223</v>
      </c>
      <c r="G881" s="84" t="s">
        <v>2224</v>
      </c>
      <c r="H881">
        <v>880</v>
      </c>
      <c r="I881" s="394" t="s">
        <v>840</v>
      </c>
      <c r="J881" t="b">
        <f t="shared" si="27"/>
        <v>0</v>
      </c>
    </row>
    <row r="882" spans="6:10">
      <c r="F882" s="511" t="s">
        <v>2225</v>
      </c>
      <c r="G882" s="84" t="s">
        <v>2226</v>
      </c>
      <c r="H882">
        <v>881</v>
      </c>
      <c r="I882" s="394" t="s">
        <v>840</v>
      </c>
      <c r="J882" t="b">
        <f t="shared" si="27"/>
        <v>0</v>
      </c>
    </row>
    <row r="883" spans="6:10">
      <c r="F883" s="511" t="s">
        <v>2227</v>
      </c>
      <c r="G883" s="84" t="s">
        <v>2228</v>
      </c>
      <c r="H883">
        <v>882</v>
      </c>
      <c r="I883" s="394" t="s">
        <v>840</v>
      </c>
      <c r="J883" t="b">
        <f t="shared" si="27"/>
        <v>0</v>
      </c>
    </row>
    <row r="884" spans="6:10">
      <c r="F884" s="511" t="s">
        <v>2229</v>
      </c>
      <c r="G884" s="84" t="s">
        <v>2230</v>
      </c>
      <c r="H884">
        <v>883</v>
      </c>
      <c r="I884" s="394" t="s">
        <v>840</v>
      </c>
      <c r="J884" t="b">
        <f t="shared" si="27"/>
        <v>0</v>
      </c>
    </row>
    <row r="885" spans="6:10">
      <c r="F885" s="511" t="s">
        <v>2231</v>
      </c>
      <c r="G885" s="84" t="s">
        <v>2232</v>
      </c>
      <c r="H885">
        <v>884</v>
      </c>
      <c r="I885" s="394" t="s">
        <v>840</v>
      </c>
      <c r="J885" t="b">
        <f t="shared" si="27"/>
        <v>0</v>
      </c>
    </row>
    <row r="886" spans="6:10">
      <c r="F886" s="511" t="s">
        <v>2233</v>
      </c>
      <c r="G886" s="84" t="s">
        <v>2234</v>
      </c>
      <c r="H886">
        <v>885</v>
      </c>
      <c r="I886" s="394" t="s">
        <v>840</v>
      </c>
      <c r="J886" t="b">
        <f t="shared" si="27"/>
        <v>0</v>
      </c>
    </row>
    <row r="887" spans="6:10">
      <c r="F887" s="511" t="s">
        <v>2235</v>
      </c>
      <c r="G887" s="84" t="s">
        <v>2236</v>
      </c>
      <c r="H887">
        <v>886</v>
      </c>
      <c r="I887" s="394"/>
      <c r="J887" t="b">
        <f t="shared" si="27"/>
        <v>0</v>
      </c>
    </row>
    <row r="888" spans="6:10">
      <c r="F888" s="511" t="s">
        <v>1672</v>
      </c>
      <c r="G888" s="84" t="s">
        <v>2237</v>
      </c>
      <c r="H888">
        <v>887</v>
      </c>
      <c r="I888" s="394"/>
      <c r="J888" t="b">
        <f t="shared" si="27"/>
        <v>1</v>
      </c>
    </row>
    <row r="889" spans="6:10">
      <c r="F889" s="511" t="s">
        <v>1674</v>
      </c>
      <c r="G889" s="84" t="s">
        <v>2238</v>
      </c>
      <c r="H889">
        <v>888</v>
      </c>
      <c r="I889" s="394"/>
      <c r="J889" t="b">
        <f t="shared" si="27"/>
        <v>1</v>
      </c>
    </row>
    <row r="890" spans="6:10">
      <c r="F890" s="511" t="s">
        <v>1676</v>
      </c>
      <c r="G890" s="84" t="s">
        <v>2239</v>
      </c>
      <c r="H890">
        <v>889</v>
      </c>
      <c r="J890" t="b">
        <f t="shared" si="27"/>
        <v>1</v>
      </c>
    </row>
    <row r="891" spans="6:10">
      <c r="F891" s="511" t="s">
        <v>1678</v>
      </c>
      <c r="G891" s="84" t="s">
        <v>2240</v>
      </c>
      <c r="H891">
        <v>890</v>
      </c>
      <c r="J891" t="b">
        <f t="shared" si="27"/>
        <v>1</v>
      </c>
    </row>
    <row r="892" spans="6:10">
      <c r="F892" s="511" t="s">
        <v>2241</v>
      </c>
      <c r="G892" s="84" t="s">
        <v>2242</v>
      </c>
      <c r="H892">
        <v>891</v>
      </c>
      <c r="J892" t="b">
        <f t="shared" si="27"/>
        <v>0</v>
      </c>
    </row>
    <row r="893" spans="6:10">
      <c r="F893" s="511" t="s">
        <v>1682</v>
      </c>
      <c r="G893" s="84" t="s">
        <v>2243</v>
      </c>
      <c r="H893">
        <v>892</v>
      </c>
      <c r="J893" t="b">
        <f t="shared" si="27"/>
        <v>1</v>
      </c>
    </row>
    <row r="894" spans="6:10">
      <c r="F894" s="511" t="s">
        <v>2244</v>
      </c>
      <c r="G894" s="84" t="s">
        <v>2245</v>
      </c>
      <c r="H894">
        <v>893</v>
      </c>
      <c r="I894" s="394" t="s">
        <v>840</v>
      </c>
      <c r="J894" t="b">
        <f t="shared" si="27"/>
        <v>0</v>
      </c>
    </row>
    <row r="895" spans="6:10">
      <c r="F895" s="511" t="s">
        <v>2246</v>
      </c>
      <c r="G895" s="84" t="s">
        <v>2247</v>
      </c>
      <c r="H895">
        <v>894</v>
      </c>
      <c r="I895" s="394" t="s">
        <v>840</v>
      </c>
      <c r="J895" t="b">
        <f t="shared" si="27"/>
        <v>0</v>
      </c>
    </row>
    <row r="896" spans="6:10">
      <c r="F896" s="511" t="s">
        <v>2248</v>
      </c>
      <c r="G896" s="84" t="s">
        <v>2249</v>
      </c>
      <c r="H896">
        <v>895</v>
      </c>
      <c r="I896" s="394" t="s">
        <v>840</v>
      </c>
      <c r="J896" t="b">
        <f t="shared" si="27"/>
        <v>0</v>
      </c>
    </row>
    <row r="897" spans="6:10">
      <c r="F897" s="511" t="s">
        <v>2250</v>
      </c>
      <c r="G897" s="84" t="s">
        <v>2251</v>
      </c>
      <c r="H897">
        <v>896</v>
      </c>
      <c r="I897" s="394" t="s">
        <v>840</v>
      </c>
      <c r="J897" t="b">
        <f t="shared" si="27"/>
        <v>0</v>
      </c>
    </row>
    <row r="898" spans="6:10">
      <c r="F898" s="511" t="s">
        <v>2252</v>
      </c>
      <c r="G898" s="84" t="s">
        <v>2253</v>
      </c>
      <c r="H898">
        <v>897</v>
      </c>
      <c r="I898" s="394" t="s">
        <v>840</v>
      </c>
      <c r="J898" t="b">
        <f t="shared" si="27"/>
        <v>0</v>
      </c>
    </row>
    <row r="899" spans="6:10">
      <c r="F899" s="511" t="s">
        <v>2254</v>
      </c>
      <c r="G899" s="84" t="s">
        <v>2255</v>
      </c>
      <c r="H899">
        <v>898</v>
      </c>
      <c r="I899" s="394" t="s">
        <v>840</v>
      </c>
      <c r="J899" t="b">
        <f t="shared" si="27"/>
        <v>0</v>
      </c>
    </row>
    <row r="900" spans="6:10">
      <c r="F900" s="511" t="s">
        <v>2256</v>
      </c>
      <c r="G900" s="84" t="s">
        <v>2257</v>
      </c>
      <c r="H900">
        <v>899</v>
      </c>
      <c r="I900" s="394"/>
      <c r="J900" t="b">
        <f t="shared" si="27"/>
        <v>0</v>
      </c>
    </row>
    <row r="901" spans="6:10">
      <c r="F901" s="511" t="s">
        <v>1698</v>
      </c>
      <c r="G901" s="84" t="s">
        <v>2258</v>
      </c>
      <c r="H901">
        <v>900</v>
      </c>
      <c r="I901" s="394"/>
      <c r="J901" t="b">
        <f t="shared" si="27"/>
        <v>1</v>
      </c>
    </row>
    <row r="902" spans="6:10">
      <c r="F902" s="511" t="s">
        <v>1700</v>
      </c>
      <c r="G902" s="84" t="s">
        <v>2259</v>
      </c>
      <c r="H902">
        <v>901</v>
      </c>
      <c r="I902" s="394"/>
      <c r="J902" t="b">
        <f t="shared" si="27"/>
        <v>1</v>
      </c>
    </row>
    <row r="903" spans="6:10">
      <c r="F903" s="511" t="s">
        <v>1702</v>
      </c>
      <c r="G903" s="84" t="s">
        <v>2260</v>
      </c>
      <c r="H903">
        <v>902</v>
      </c>
      <c r="J903" t="b">
        <f t="shared" si="27"/>
        <v>1</v>
      </c>
    </row>
    <row r="904" spans="6:10">
      <c r="F904" s="511" t="s">
        <v>1704</v>
      </c>
      <c r="G904" s="84" t="s">
        <v>2261</v>
      </c>
      <c r="H904">
        <v>903</v>
      </c>
      <c r="J904" t="b">
        <f t="shared" si="27"/>
        <v>1</v>
      </c>
    </row>
    <row r="905" spans="6:10">
      <c r="F905" s="511" t="s">
        <v>2262</v>
      </c>
      <c r="G905" s="84" t="s">
        <v>2263</v>
      </c>
      <c r="H905">
        <v>904</v>
      </c>
      <c r="J905" t="b">
        <f t="shared" si="27"/>
        <v>0</v>
      </c>
    </row>
    <row r="906" spans="6:10">
      <c r="F906" s="511" t="s">
        <v>1708</v>
      </c>
      <c r="G906" s="84" t="s">
        <v>2264</v>
      </c>
      <c r="H906">
        <v>905</v>
      </c>
      <c r="J906" t="b">
        <f t="shared" si="27"/>
        <v>1</v>
      </c>
    </row>
    <row r="907" spans="6:10">
      <c r="F907" s="511" t="s">
        <v>2265</v>
      </c>
      <c r="G907" s="84" t="s">
        <v>2266</v>
      </c>
      <c r="H907">
        <v>906</v>
      </c>
      <c r="I907" s="394" t="s">
        <v>840</v>
      </c>
      <c r="J907" t="b">
        <f t="shared" si="27"/>
        <v>0</v>
      </c>
    </row>
    <row r="908" spans="6:10">
      <c r="F908" s="511" t="s">
        <v>2267</v>
      </c>
      <c r="G908" s="84" t="s">
        <v>2268</v>
      </c>
      <c r="H908">
        <v>907</v>
      </c>
      <c r="I908" s="394" t="s">
        <v>840</v>
      </c>
      <c r="J908" t="b">
        <f t="shared" si="27"/>
        <v>0</v>
      </c>
    </row>
    <row r="909" spans="6:10">
      <c r="F909" s="511" t="s">
        <v>2269</v>
      </c>
      <c r="G909" s="84" t="s">
        <v>2270</v>
      </c>
      <c r="H909">
        <v>908</v>
      </c>
      <c r="I909" s="394" t="s">
        <v>840</v>
      </c>
      <c r="J909" t="b">
        <f t="shared" si="27"/>
        <v>0</v>
      </c>
    </row>
    <row r="910" spans="6:10">
      <c r="F910" s="511" t="s">
        <v>2271</v>
      </c>
      <c r="G910" s="84" t="s">
        <v>2272</v>
      </c>
      <c r="H910">
        <v>909</v>
      </c>
      <c r="I910" s="394" t="s">
        <v>840</v>
      </c>
      <c r="J910" t="b">
        <f t="shared" si="27"/>
        <v>0</v>
      </c>
    </row>
    <row r="911" spans="6:10">
      <c r="F911" s="511" t="s">
        <v>2273</v>
      </c>
      <c r="G911" s="84" t="s">
        <v>2274</v>
      </c>
      <c r="H911">
        <v>910</v>
      </c>
      <c r="I911" s="394" t="s">
        <v>840</v>
      </c>
      <c r="J911" t="b">
        <f t="shared" si="27"/>
        <v>0</v>
      </c>
    </row>
    <row r="912" spans="6:10">
      <c r="F912" s="511" t="s">
        <v>2275</v>
      </c>
      <c r="G912" s="84" t="s">
        <v>2276</v>
      </c>
      <c r="H912">
        <v>911</v>
      </c>
      <c r="I912" s="394" t="s">
        <v>840</v>
      </c>
      <c r="J912" t="b">
        <f t="shared" si="27"/>
        <v>0</v>
      </c>
    </row>
    <row r="913" spans="6:10">
      <c r="F913" s="511" t="s">
        <v>2277</v>
      </c>
      <c r="G913" s="84" t="s">
        <v>2278</v>
      </c>
      <c r="H913">
        <v>912</v>
      </c>
      <c r="I913" s="394"/>
      <c r="J913" t="b">
        <f t="shared" ref="J913:J976" si="28">A641=F913</f>
        <v>0</v>
      </c>
    </row>
    <row r="914" spans="6:10">
      <c r="F914" s="511" t="s">
        <v>1724</v>
      </c>
      <c r="G914" s="84" t="s">
        <v>2279</v>
      </c>
      <c r="H914">
        <v>913</v>
      </c>
      <c r="I914" s="394"/>
      <c r="J914" t="b">
        <f t="shared" si="28"/>
        <v>1</v>
      </c>
    </row>
    <row r="915" spans="6:10">
      <c r="F915" s="511" t="s">
        <v>1726</v>
      </c>
      <c r="G915" s="84" t="s">
        <v>2280</v>
      </c>
      <c r="H915">
        <v>914</v>
      </c>
      <c r="I915" s="394"/>
      <c r="J915" t="b">
        <f t="shared" si="28"/>
        <v>1</v>
      </c>
    </row>
    <row r="916" spans="6:10">
      <c r="F916" s="511" t="s">
        <v>1728</v>
      </c>
      <c r="G916" s="84" t="s">
        <v>2281</v>
      </c>
      <c r="H916">
        <v>915</v>
      </c>
      <c r="J916" t="b">
        <f t="shared" si="28"/>
        <v>1</v>
      </c>
    </row>
    <row r="917" spans="6:10">
      <c r="F917" s="511" t="s">
        <v>1730</v>
      </c>
      <c r="G917" s="84" t="s">
        <v>2282</v>
      </c>
      <c r="H917">
        <v>916</v>
      </c>
      <c r="J917" t="b">
        <f t="shared" si="28"/>
        <v>1</v>
      </c>
    </row>
    <row r="918" spans="6:10">
      <c r="F918" s="511" t="s">
        <v>1732</v>
      </c>
      <c r="G918" s="84" t="s">
        <v>2283</v>
      </c>
      <c r="H918">
        <v>917</v>
      </c>
      <c r="J918" t="b">
        <f t="shared" si="28"/>
        <v>1</v>
      </c>
    </row>
    <row r="919" spans="6:10">
      <c r="F919" s="511" t="s">
        <v>1734</v>
      </c>
      <c r="G919" s="84" t="s">
        <v>2284</v>
      </c>
      <c r="H919">
        <v>918</v>
      </c>
      <c r="J919" t="b">
        <f t="shared" si="28"/>
        <v>1</v>
      </c>
    </row>
    <row r="920" spans="6:10">
      <c r="F920" s="511" t="s">
        <v>1736</v>
      </c>
      <c r="G920" s="84" t="s">
        <v>2285</v>
      </c>
      <c r="H920">
        <v>919</v>
      </c>
      <c r="J920" t="b">
        <f t="shared" si="28"/>
        <v>1</v>
      </c>
    </row>
    <row r="921" spans="6:10">
      <c r="F921" s="511" t="s">
        <v>1738</v>
      </c>
      <c r="G921" s="84" t="s">
        <v>2286</v>
      </c>
      <c r="H921">
        <v>920</v>
      </c>
      <c r="J921" t="b">
        <f t="shared" si="28"/>
        <v>1</v>
      </c>
    </row>
    <row r="922" spans="6:10">
      <c r="F922" s="511" t="s">
        <v>2287</v>
      </c>
      <c r="G922" s="84" t="s">
        <v>2288</v>
      </c>
      <c r="H922">
        <v>921</v>
      </c>
      <c r="J922" t="b">
        <f t="shared" si="28"/>
        <v>1</v>
      </c>
    </row>
    <row r="923" spans="6:10">
      <c r="F923" s="511" t="s">
        <v>1742</v>
      </c>
      <c r="G923" s="84" t="s">
        <v>2289</v>
      </c>
      <c r="H923">
        <v>922</v>
      </c>
      <c r="J923" t="b">
        <f t="shared" si="28"/>
        <v>1</v>
      </c>
    </row>
    <row r="924" spans="6:10">
      <c r="F924" s="511" t="s">
        <v>1744</v>
      </c>
      <c r="G924" s="84" t="s">
        <v>2290</v>
      </c>
      <c r="H924">
        <v>923</v>
      </c>
      <c r="J924" t="b">
        <f t="shared" si="28"/>
        <v>1</v>
      </c>
    </row>
    <row r="925" spans="6:10">
      <c r="F925" s="511" t="s">
        <v>1746</v>
      </c>
      <c r="G925" s="84" t="s">
        <v>2291</v>
      </c>
      <c r="H925">
        <v>924</v>
      </c>
      <c r="J925" t="b">
        <f t="shared" si="28"/>
        <v>1</v>
      </c>
    </row>
    <row r="926" spans="6:10">
      <c r="F926" s="511" t="s">
        <v>1748</v>
      </c>
      <c r="G926" s="84" t="s">
        <v>2292</v>
      </c>
      <c r="H926">
        <v>925</v>
      </c>
      <c r="J926" t="b">
        <f t="shared" si="28"/>
        <v>1</v>
      </c>
    </row>
    <row r="927" spans="6:10">
      <c r="F927" s="511" t="s">
        <v>1750</v>
      </c>
      <c r="G927" s="84" t="s">
        <v>2293</v>
      </c>
      <c r="H927">
        <v>926</v>
      </c>
      <c r="J927" t="b">
        <f t="shared" si="28"/>
        <v>1</v>
      </c>
    </row>
    <row r="928" spans="6:10">
      <c r="F928" s="511" t="s">
        <v>1752</v>
      </c>
      <c r="G928" s="84" t="s">
        <v>2294</v>
      </c>
      <c r="H928">
        <v>927</v>
      </c>
      <c r="J928" t="b">
        <f t="shared" si="28"/>
        <v>1</v>
      </c>
    </row>
    <row r="929" spans="6:10">
      <c r="F929" s="511" t="s">
        <v>1754</v>
      </c>
      <c r="G929" s="84" t="s">
        <v>2295</v>
      </c>
      <c r="H929">
        <v>928</v>
      </c>
      <c r="J929" t="b">
        <f t="shared" si="28"/>
        <v>1</v>
      </c>
    </row>
    <row r="930" spans="6:10">
      <c r="F930" s="511" t="s">
        <v>1756</v>
      </c>
      <c r="G930" s="84" t="s">
        <v>2296</v>
      </c>
      <c r="H930">
        <v>929</v>
      </c>
      <c r="J930" t="b">
        <f t="shared" si="28"/>
        <v>1</v>
      </c>
    </row>
    <row r="931" spans="6:10">
      <c r="F931" s="511" t="s">
        <v>1758</v>
      </c>
      <c r="G931" s="84" t="s">
        <v>2297</v>
      </c>
      <c r="H931">
        <v>930</v>
      </c>
      <c r="J931" t="b">
        <f t="shared" si="28"/>
        <v>1</v>
      </c>
    </row>
    <row r="932" spans="6:10">
      <c r="F932" s="511" t="s">
        <v>1760</v>
      </c>
      <c r="G932" s="84" t="s">
        <v>2298</v>
      </c>
      <c r="H932">
        <v>931</v>
      </c>
      <c r="J932" t="b">
        <f t="shared" si="28"/>
        <v>1</v>
      </c>
    </row>
    <row r="933" spans="6:10">
      <c r="F933" s="511" t="s">
        <v>2299</v>
      </c>
      <c r="G933" s="84" t="s">
        <v>2300</v>
      </c>
      <c r="H933">
        <v>932</v>
      </c>
      <c r="J933" t="b">
        <f t="shared" si="28"/>
        <v>1</v>
      </c>
    </row>
    <row r="934" spans="6:10">
      <c r="F934" s="511" t="s">
        <v>1764</v>
      </c>
      <c r="G934" s="84" t="s">
        <v>2301</v>
      </c>
      <c r="H934">
        <v>933</v>
      </c>
      <c r="J934" t="b">
        <f t="shared" si="28"/>
        <v>1</v>
      </c>
    </row>
    <row r="935" spans="6:10">
      <c r="F935" s="511" t="s">
        <v>1766</v>
      </c>
      <c r="G935" s="84" t="s">
        <v>2302</v>
      </c>
      <c r="H935">
        <v>934</v>
      </c>
      <c r="J935" t="b">
        <f t="shared" si="28"/>
        <v>1</v>
      </c>
    </row>
    <row r="936" spans="6:10">
      <c r="F936" s="511" t="s">
        <v>1768</v>
      </c>
      <c r="G936" s="84" t="s">
        <v>2303</v>
      </c>
      <c r="H936">
        <v>935</v>
      </c>
      <c r="J936" t="b">
        <f t="shared" si="28"/>
        <v>1</v>
      </c>
    </row>
    <row r="937" spans="6:10">
      <c r="F937" s="511" t="s">
        <v>1770</v>
      </c>
      <c r="G937" s="84" t="s">
        <v>2304</v>
      </c>
      <c r="H937">
        <v>936</v>
      </c>
      <c r="J937" t="b">
        <f t="shared" si="28"/>
        <v>1</v>
      </c>
    </row>
    <row r="938" spans="6:10">
      <c r="F938" s="511" t="s">
        <v>1772</v>
      </c>
      <c r="G938" s="84" t="s">
        <v>2305</v>
      </c>
      <c r="H938">
        <v>937</v>
      </c>
      <c r="J938" t="b">
        <f t="shared" si="28"/>
        <v>1</v>
      </c>
    </row>
    <row r="939" spans="6:10">
      <c r="F939" s="511" t="s">
        <v>1774</v>
      </c>
      <c r="G939" s="84" t="s">
        <v>2306</v>
      </c>
      <c r="H939">
        <v>938</v>
      </c>
      <c r="J939" t="b">
        <f t="shared" si="28"/>
        <v>1</v>
      </c>
    </row>
    <row r="940" spans="6:10">
      <c r="F940" s="511" t="s">
        <v>1776</v>
      </c>
      <c r="G940" s="84" t="s">
        <v>2307</v>
      </c>
      <c r="H940">
        <v>939</v>
      </c>
      <c r="J940" t="b">
        <f t="shared" si="28"/>
        <v>1</v>
      </c>
    </row>
    <row r="941" spans="6:10">
      <c r="F941" s="511" t="s">
        <v>1778</v>
      </c>
      <c r="G941" s="84" t="s">
        <v>2308</v>
      </c>
      <c r="H941">
        <v>940</v>
      </c>
      <c r="J941" t="b">
        <f t="shared" si="28"/>
        <v>1</v>
      </c>
    </row>
    <row r="942" spans="6:10">
      <c r="F942" s="511" t="s">
        <v>1780</v>
      </c>
      <c r="G942" s="84" t="s">
        <v>2309</v>
      </c>
      <c r="H942">
        <v>941</v>
      </c>
      <c r="J942" t="b">
        <f t="shared" si="28"/>
        <v>1</v>
      </c>
    </row>
    <row r="943" spans="6:10">
      <c r="F943" s="511" t="s">
        <v>1782</v>
      </c>
      <c r="G943" s="84" t="s">
        <v>2310</v>
      </c>
      <c r="H943">
        <v>942</v>
      </c>
      <c r="J943" t="b">
        <f t="shared" si="28"/>
        <v>1</v>
      </c>
    </row>
    <row r="944" spans="6:10">
      <c r="F944" s="511" t="s">
        <v>2311</v>
      </c>
      <c r="G944" s="84" t="s">
        <v>2312</v>
      </c>
      <c r="H944">
        <v>943</v>
      </c>
      <c r="J944" t="b">
        <f t="shared" si="28"/>
        <v>1</v>
      </c>
    </row>
    <row r="945" spans="6:10">
      <c r="F945" s="511" t="s">
        <v>1786</v>
      </c>
      <c r="G945" s="84" t="s">
        <v>2313</v>
      </c>
      <c r="H945">
        <v>944</v>
      </c>
      <c r="J945" t="b">
        <f t="shared" si="28"/>
        <v>1</v>
      </c>
    </row>
    <row r="946" spans="6:10">
      <c r="F946" s="511" t="s">
        <v>1788</v>
      </c>
      <c r="G946" s="84" t="s">
        <v>2314</v>
      </c>
      <c r="H946">
        <v>945</v>
      </c>
      <c r="J946" t="b">
        <f t="shared" si="28"/>
        <v>1</v>
      </c>
    </row>
    <row r="947" spans="6:10">
      <c r="F947" s="511" t="s">
        <v>1790</v>
      </c>
      <c r="G947" s="84" t="s">
        <v>2315</v>
      </c>
      <c r="H947">
        <v>946</v>
      </c>
      <c r="J947" t="b">
        <f t="shared" si="28"/>
        <v>1</v>
      </c>
    </row>
    <row r="948" spans="6:10">
      <c r="F948" s="511" t="s">
        <v>1792</v>
      </c>
      <c r="G948" s="84" t="s">
        <v>2316</v>
      </c>
      <c r="H948">
        <v>947</v>
      </c>
      <c r="J948" t="b">
        <f t="shared" si="28"/>
        <v>1</v>
      </c>
    </row>
    <row r="949" spans="6:10">
      <c r="F949" s="511" t="s">
        <v>1794</v>
      </c>
      <c r="G949" s="84" t="s">
        <v>2317</v>
      </c>
      <c r="H949">
        <v>948</v>
      </c>
      <c r="J949" t="b">
        <f t="shared" si="28"/>
        <v>1</v>
      </c>
    </row>
    <row r="950" spans="6:10">
      <c r="F950" s="511" t="s">
        <v>1796</v>
      </c>
      <c r="G950" s="84" t="s">
        <v>2318</v>
      </c>
      <c r="H950">
        <v>949</v>
      </c>
      <c r="J950" t="b">
        <f t="shared" si="28"/>
        <v>1</v>
      </c>
    </row>
    <row r="951" spans="6:10">
      <c r="F951" s="511" t="s">
        <v>1798</v>
      </c>
      <c r="G951" s="84" t="s">
        <v>2319</v>
      </c>
      <c r="H951">
        <v>950</v>
      </c>
      <c r="J951" t="b">
        <f t="shared" si="28"/>
        <v>1</v>
      </c>
    </row>
    <row r="952" spans="6:10">
      <c r="F952" s="511" t="s">
        <v>1800</v>
      </c>
      <c r="G952" s="84" t="s">
        <v>2320</v>
      </c>
      <c r="H952">
        <v>951</v>
      </c>
      <c r="J952" t="b">
        <f t="shared" si="28"/>
        <v>1</v>
      </c>
    </row>
    <row r="953" spans="6:10">
      <c r="F953" s="511" t="s">
        <v>1802</v>
      </c>
      <c r="G953" s="84" t="s">
        <v>2321</v>
      </c>
      <c r="H953">
        <v>952</v>
      </c>
      <c r="J953" t="b">
        <f t="shared" si="28"/>
        <v>1</v>
      </c>
    </row>
    <row r="954" spans="6:10">
      <c r="F954" s="511" t="s">
        <v>1804</v>
      </c>
      <c r="G954" s="84" t="s">
        <v>2322</v>
      </c>
      <c r="H954">
        <v>953</v>
      </c>
      <c r="J954" t="b">
        <f t="shared" si="28"/>
        <v>1</v>
      </c>
    </row>
    <row r="955" spans="6:10">
      <c r="F955" s="511" t="s">
        <v>2323</v>
      </c>
      <c r="G955" s="84" t="s">
        <v>2324</v>
      </c>
      <c r="H955">
        <v>954</v>
      </c>
      <c r="J955" t="b">
        <f t="shared" si="28"/>
        <v>1</v>
      </c>
    </row>
    <row r="956" spans="6:10">
      <c r="F956" s="511" t="s">
        <v>1808</v>
      </c>
      <c r="G956" s="84" t="s">
        <v>2325</v>
      </c>
      <c r="H956">
        <v>955</v>
      </c>
      <c r="J956" t="b">
        <f t="shared" si="28"/>
        <v>1</v>
      </c>
    </row>
    <row r="957" spans="6:10">
      <c r="F957" s="511" t="s">
        <v>1810</v>
      </c>
      <c r="G957" s="84" t="s">
        <v>2326</v>
      </c>
      <c r="H957">
        <v>956</v>
      </c>
      <c r="J957" t="b">
        <f t="shared" si="28"/>
        <v>1</v>
      </c>
    </row>
    <row r="958" spans="6:10">
      <c r="F958" s="511" t="s">
        <v>1812</v>
      </c>
      <c r="G958" s="84" t="s">
        <v>2327</v>
      </c>
      <c r="H958">
        <v>957</v>
      </c>
      <c r="J958" t="b">
        <f t="shared" si="28"/>
        <v>1</v>
      </c>
    </row>
    <row r="959" spans="6:10">
      <c r="F959" s="511" t="s">
        <v>1814</v>
      </c>
      <c r="G959" s="84" t="s">
        <v>2328</v>
      </c>
      <c r="H959">
        <v>958</v>
      </c>
      <c r="J959" t="b">
        <f t="shared" si="28"/>
        <v>1</v>
      </c>
    </row>
    <row r="960" spans="6:10">
      <c r="F960" s="511" t="s">
        <v>1816</v>
      </c>
      <c r="G960" s="84" t="s">
        <v>2329</v>
      </c>
      <c r="H960">
        <v>959</v>
      </c>
      <c r="J960" t="b">
        <f t="shared" si="28"/>
        <v>1</v>
      </c>
    </row>
    <row r="961" spans="6:10">
      <c r="F961" s="511" t="s">
        <v>1818</v>
      </c>
      <c r="G961" s="84" t="s">
        <v>2330</v>
      </c>
      <c r="H961">
        <v>960</v>
      </c>
      <c r="J961" t="b">
        <f t="shared" si="28"/>
        <v>1</v>
      </c>
    </row>
    <row r="962" spans="6:10">
      <c r="F962" s="511" t="s">
        <v>1820</v>
      </c>
      <c r="G962" s="84" t="s">
        <v>2331</v>
      </c>
      <c r="H962">
        <v>961</v>
      </c>
      <c r="J962" t="b">
        <f t="shared" si="28"/>
        <v>1</v>
      </c>
    </row>
    <row r="963" spans="6:10">
      <c r="F963" s="511" t="s">
        <v>1822</v>
      </c>
      <c r="G963" s="84" t="s">
        <v>2332</v>
      </c>
      <c r="H963">
        <v>962</v>
      </c>
      <c r="J963" t="b">
        <f t="shared" si="28"/>
        <v>1</v>
      </c>
    </row>
    <row r="964" spans="6:10">
      <c r="F964" s="511" t="s">
        <v>1824</v>
      </c>
      <c r="G964" s="84" t="s">
        <v>2333</v>
      </c>
      <c r="H964">
        <v>963</v>
      </c>
      <c r="J964" t="b">
        <f t="shared" si="28"/>
        <v>1</v>
      </c>
    </row>
    <row r="965" spans="6:10">
      <c r="F965" s="511" t="s">
        <v>1826</v>
      </c>
      <c r="G965" s="84" t="s">
        <v>2334</v>
      </c>
      <c r="H965">
        <v>964</v>
      </c>
      <c r="J965" t="b">
        <f t="shared" si="28"/>
        <v>1</v>
      </c>
    </row>
    <row r="966" spans="6:10">
      <c r="F966" s="511" t="s">
        <v>2335</v>
      </c>
      <c r="G966" s="84" t="s">
        <v>2336</v>
      </c>
      <c r="H966">
        <v>965</v>
      </c>
      <c r="J966" t="b">
        <f t="shared" si="28"/>
        <v>1</v>
      </c>
    </row>
    <row r="967" spans="6:10">
      <c r="F967" s="511" t="s">
        <v>1830</v>
      </c>
      <c r="G967" s="84" t="s">
        <v>2337</v>
      </c>
      <c r="H967">
        <v>966</v>
      </c>
      <c r="J967" t="b">
        <f t="shared" si="28"/>
        <v>1</v>
      </c>
    </row>
    <row r="968" spans="6:10">
      <c r="F968" s="511" t="s">
        <v>1832</v>
      </c>
      <c r="G968" s="84" t="s">
        <v>2338</v>
      </c>
      <c r="H968">
        <v>967</v>
      </c>
      <c r="J968" t="b">
        <f t="shared" si="28"/>
        <v>1</v>
      </c>
    </row>
    <row r="969" spans="6:10">
      <c r="F969" s="511" t="s">
        <v>1834</v>
      </c>
      <c r="G969" s="84" t="s">
        <v>2339</v>
      </c>
      <c r="H969">
        <v>968</v>
      </c>
      <c r="J969" t="b">
        <f t="shared" si="28"/>
        <v>1</v>
      </c>
    </row>
    <row r="970" spans="6:10">
      <c r="F970" s="511" t="s">
        <v>1836</v>
      </c>
      <c r="G970" s="84" t="s">
        <v>2340</v>
      </c>
      <c r="H970">
        <v>969</v>
      </c>
      <c r="J970" t="b">
        <f t="shared" si="28"/>
        <v>1</v>
      </c>
    </row>
    <row r="971" spans="6:10">
      <c r="F971" s="511" t="s">
        <v>1838</v>
      </c>
      <c r="G971" s="84" t="s">
        <v>2341</v>
      </c>
      <c r="H971">
        <v>970</v>
      </c>
      <c r="J971" t="b">
        <f t="shared" si="28"/>
        <v>1</v>
      </c>
    </row>
    <row r="972" spans="6:10">
      <c r="F972" s="511" t="s">
        <v>1840</v>
      </c>
      <c r="G972" s="84" t="s">
        <v>2342</v>
      </c>
      <c r="H972">
        <v>971</v>
      </c>
      <c r="J972" t="b">
        <f t="shared" si="28"/>
        <v>1</v>
      </c>
    </row>
    <row r="973" spans="6:10">
      <c r="F973" s="511" t="s">
        <v>1842</v>
      </c>
      <c r="G973" s="84" t="s">
        <v>2343</v>
      </c>
      <c r="H973">
        <v>972</v>
      </c>
      <c r="J973" t="b">
        <f t="shared" si="28"/>
        <v>1</v>
      </c>
    </row>
    <row r="974" spans="6:10">
      <c r="F974" s="511" t="s">
        <v>1844</v>
      </c>
      <c r="G974" s="84" t="s">
        <v>2344</v>
      </c>
      <c r="H974">
        <v>973</v>
      </c>
      <c r="J974" t="b">
        <f t="shared" si="28"/>
        <v>1</v>
      </c>
    </row>
    <row r="975" spans="6:10">
      <c r="F975" s="511" t="s">
        <v>1846</v>
      </c>
      <c r="G975" s="84" t="s">
        <v>2345</v>
      </c>
      <c r="H975">
        <v>974</v>
      </c>
      <c r="J975" t="b">
        <f t="shared" si="28"/>
        <v>1</v>
      </c>
    </row>
    <row r="976" spans="6:10">
      <c r="F976" s="511" t="s">
        <v>1848</v>
      </c>
      <c r="G976" s="84" t="s">
        <v>2346</v>
      </c>
      <c r="H976">
        <v>975</v>
      </c>
      <c r="J976" t="b">
        <f t="shared" si="28"/>
        <v>1</v>
      </c>
    </row>
    <row r="977" spans="6:10">
      <c r="F977" s="511" t="s">
        <v>2347</v>
      </c>
      <c r="G977" s="84" t="s">
        <v>2348</v>
      </c>
      <c r="H977">
        <v>976</v>
      </c>
      <c r="J977" t="b">
        <f t="shared" ref="J977:J1040" si="29">A705=F977</f>
        <v>1</v>
      </c>
    </row>
    <row r="978" spans="6:10">
      <c r="F978" s="511" t="s">
        <v>1852</v>
      </c>
      <c r="G978" s="84" t="s">
        <v>2349</v>
      </c>
      <c r="H978">
        <v>977</v>
      </c>
      <c r="J978" t="b">
        <f t="shared" si="29"/>
        <v>1</v>
      </c>
    </row>
    <row r="979" spans="6:10">
      <c r="F979" s="511" t="s">
        <v>1854</v>
      </c>
      <c r="G979" s="84" t="s">
        <v>2350</v>
      </c>
      <c r="H979">
        <v>978</v>
      </c>
      <c r="J979" t="b">
        <f t="shared" si="29"/>
        <v>1</v>
      </c>
    </row>
    <row r="980" spans="6:10">
      <c r="F980" s="511" t="s">
        <v>1856</v>
      </c>
      <c r="G980" s="84" t="s">
        <v>2351</v>
      </c>
      <c r="H980">
        <v>979</v>
      </c>
      <c r="J980" t="b">
        <f t="shared" si="29"/>
        <v>1</v>
      </c>
    </row>
    <row r="981" spans="6:10">
      <c r="F981" s="511" t="s">
        <v>1858</v>
      </c>
      <c r="G981" s="84" t="s">
        <v>2352</v>
      </c>
      <c r="H981">
        <v>980</v>
      </c>
      <c r="J981" t="b">
        <f t="shared" si="29"/>
        <v>1</v>
      </c>
    </row>
    <row r="982" spans="6:10">
      <c r="F982" s="511" t="s">
        <v>1860</v>
      </c>
      <c r="G982" s="84" t="s">
        <v>2353</v>
      </c>
      <c r="H982">
        <v>981</v>
      </c>
      <c r="J982" t="b">
        <f t="shared" si="29"/>
        <v>1</v>
      </c>
    </row>
    <row r="983" spans="6:10">
      <c r="F983" s="511" t="s">
        <v>1862</v>
      </c>
      <c r="G983" s="84" t="s">
        <v>2354</v>
      </c>
      <c r="H983">
        <v>982</v>
      </c>
      <c r="J983" t="b">
        <f t="shared" si="29"/>
        <v>1</v>
      </c>
    </row>
    <row r="984" spans="6:10">
      <c r="F984" s="511" t="s">
        <v>1864</v>
      </c>
      <c r="G984" s="84" t="s">
        <v>2355</v>
      </c>
      <c r="H984">
        <v>983</v>
      </c>
      <c r="J984" t="b">
        <f t="shared" si="29"/>
        <v>1</v>
      </c>
    </row>
    <row r="985" spans="6:10">
      <c r="F985" s="511" t="s">
        <v>1866</v>
      </c>
      <c r="G985" s="84" t="s">
        <v>2356</v>
      </c>
      <c r="H985">
        <v>984</v>
      </c>
      <c r="J985" t="b">
        <f t="shared" si="29"/>
        <v>1</v>
      </c>
    </row>
    <row r="986" spans="6:10">
      <c r="F986" s="511" t="s">
        <v>1868</v>
      </c>
      <c r="G986" s="84" t="s">
        <v>2357</v>
      </c>
      <c r="H986">
        <v>985</v>
      </c>
      <c r="J986" t="b">
        <f t="shared" si="29"/>
        <v>1</v>
      </c>
    </row>
    <row r="987" spans="6:10">
      <c r="F987" s="511" t="s">
        <v>1870</v>
      </c>
      <c r="G987" s="84" t="s">
        <v>2358</v>
      </c>
      <c r="H987">
        <v>986</v>
      </c>
      <c r="J987" t="b">
        <f t="shared" si="29"/>
        <v>1</v>
      </c>
    </row>
    <row r="988" spans="6:10">
      <c r="F988" s="511" t="s">
        <v>1872</v>
      </c>
      <c r="G988" s="84" t="s">
        <v>2359</v>
      </c>
      <c r="H988">
        <v>987</v>
      </c>
      <c r="J988" t="b">
        <f t="shared" si="29"/>
        <v>1</v>
      </c>
    </row>
    <row r="989" spans="6:10">
      <c r="F989" s="511" t="s">
        <v>1874</v>
      </c>
      <c r="G989" s="84" t="s">
        <v>2360</v>
      </c>
      <c r="H989">
        <v>988</v>
      </c>
      <c r="J989" t="b">
        <f t="shared" si="29"/>
        <v>1</v>
      </c>
    </row>
    <row r="990" spans="6:10">
      <c r="F990" s="511" t="s">
        <v>1876</v>
      </c>
      <c r="G990" s="84" t="s">
        <v>2361</v>
      </c>
      <c r="H990">
        <v>989</v>
      </c>
      <c r="J990" t="b">
        <f t="shared" si="29"/>
        <v>1</v>
      </c>
    </row>
    <row r="991" spans="6:10">
      <c r="F991" s="511" t="s">
        <v>1878</v>
      </c>
      <c r="G991" s="84" t="s">
        <v>2362</v>
      </c>
      <c r="H991">
        <v>990</v>
      </c>
      <c r="J991" t="b">
        <f t="shared" si="29"/>
        <v>1</v>
      </c>
    </row>
    <row r="992" spans="6:10">
      <c r="F992" s="511" t="s">
        <v>1880</v>
      </c>
      <c r="G992" s="84" t="s">
        <v>2363</v>
      </c>
      <c r="H992">
        <v>991</v>
      </c>
      <c r="J992" t="b">
        <f t="shared" si="29"/>
        <v>1</v>
      </c>
    </row>
    <row r="993" spans="6:10">
      <c r="F993" s="511" t="s">
        <v>1882</v>
      </c>
      <c r="G993" s="84" t="s">
        <v>2364</v>
      </c>
      <c r="H993">
        <v>992</v>
      </c>
      <c r="J993" t="b">
        <f t="shared" si="29"/>
        <v>1</v>
      </c>
    </row>
    <row r="994" spans="6:10">
      <c r="F994" s="511" t="s">
        <v>1884</v>
      </c>
      <c r="G994" s="84" t="s">
        <v>2365</v>
      </c>
      <c r="H994">
        <v>993</v>
      </c>
      <c r="J994" t="b">
        <f t="shared" si="29"/>
        <v>1</v>
      </c>
    </row>
    <row r="995" spans="6:10">
      <c r="F995" s="511" t="s">
        <v>1886</v>
      </c>
      <c r="G995" s="84" t="s">
        <v>2366</v>
      </c>
      <c r="H995">
        <v>994</v>
      </c>
      <c r="J995" t="b">
        <f t="shared" si="29"/>
        <v>1</v>
      </c>
    </row>
    <row r="996" spans="6:10">
      <c r="F996" s="511" t="s">
        <v>1888</v>
      </c>
      <c r="G996" s="84" t="s">
        <v>2367</v>
      </c>
      <c r="H996">
        <v>995</v>
      </c>
      <c r="J996" t="b">
        <f t="shared" si="29"/>
        <v>1</v>
      </c>
    </row>
    <row r="997" spans="6:10">
      <c r="F997" s="511" t="s">
        <v>1890</v>
      </c>
      <c r="G997" s="84" t="s">
        <v>2368</v>
      </c>
      <c r="H997">
        <v>996</v>
      </c>
      <c r="J997" t="b">
        <f t="shared" si="29"/>
        <v>1</v>
      </c>
    </row>
    <row r="998" spans="6:10">
      <c r="F998" s="511" t="s">
        <v>1892</v>
      </c>
      <c r="G998" s="84" t="s">
        <v>2369</v>
      </c>
      <c r="H998">
        <v>997</v>
      </c>
      <c r="J998" t="b">
        <f t="shared" si="29"/>
        <v>1</v>
      </c>
    </row>
    <row r="999" spans="6:10">
      <c r="F999" s="511" t="s">
        <v>1894</v>
      </c>
      <c r="G999" s="84" t="s">
        <v>2370</v>
      </c>
      <c r="H999">
        <v>998</v>
      </c>
      <c r="J999" t="b">
        <f t="shared" si="29"/>
        <v>1</v>
      </c>
    </row>
    <row r="1000" spans="6:10">
      <c r="F1000" s="511" t="s">
        <v>1896</v>
      </c>
      <c r="G1000" s="84" t="s">
        <v>2371</v>
      </c>
      <c r="H1000">
        <v>999</v>
      </c>
      <c r="J1000" t="b">
        <f t="shared" si="29"/>
        <v>1</v>
      </c>
    </row>
    <row r="1001" spans="6:10">
      <c r="F1001" s="511" t="s">
        <v>1898</v>
      </c>
      <c r="G1001" s="84" t="s">
        <v>2372</v>
      </c>
      <c r="H1001">
        <v>1000</v>
      </c>
      <c r="J1001" t="b">
        <f t="shared" si="29"/>
        <v>1</v>
      </c>
    </row>
    <row r="1002" spans="6:10">
      <c r="F1002" s="511" t="s">
        <v>1900</v>
      </c>
      <c r="G1002" s="84" t="s">
        <v>2373</v>
      </c>
      <c r="H1002">
        <v>1001</v>
      </c>
      <c r="J1002" t="b">
        <f t="shared" si="29"/>
        <v>1</v>
      </c>
    </row>
    <row r="1003" spans="6:10">
      <c r="F1003" s="511" t="s">
        <v>1902</v>
      </c>
      <c r="G1003" s="84" t="s">
        <v>2374</v>
      </c>
      <c r="H1003">
        <v>1002</v>
      </c>
      <c r="J1003" t="b">
        <f t="shared" si="29"/>
        <v>1</v>
      </c>
    </row>
    <row r="1004" spans="6:10">
      <c r="F1004" s="511" t="s">
        <v>1904</v>
      </c>
      <c r="G1004" s="84" t="s">
        <v>2375</v>
      </c>
      <c r="H1004">
        <v>1003</v>
      </c>
      <c r="J1004" t="b">
        <f t="shared" si="29"/>
        <v>1</v>
      </c>
    </row>
    <row r="1005" spans="6:10">
      <c r="F1005" s="511" t="s">
        <v>1906</v>
      </c>
      <c r="G1005" s="84" t="s">
        <v>2376</v>
      </c>
      <c r="H1005">
        <v>1004</v>
      </c>
      <c r="J1005" t="b">
        <f t="shared" si="29"/>
        <v>1</v>
      </c>
    </row>
    <row r="1006" spans="6:10">
      <c r="F1006" s="511" t="s">
        <v>1908</v>
      </c>
      <c r="G1006" s="84" t="s">
        <v>2377</v>
      </c>
      <c r="H1006">
        <v>1005</v>
      </c>
      <c r="J1006" t="b">
        <f t="shared" si="29"/>
        <v>1</v>
      </c>
    </row>
    <row r="1007" spans="6:10">
      <c r="F1007" s="511" t="s">
        <v>1910</v>
      </c>
      <c r="G1007" s="84" t="s">
        <v>2378</v>
      </c>
      <c r="H1007">
        <v>1006</v>
      </c>
      <c r="J1007" t="b">
        <f t="shared" si="29"/>
        <v>1</v>
      </c>
    </row>
    <row r="1008" spans="6:10">
      <c r="F1008" s="511" t="s">
        <v>1912</v>
      </c>
      <c r="G1008" s="84" t="s">
        <v>2379</v>
      </c>
      <c r="H1008">
        <v>1007</v>
      </c>
      <c r="J1008" t="b">
        <f t="shared" si="29"/>
        <v>1</v>
      </c>
    </row>
    <row r="1009" spans="6:10">
      <c r="F1009" s="511" t="s">
        <v>1914</v>
      </c>
      <c r="G1009" s="84" t="s">
        <v>2380</v>
      </c>
      <c r="H1009">
        <v>1008</v>
      </c>
      <c r="J1009" t="b">
        <f t="shared" si="29"/>
        <v>1</v>
      </c>
    </row>
    <row r="1010" spans="6:10">
      <c r="F1010" s="511" t="s">
        <v>1916</v>
      </c>
      <c r="G1010" s="84" t="s">
        <v>2381</v>
      </c>
      <c r="H1010">
        <v>1009</v>
      </c>
      <c r="J1010" t="b">
        <f t="shared" si="29"/>
        <v>1</v>
      </c>
    </row>
    <row r="1011" spans="6:10">
      <c r="F1011" s="511" t="s">
        <v>1918</v>
      </c>
      <c r="G1011" s="84" t="s">
        <v>2382</v>
      </c>
      <c r="H1011">
        <v>1010</v>
      </c>
      <c r="J1011" t="b">
        <f t="shared" si="29"/>
        <v>1</v>
      </c>
    </row>
    <row r="1012" spans="6:10">
      <c r="F1012" s="511" t="s">
        <v>1920</v>
      </c>
      <c r="G1012" s="84" t="s">
        <v>2383</v>
      </c>
      <c r="H1012">
        <v>1011</v>
      </c>
      <c r="J1012" t="b">
        <f t="shared" si="29"/>
        <v>1</v>
      </c>
    </row>
    <row r="1013" spans="6:10">
      <c r="F1013" s="511" t="s">
        <v>1922</v>
      </c>
      <c r="G1013" s="84" t="s">
        <v>2384</v>
      </c>
      <c r="H1013">
        <v>1012</v>
      </c>
      <c r="J1013" t="b">
        <f t="shared" si="29"/>
        <v>1</v>
      </c>
    </row>
    <row r="1014" spans="6:10">
      <c r="F1014" s="511" t="s">
        <v>1924</v>
      </c>
      <c r="G1014" s="84" t="s">
        <v>2385</v>
      </c>
      <c r="H1014">
        <v>1013</v>
      </c>
      <c r="J1014" t="b">
        <f t="shared" si="29"/>
        <v>1</v>
      </c>
    </row>
    <row r="1015" spans="6:10">
      <c r="F1015" s="511" t="s">
        <v>1926</v>
      </c>
      <c r="G1015" s="84" t="s">
        <v>2386</v>
      </c>
      <c r="H1015">
        <v>1014</v>
      </c>
      <c r="J1015" t="b">
        <f t="shared" si="29"/>
        <v>1</v>
      </c>
    </row>
    <row r="1016" spans="6:10">
      <c r="F1016" s="511" t="s">
        <v>1928</v>
      </c>
      <c r="G1016" s="84" t="s">
        <v>2387</v>
      </c>
      <c r="H1016">
        <v>1015</v>
      </c>
      <c r="J1016" t="b">
        <f t="shared" si="29"/>
        <v>1</v>
      </c>
    </row>
    <row r="1017" spans="6:10">
      <c r="F1017" s="511" t="s">
        <v>1930</v>
      </c>
      <c r="G1017" s="84" t="s">
        <v>2388</v>
      </c>
      <c r="H1017">
        <v>1016</v>
      </c>
      <c r="J1017" t="b">
        <f t="shared" si="29"/>
        <v>1</v>
      </c>
    </row>
    <row r="1018" spans="6:10">
      <c r="F1018" s="511" t="s">
        <v>1932</v>
      </c>
      <c r="G1018" s="84" t="s">
        <v>2389</v>
      </c>
      <c r="H1018">
        <v>1017</v>
      </c>
      <c r="J1018" t="b">
        <f t="shared" si="29"/>
        <v>1</v>
      </c>
    </row>
    <row r="1019" spans="6:10">
      <c r="F1019" s="511" t="s">
        <v>1934</v>
      </c>
      <c r="G1019" s="84" t="s">
        <v>2390</v>
      </c>
      <c r="H1019">
        <v>1018</v>
      </c>
      <c r="J1019" t="b">
        <f t="shared" si="29"/>
        <v>1</v>
      </c>
    </row>
    <row r="1020" spans="6:10">
      <c r="F1020" s="511" t="s">
        <v>1936</v>
      </c>
      <c r="G1020" s="84" t="s">
        <v>2391</v>
      </c>
      <c r="H1020">
        <v>1019</v>
      </c>
      <c r="J1020" t="b">
        <f t="shared" si="29"/>
        <v>1</v>
      </c>
    </row>
    <row r="1021" spans="6:10">
      <c r="F1021" s="511" t="s">
        <v>1938</v>
      </c>
      <c r="G1021" s="84" t="s">
        <v>2392</v>
      </c>
      <c r="H1021">
        <v>1020</v>
      </c>
      <c r="J1021" t="b">
        <f t="shared" si="29"/>
        <v>1</v>
      </c>
    </row>
    <row r="1022" spans="6:10">
      <c r="F1022" s="511" t="s">
        <v>1940</v>
      </c>
      <c r="G1022" s="84" t="s">
        <v>2393</v>
      </c>
      <c r="H1022">
        <v>1021</v>
      </c>
      <c r="J1022" t="b">
        <f t="shared" si="29"/>
        <v>1</v>
      </c>
    </row>
    <row r="1023" spans="6:10">
      <c r="F1023" s="511" t="s">
        <v>1942</v>
      </c>
      <c r="G1023" s="84" t="s">
        <v>2394</v>
      </c>
      <c r="H1023">
        <v>1022</v>
      </c>
      <c r="J1023" t="b">
        <f t="shared" si="29"/>
        <v>1</v>
      </c>
    </row>
    <row r="1024" spans="6:10">
      <c r="F1024" s="511" t="s">
        <v>1944</v>
      </c>
      <c r="G1024" s="84" t="s">
        <v>2395</v>
      </c>
      <c r="H1024">
        <v>1023</v>
      </c>
      <c r="J1024" t="b">
        <f t="shared" si="29"/>
        <v>1</v>
      </c>
    </row>
    <row r="1025" spans="6:10">
      <c r="F1025" s="511" t="s">
        <v>1946</v>
      </c>
      <c r="G1025" s="84" t="s">
        <v>2396</v>
      </c>
      <c r="H1025">
        <v>1024</v>
      </c>
      <c r="J1025" t="b">
        <f t="shared" si="29"/>
        <v>1</v>
      </c>
    </row>
    <row r="1026" spans="6:10">
      <c r="F1026" s="511" t="s">
        <v>1948</v>
      </c>
      <c r="G1026" s="84" t="s">
        <v>2397</v>
      </c>
      <c r="H1026">
        <v>1025</v>
      </c>
      <c r="J1026" t="b">
        <f t="shared" si="29"/>
        <v>1</v>
      </c>
    </row>
    <row r="1027" spans="6:10">
      <c r="F1027" s="511" t="s">
        <v>1950</v>
      </c>
      <c r="G1027" s="84" t="s">
        <v>2398</v>
      </c>
      <c r="H1027">
        <v>1026</v>
      </c>
      <c r="J1027" t="b">
        <f t="shared" si="29"/>
        <v>1</v>
      </c>
    </row>
    <row r="1028" spans="6:10">
      <c r="F1028" s="511" t="s">
        <v>1952</v>
      </c>
      <c r="G1028" s="84" t="s">
        <v>2399</v>
      </c>
      <c r="H1028">
        <v>1027</v>
      </c>
      <c r="J1028" t="b">
        <f t="shared" si="29"/>
        <v>1</v>
      </c>
    </row>
    <row r="1029" spans="6:10">
      <c r="F1029" s="511" t="s">
        <v>1954</v>
      </c>
      <c r="G1029" s="84" t="s">
        <v>2400</v>
      </c>
      <c r="H1029">
        <v>1028</v>
      </c>
      <c r="J1029" t="b">
        <f t="shared" si="29"/>
        <v>1</v>
      </c>
    </row>
    <row r="1030" spans="6:10">
      <c r="F1030" s="511" t="s">
        <v>1956</v>
      </c>
      <c r="G1030" s="84" t="s">
        <v>2401</v>
      </c>
      <c r="H1030">
        <v>1029</v>
      </c>
      <c r="J1030" t="b">
        <f t="shared" si="29"/>
        <v>1</v>
      </c>
    </row>
    <row r="1031" spans="6:10">
      <c r="F1031" s="511" t="s">
        <v>1958</v>
      </c>
      <c r="G1031" s="84" t="s">
        <v>2402</v>
      </c>
      <c r="H1031">
        <v>1030</v>
      </c>
      <c r="J1031" t="b">
        <f t="shared" si="29"/>
        <v>1</v>
      </c>
    </row>
    <row r="1032" spans="6:10">
      <c r="F1032" s="511" t="s">
        <v>1960</v>
      </c>
      <c r="G1032" s="84" t="s">
        <v>2403</v>
      </c>
      <c r="H1032">
        <v>1031</v>
      </c>
      <c r="J1032" t="b">
        <f t="shared" si="29"/>
        <v>1</v>
      </c>
    </row>
    <row r="1033" spans="6:10">
      <c r="F1033" s="511" t="s">
        <v>1962</v>
      </c>
      <c r="G1033" s="84" t="s">
        <v>2404</v>
      </c>
      <c r="H1033">
        <v>1032</v>
      </c>
      <c r="J1033" t="b">
        <f t="shared" si="29"/>
        <v>1</v>
      </c>
    </row>
    <row r="1034" spans="6:10">
      <c r="F1034" s="511" t="s">
        <v>1964</v>
      </c>
      <c r="G1034" s="84" t="s">
        <v>2405</v>
      </c>
      <c r="H1034">
        <v>1033</v>
      </c>
      <c r="J1034" t="b">
        <f t="shared" si="29"/>
        <v>1</v>
      </c>
    </row>
    <row r="1035" spans="6:10">
      <c r="F1035" s="511" t="s">
        <v>1967</v>
      </c>
      <c r="G1035" s="84" t="s">
        <v>2406</v>
      </c>
      <c r="H1035">
        <v>1034</v>
      </c>
      <c r="J1035" t="b">
        <f t="shared" si="29"/>
        <v>1</v>
      </c>
    </row>
    <row r="1036" spans="6:10">
      <c r="F1036" s="511" t="s">
        <v>1970</v>
      </c>
      <c r="G1036" s="84" t="s">
        <v>2407</v>
      </c>
      <c r="H1036">
        <v>1035</v>
      </c>
      <c r="J1036" t="b">
        <f t="shared" si="29"/>
        <v>1</v>
      </c>
    </row>
    <row r="1037" spans="6:10">
      <c r="F1037" s="511" t="s">
        <v>1973</v>
      </c>
      <c r="G1037" s="84" t="s">
        <v>2408</v>
      </c>
      <c r="H1037">
        <v>1036</v>
      </c>
      <c r="J1037" t="b">
        <f t="shared" si="29"/>
        <v>1</v>
      </c>
    </row>
    <row r="1038" spans="6:10">
      <c r="F1038" s="511" t="s">
        <v>1976</v>
      </c>
      <c r="G1038" s="84" t="s">
        <v>2409</v>
      </c>
      <c r="H1038">
        <v>1037</v>
      </c>
      <c r="J1038" t="b">
        <f t="shared" si="29"/>
        <v>1</v>
      </c>
    </row>
    <row r="1039" spans="6:10">
      <c r="F1039" s="511" t="s">
        <v>1979</v>
      </c>
      <c r="G1039" s="84" t="s">
        <v>2410</v>
      </c>
      <c r="H1039">
        <v>1038</v>
      </c>
      <c r="J1039" t="b">
        <f t="shared" si="29"/>
        <v>1</v>
      </c>
    </row>
    <row r="1040" spans="6:10">
      <c r="F1040" s="511" t="s">
        <v>1982</v>
      </c>
      <c r="G1040" s="84" t="s">
        <v>2411</v>
      </c>
      <c r="H1040">
        <v>1039</v>
      </c>
      <c r="J1040" t="b">
        <f t="shared" si="29"/>
        <v>1</v>
      </c>
    </row>
    <row r="1041" spans="6:10">
      <c r="F1041" s="511" t="s">
        <v>1985</v>
      </c>
      <c r="G1041" s="84" t="s">
        <v>2412</v>
      </c>
      <c r="H1041">
        <v>1040</v>
      </c>
      <c r="J1041" t="b">
        <f t="shared" ref="J1041:J1101" si="30">A769=F1041</f>
        <v>1</v>
      </c>
    </row>
    <row r="1042" spans="6:10">
      <c r="F1042" s="511" t="s">
        <v>1988</v>
      </c>
      <c r="G1042" s="84" t="s">
        <v>2413</v>
      </c>
      <c r="H1042">
        <v>1041</v>
      </c>
      <c r="J1042" t="b">
        <f t="shared" si="30"/>
        <v>1</v>
      </c>
    </row>
    <row r="1043" spans="6:10">
      <c r="F1043" s="511" t="s">
        <v>1991</v>
      </c>
      <c r="G1043" s="84" t="s">
        <v>2414</v>
      </c>
      <c r="H1043">
        <v>1042</v>
      </c>
      <c r="J1043" t="b">
        <f t="shared" si="30"/>
        <v>1</v>
      </c>
    </row>
    <row r="1044" spans="6:10">
      <c r="F1044" s="511" t="s">
        <v>1994</v>
      </c>
      <c r="G1044" s="84" t="s">
        <v>2415</v>
      </c>
      <c r="H1044">
        <v>1043</v>
      </c>
      <c r="J1044" t="b">
        <f t="shared" si="30"/>
        <v>1</v>
      </c>
    </row>
    <row r="1045" spans="6:10">
      <c r="F1045" s="511" t="s">
        <v>1997</v>
      </c>
      <c r="G1045" s="84" t="s">
        <v>2416</v>
      </c>
      <c r="H1045">
        <v>1044</v>
      </c>
      <c r="J1045" t="b">
        <f t="shared" si="30"/>
        <v>1</v>
      </c>
    </row>
    <row r="1046" spans="6:10">
      <c r="F1046" s="511" t="s">
        <v>1999</v>
      </c>
      <c r="G1046" s="84" t="s">
        <v>2417</v>
      </c>
      <c r="H1046">
        <v>1045</v>
      </c>
      <c r="J1046" t="b">
        <f t="shared" si="30"/>
        <v>1</v>
      </c>
    </row>
    <row r="1047" spans="6:10">
      <c r="F1047" s="511" t="s">
        <v>2001</v>
      </c>
      <c r="G1047" s="84" t="s">
        <v>2418</v>
      </c>
      <c r="H1047">
        <v>1046</v>
      </c>
      <c r="J1047" t="b">
        <f t="shared" si="30"/>
        <v>1</v>
      </c>
    </row>
    <row r="1048" spans="6:10">
      <c r="F1048" s="511" t="s">
        <v>2003</v>
      </c>
      <c r="G1048" s="84" t="s">
        <v>2419</v>
      </c>
      <c r="H1048">
        <v>1047</v>
      </c>
      <c r="J1048" t="b">
        <f t="shared" si="30"/>
        <v>1</v>
      </c>
    </row>
    <row r="1049" spans="6:10">
      <c r="F1049" s="511" t="s">
        <v>2005</v>
      </c>
      <c r="G1049" s="84" t="s">
        <v>2420</v>
      </c>
      <c r="H1049">
        <v>1048</v>
      </c>
      <c r="J1049" t="b">
        <f t="shared" si="30"/>
        <v>1</v>
      </c>
    </row>
    <row r="1050" spans="6:10">
      <c r="F1050" s="511" t="s">
        <v>2007</v>
      </c>
      <c r="G1050" s="84" t="s">
        <v>2421</v>
      </c>
      <c r="H1050">
        <v>1049</v>
      </c>
      <c r="J1050" t="b">
        <f t="shared" si="30"/>
        <v>1</v>
      </c>
    </row>
    <row r="1051" spans="6:10">
      <c r="F1051" s="511" t="s">
        <v>2009</v>
      </c>
      <c r="G1051" s="84" t="s">
        <v>2422</v>
      </c>
      <c r="H1051">
        <v>1050</v>
      </c>
      <c r="J1051" t="b">
        <f t="shared" si="30"/>
        <v>1</v>
      </c>
    </row>
    <row r="1052" spans="6:10">
      <c r="F1052" s="511" t="s">
        <v>2011</v>
      </c>
      <c r="G1052" s="84" t="s">
        <v>2423</v>
      </c>
      <c r="H1052">
        <v>1051</v>
      </c>
      <c r="J1052" t="b">
        <f t="shared" si="30"/>
        <v>1</v>
      </c>
    </row>
    <row r="1053" spans="6:10">
      <c r="F1053" s="511" t="s">
        <v>2013</v>
      </c>
      <c r="G1053" s="84" t="s">
        <v>2424</v>
      </c>
      <c r="H1053">
        <v>1052</v>
      </c>
      <c r="J1053" t="b">
        <f t="shared" si="30"/>
        <v>1</v>
      </c>
    </row>
    <row r="1054" spans="6:10">
      <c r="F1054" s="511" t="s">
        <v>2016</v>
      </c>
      <c r="G1054" s="84" t="s">
        <v>2425</v>
      </c>
      <c r="H1054">
        <v>1053</v>
      </c>
      <c r="J1054" t="b">
        <f t="shared" si="30"/>
        <v>1</v>
      </c>
    </row>
    <row r="1055" spans="6:10">
      <c r="F1055" s="511" t="s">
        <v>2019</v>
      </c>
      <c r="G1055" s="84" t="s">
        <v>2426</v>
      </c>
      <c r="H1055">
        <v>1054</v>
      </c>
      <c r="J1055" t="b">
        <f t="shared" si="30"/>
        <v>1</v>
      </c>
    </row>
    <row r="1056" spans="6:10">
      <c r="F1056" s="511" t="s">
        <v>2022</v>
      </c>
      <c r="G1056" s="84" t="s">
        <v>2427</v>
      </c>
      <c r="H1056">
        <v>1055</v>
      </c>
      <c r="J1056" t="b">
        <f t="shared" si="30"/>
        <v>1</v>
      </c>
    </row>
    <row r="1057" spans="6:10">
      <c r="F1057" s="511" t="s">
        <v>2025</v>
      </c>
      <c r="G1057" s="84" t="s">
        <v>2428</v>
      </c>
      <c r="H1057">
        <v>1056</v>
      </c>
      <c r="J1057" t="b">
        <f t="shared" si="30"/>
        <v>1</v>
      </c>
    </row>
    <row r="1058" spans="6:10">
      <c r="F1058" s="511" t="s">
        <v>2028</v>
      </c>
      <c r="G1058" s="84" t="s">
        <v>2429</v>
      </c>
      <c r="H1058">
        <v>1057</v>
      </c>
      <c r="J1058" t="b">
        <f t="shared" si="30"/>
        <v>1</v>
      </c>
    </row>
    <row r="1059" spans="6:10">
      <c r="F1059" s="511" t="s">
        <v>2031</v>
      </c>
      <c r="G1059" s="84" t="s">
        <v>2430</v>
      </c>
      <c r="H1059">
        <v>1058</v>
      </c>
      <c r="J1059" t="b">
        <f t="shared" si="30"/>
        <v>1</v>
      </c>
    </row>
    <row r="1060" spans="6:10">
      <c r="F1060" s="511" t="s">
        <v>2034</v>
      </c>
      <c r="G1060" s="84" t="s">
        <v>2431</v>
      </c>
      <c r="H1060">
        <v>1059</v>
      </c>
      <c r="J1060" t="b">
        <f t="shared" si="30"/>
        <v>1</v>
      </c>
    </row>
    <row r="1061" spans="6:10">
      <c r="F1061" s="511" t="s">
        <v>2037</v>
      </c>
      <c r="G1061" s="84" t="s">
        <v>2432</v>
      </c>
      <c r="H1061">
        <v>1060</v>
      </c>
      <c r="J1061" t="b">
        <f t="shared" si="30"/>
        <v>1</v>
      </c>
    </row>
    <row r="1062" spans="6:10">
      <c r="F1062" s="511" t="s">
        <v>2040</v>
      </c>
      <c r="G1062" s="84" t="s">
        <v>2433</v>
      </c>
      <c r="H1062">
        <v>1061</v>
      </c>
      <c r="J1062" t="b">
        <f t="shared" si="30"/>
        <v>1</v>
      </c>
    </row>
    <row r="1063" spans="6:10">
      <c r="F1063" s="511" t="s">
        <v>2043</v>
      </c>
      <c r="G1063" s="84" t="s">
        <v>2434</v>
      </c>
      <c r="H1063">
        <v>1062</v>
      </c>
      <c r="J1063" t="b">
        <f t="shared" si="30"/>
        <v>1</v>
      </c>
    </row>
    <row r="1064" spans="6:10">
      <c r="F1064" s="511" t="s">
        <v>2046</v>
      </c>
      <c r="G1064" s="84" t="s">
        <v>2435</v>
      </c>
      <c r="H1064">
        <v>1063</v>
      </c>
      <c r="J1064" t="b">
        <f t="shared" si="30"/>
        <v>1</v>
      </c>
    </row>
    <row r="1065" spans="6:10">
      <c r="F1065" s="511" t="s">
        <v>2048</v>
      </c>
      <c r="G1065" s="84" t="s">
        <v>2436</v>
      </c>
      <c r="H1065">
        <v>1064</v>
      </c>
      <c r="J1065" t="b">
        <f t="shared" si="30"/>
        <v>1</v>
      </c>
    </row>
    <row r="1066" spans="6:10">
      <c r="F1066" s="511" t="s">
        <v>2050</v>
      </c>
      <c r="G1066" s="84" t="s">
        <v>2437</v>
      </c>
      <c r="H1066">
        <v>1065</v>
      </c>
      <c r="J1066" t="b">
        <f t="shared" si="30"/>
        <v>1</v>
      </c>
    </row>
    <row r="1067" spans="6:10">
      <c r="F1067" s="511" t="s">
        <v>2052</v>
      </c>
      <c r="G1067" s="84" t="s">
        <v>2438</v>
      </c>
      <c r="H1067">
        <v>1066</v>
      </c>
      <c r="J1067" t="b">
        <f t="shared" si="30"/>
        <v>1</v>
      </c>
    </row>
    <row r="1068" spans="6:10">
      <c r="F1068" s="511" t="s">
        <v>2054</v>
      </c>
      <c r="G1068" s="84" t="s">
        <v>2439</v>
      </c>
      <c r="H1068">
        <v>1067</v>
      </c>
      <c r="J1068" t="b">
        <f t="shared" si="30"/>
        <v>1</v>
      </c>
    </row>
    <row r="1069" spans="6:10">
      <c r="F1069" s="511" t="s">
        <v>2056</v>
      </c>
      <c r="G1069" s="84" t="s">
        <v>2440</v>
      </c>
      <c r="H1069">
        <v>1068</v>
      </c>
      <c r="J1069" t="b">
        <f t="shared" si="30"/>
        <v>1</v>
      </c>
    </row>
    <row r="1070" spans="6:10">
      <c r="F1070" s="511" t="s">
        <v>2058</v>
      </c>
      <c r="G1070" s="84" t="s">
        <v>2441</v>
      </c>
      <c r="H1070">
        <v>1069</v>
      </c>
      <c r="J1070" t="b">
        <f t="shared" si="30"/>
        <v>1</v>
      </c>
    </row>
    <row r="1071" spans="6:10">
      <c r="F1071" s="511" t="s">
        <v>2060</v>
      </c>
      <c r="G1071" s="84" t="s">
        <v>2442</v>
      </c>
      <c r="H1071">
        <v>1070</v>
      </c>
      <c r="J1071" t="b">
        <f t="shared" si="30"/>
        <v>1</v>
      </c>
    </row>
    <row r="1072" spans="6:10">
      <c r="F1072" s="511" t="s">
        <v>2062</v>
      </c>
      <c r="G1072" s="84" t="s">
        <v>2443</v>
      </c>
      <c r="H1072">
        <v>1071</v>
      </c>
      <c r="J1072" t="b">
        <f t="shared" si="30"/>
        <v>1</v>
      </c>
    </row>
    <row r="1073" spans="6:10">
      <c r="F1073" s="511" t="s">
        <v>2065</v>
      </c>
      <c r="G1073" s="84" t="s">
        <v>2444</v>
      </c>
      <c r="H1073">
        <v>1072</v>
      </c>
      <c r="J1073" t="b">
        <f t="shared" si="30"/>
        <v>1</v>
      </c>
    </row>
    <row r="1074" spans="6:10">
      <c r="F1074" s="511" t="s">
        <v>2068</v>
      </c>
      <c r="G1074" s="84" t="s">
        <v>2445</v>
      </c>
      <c r="H1074">
        <v>1073</v>
      </c>
      <c r="J1074" t="b">
        <f t="shared" si="30"/>
        <v>1</v>
      </c>
    </row>
    <row r="1075" spans="6:10">
      <c r="F1075" s="511" t="s">
        <v>2071</v>
      </c>
      <c r="G1075" s="84" t="s">
        <v>2446</v>
      </c>
      <c r="H1075">
        <v>1074</v>
      </c>
      <c r="J1075" t="b">
        <f t="shared" si="30"/>
        <v>1</v>
      </c>
    </row>
    <row r="1076" spans="6:10">
      <c r="F1076" s="511" t="s">
        <v>2074</v>
      </c>
      <c r="G1076" s="84" t="s">
        <v>2447</v>
      </c>
      <c r="H1076">
        <v>1075</v>
      </c>
      <c r="J1076" t="b">
        <f t="shared" si="30"/>
        <v>1</v>
      </c>
    </row>
    <row r="1077" spans="6:10">
      <c r="F1077" s="511" t="s">
        <v>2077</v>
      </c>
      <c r="G1077" s="84" t="s">
        <v>2448</v>
      </c>
      <c r="H1077">
        <v>1076</v>
      </c>
      <c r="J1077" t="b">
        <f t="shared" si="30"/>
        <v>1</v>
      </c>
    </row>
    <row r="1078" spans="6:10">
      <c r="F1078" s="511" t="s">
        <v>2080</v>
      </c>
      <c r="G1078" s="84" t="s">
        <v>2449</v>
      </c>
      <c r="H1078">
        <v>1077</v>
      </c>
      <c r="J1078" t="b">
        <f t="shared" si="30"/>
        <v>1</v>
      </c>
    </row>
    <row r="1079" spans="6:10">
      <c r="F1079" s="511" t="s">
        <v>2083</v>
      </c>
      <c r="G1079" s="84" t="s">
        <v>2450</v>
      </c>
      <c r="H1079">
        <v>1078</v>
      </c>
      <c r="J1079" t="b">
        <f t="shared" si="30"/>
        <v>1</v>
      </c>
    </row>
    <row r="1080" spans="6:10">
      <c r="F1080" s="511" t="s">
        <v>2086</v>
      </c>
      <c r="G1080" s="84" t="s">
        <v>2451</v>
      </c>
      <c r="H1080">
        <v>1079</v>
      </c>
      <c r="J1080" t="b">
        <f t="shared" si="30"/>
        <v>1</v>
      </c>
    </row>
    <row r="1081" spans="6:10">
      <c r="F1081" s="511" t="s">
        <v>2089</v>
      </c>
      <c r="G1081" s="84" t="s">
        <v>2452</v>
      </c>
      <c r="H1081">
        <v>1080</v>
      </c>
      <c r="J1081" t="b">
        <f t="shared" si="30"/>
        <v>1</v>
      </c>
    </row>
    <row r="1082" spans="6:10">
      <c r="F1082" s="511" t="s">
        <v>2092</v>
      </c>
      <c r="G1082" s="84" t="s">
        <v>2453</v>
      </c>
      <c r="H1082">
        <v>1081</v>
      </c>
      <c r="J1082" t="b">
        <f t="shared" si="30"/>
        <v>1</v>
      </c>
    </row>
    <row r="1083" spans="6:10">
      <c r="F1083" s="511" t="s">
        <v>2095</v>
      </c>
      <c r="G1083" s="84" t="s">
        <v>2454</v>
      </c>
      <c r="H1083">
        <v>1082</v>
      </c>
      <c r="J1083" t="b">
        <f t="shared" si="30"/>
        <v>1</v>
      </c>
    </row>
    <row r="1084" spans="6:10">
      <c r="F1084" s="511" t="s">
        <v>2097</v>
      </c>
      <c r="G1084" s="84" t="s">
        <v>2455</v>
      </c>
      <c r="H1084">
        <v>1083</v>
      </c>
      <c r="J1084" t="b">
        <f t="shared" si="30"/>
        <v>1</v>
      </c>
    </row>
    <row r="1085" spans="6:10">
      <c r="F1085" s="511" t="s">
        <v>2099</v>
      </c>
      <c r="G1085" s="84" t="s">
        <v>2456</v>
      </c>
      <c r="H1085">
        <v>1084</v>
      </c>
      <c r="J1085" t="b">
        <f t="shared" si="30"/>
        <v>1</v>
      </c>
    </row>
    <row r="1086" spans="6:10">
      <c r="F1086" s="511" t="s">
        <v>2101</v>
      </c>
      <c r="G1086" s="84" t="s">
        <v>2457</v>
      </c>
      <c r="H1086">
        <v>1085</v>
      </c>
      <c r="J1086" t="b">
        <f t="shared" si="30"/>
        <v>1</v>
      </c>
    </row>
    <row r="1087" spans="6:10">
      <c r="F1087" s="511" t="s">
        <v>2103</v>
      </c>
      <c r="G1087" s="84" t="s">
        <v>2458</v>
      </c>
      <c r="H1087">
        <v>1086</v>
      </c>
      <c r="J1087" t="b">
        <f t="shared" si="30"/>
        <v>1</v>
      </c>
    </row>
    <row r="1088" spans="6:10">
      <c r="F1088" s="511" t="s">
        <v>2105</v>
      </c>
      <c r="G1088" s="84" t="s">
        <v>2459</v>
      </c>
      <c r="H1088">
        <v>1087</v>
      </c>
      <c r="J1088" t="b">
        <f t="shared" si="30"/>
        <v>1</v>
      </c>
    </row>
    <row r="1089" spans="6:10">
      <c r="F1089" s="511" t="s">
        <v>2107</v>
      </c>
      <c r="G1089" s="84" t="s">
        <v>2460</v>
      </c>
      <c r="H1089">
        <v>1088</v>
      </c>
      <c r="J1089" t="b">
        <f t="shared" si="30"/>
        <v>1</v>
      </c>
    </row>
    <row r="1090" spans="6:10">
      <c r="F1090" s="511" t="s">
        <v>2109</v>
      </c>
      <c r="G1090" s="84" t="s">
        <v>2461</v>
      </c>
      <c r="H1090">
        <v>1089</v>
      </c>
      <c r="J1090" t="b">
        <f t="shared" si="30"/>
        <v>1</v>
      </c>
    </row>
    <row r="1091" spans="6:10">
      <c r="F1091" s="511" t="s">
        <v>2111</v>
      </c>
      <c r="G1091" s="84" t="s">
        <v>2462</v>
      </c>
      <c r="H1091">
        <v>1090</v>
      </c>
      <c r="J1091" t="b">
        <f t="shared" si="30"/>
        <v>1</v>
      </c>
    </row>
    <row r="1092" spans="6:10">
      <c r="F1092" s="511" t="s">
        <v>2114</v>
      </c>
      <c r="G1092" s="84" t="s">
        <v>2463</v>
      </c>
      <c r="H1092">
        <v>1091</v>
      </c>
      <c r="J1092" t="b">
        <f t="shared" si="30"/>
        <v>1</v>
      </c>
    </row>
    <row r="1093" spans="6:10">
      <c r="F1093" s="511" t="s">
        <v>2117</v>
      </c>
      <c r="G1093" s="84" t="s">
        <v>2464</v>
      </c>
      <c r="H1093">
        <v>1092</v>
      </c>
      <c r="J1093" t="b">
        <f t="shared" si="30"/>
        <v>1</v>
      </c>
    </row>
    <row r="1094" spans="6:10">
      <c r="F1094" s="511" t="s">
        <v>2120</v>
      </c>
      <c r="G1094" s="84" t="s">
        <v>2465</v>
      </c>
      <c r="H1094">
        <v>1093</v>
      </c>
      <c r="J1094" t="b">
        <f t="shared" si="30"/>
        <v>1</v>
      </c>
    </row>
    <row r="1095" spans="6:10">
      <c r="F1095" s="511" t="s">
        <v>2123</v>
      </c>
      <c r="G1095" s="84" t="s">
        <v>2466</v>
      </c>
      <c r="H1095">
        <v>1094</v>
      </c>
      <c r="J1095" t="b">
        <f t="shared" si="30"/>
        <v>1</v>
      </c>
    </row>
    <row r="1096" spans="6:10">
      <c r="F1096" s="511" t="s">
        <v>2126</v>
      </c>
      <c r="G1096" s="84" t="s">
        <v>2467</v>
      </c>
      <c r="H1096">
        <v>1095</v>
      </c>
      <c r="J1096" t="b">
        <f t="shared" si="30"/>
        <v>1</v>
      </c>
    </row>
    <row r="1097" spans="6:10">
      <c r="F1097" s="511" t="s">
        <v>2129</v>
      </c>
      <c r="G1097" s="84" t="s">
        <v>2468</v>
      </c>
      <c r="H1097">
        <v>1096</v>
      </c>
      <c r="J1097" t="b">
        <f t="shared" si="30"/>
        <v>1</v>
      </c>
    </row>
    <row r="1098" spans="6:10">
      <c r="F1098" s="511" t="s">
        <v>2132</v>
      </c>
      <c r="G1098" s="84" t="s">
        <v>2469</v>
      </c>
      <c r="H1098">
        <v>1097</v>
      </c>
      <c r="J1098" t="b">
        <f t="shared" si="30"/>
        <v>1</v>
      </c>
    </row>
    <row r="1099" spans="6:10">
      <c r="F1099" s="511" t="s">
        <v>2135</v>
      </c>
      <c r="G1099" s="84" t="s">
        <v>2470</v>
      </c>
      <c r="H1099">
        <v>1098</v>
      </c>
      <c r="J1099" t="b">
        <f t="shared" si="30"/>
        <v>1</v>
      </c>
    </row>
    <row r="1100" spans="6:10">
      <c r="F1100" s="511" t="s">
        <v>2138</v>
      </c>
      <c r="G1100" s="84" t="s">
        <v>2471</v>
      </c>
      <c r="H1100">
        <v>1099</v>
      </c>
      <c r="J1100" t="b">
        <f t="shared" si="30"/>
        <v>1</v>
      </c>
    </row>
    <row r="1101" spans="6:10">
      <c r="F1101" s="511" t="s">
        <v>2141</v>
      </c>
      <c r="G1101" s="84" t="s">
        <v>2472</v>
      </c>
      <c r="H1101">
        <v>1100</v>
      </c>
      <c r="J1101" t="b">
        <f t="shared" si="30"/>
        <v>1</v>
      </c>
    </row>
  </sheetData>
  <autoFilter ref="A1:J1101" xr:uid="{1087EE45-000C-489E-B2DB-3B5DE7CAF9D9}"/>
  <phoneticPr fontId="68" type="noConversion"/>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192CD-EB4A-4BE8-92FD-C9C71A9D6F9E}">
  <sheetPr codeName="Sheet6">
    <tabColor theme="5" tint="0.59999389629810485"/>
  </sheetPr>
  <dimension ref="A1:JF332"/>
  <sheetViews>
    <sheetView showGridLines="0" showRowColHeaders="0" workbookViewId="0">
      <selection activeCell="O14" sqref="O14:P14"/>
    </sheetView>
  </sheetViews>
  <sheetFormatPr defaultColWidth="8.85546875" defaultRowHeight="12.75"/>
  <cols>
    <col min="1" max="1" width="1.140625" style="1" customWidth="1"/>
    <col min="2" max="7" width="3.42578125" style="1" customWidth="1"/>
    <col min="8" max="8" width="4.5703125" style="1" customWidth="1"/>
    <col min="9" max="9" width="4.7109375" style="1" customWidth="1"/>
    <col min="10" max="10" width="4" style="1" customWidth="1"/>
    <col min="11" max="11" width="4.42578125" style="1" customWidth="1"/>
    <col min="12" max="12" width="5.28515625" style="1" customWidth="1"/>
    <col min="13" max="13" width="4.28515625" style="1" customWidth="1"/>
    <col min="14" max="14" width="3.85546875" style="1" bestFit="1" customWidth="1"/>
    <col min="15" max="19" width="3.42578125" style="1" customWidth="1"/>
    <col min="20" max="20" width="3.85546875" style="1" customWidth="1"/>
    <col min="21" max="24" width="3.42578125" style="1" customWidth="1"/>
    <col min="25" max="25" width="3.5703125" style="1" customWidth="1"/>
    <col min="26" max="26" width="4.42578125" style="1" customWidth="1"/>
    <col min="27" max="28" width="3.7109375" style="1" customWidth="1"/>
    <col min="29" max="29" width="3.85546875" style="1" customWidth="1"/>
    <col min="30" max="30" width="4.42578125" style="1" customWidth="1"/>
    <col min="31" max="31" width="3.42578125" style="1" customWidth="1"/>
    <col min="32" max="34" width="3.5703125" style="1" customWidth="1"/>
    <col min="35" max="35" width="4.42578125" style="1" customWidth="1"/>
    <col min="36" max="36" width="1.140625" style="1" customWidth="1"/>
    <col min="37" max="37" width="7.5703125" style="1" hidden="1" customWidth="1"/>
    <col min="38" max="38" width="8.42578125" style="1" hidden="1" customWidth="1"/>
    <col min="39" max="39" width="10" style="1" hidden="1" customWidth="1"/>
    <col min="40" max="40" width="10.42578125" style="1" hidden="1" customWidth="1"/>
    <col min="41" max="41" width="11" style="9" hidden="1" customWidth="1"/>
    <col min="42" max="42" width="10.42578125" style="9" hidden="1" customWidth="1"/>
    <col min="43" max="44" width="12.140625" style="1" hidden="1" customWidth="1"/>
    <col min="45" max="45" width="10.42578125" style="1" hidden="1" customWidth="1"/>
    <col min="46" max="46" width="12.42578125" style="1" hidden="1" customWidth="1"/>
    <col min="47" max="47" width="10.42578125" style="1" hidden="1" customWidth="1"/>
    <col min="48" max="48" width="2" style="1" customWidth="1"/>
    <col min="49" max="49" width="3.42578125" style="1" customWidth="1"/>
    <col min="50" max="50" width="10.42578125" style="1" bestFit="1" customWidth="1"/>
    <col min="51" max="51" width="10" style="1" bestFit="1" customWidth="1"/>
    <col min="52" max="52" width="3.42578125" style="1" customWidth="1"/>
    <col min="53" max="53" width="3.28515625" style="1" customWidth="1"/>
    <col min="54" max="78" width="3.42578125" style="1" customWidth="1"/>
    <col min="79" max="107" width="3.42578125" style="684" customWidth="1"/>
    <col min="108" max="266" width="3.42578125" style="1" customWidth="1"/>
    <col min="267" max="16384" width="8.85546875" style="1"/>
  </cols>
  <sheetData>
    <row r="1" spans="1:107" ht="27">
      <c r="B1" s="766" t="s">
        <v>66</v>
      </c>
      <c r="C1" s="766"/>
      <c r="D1" s="766"/>
      <c r="E1" s="766"/>
      <c r="F1" s="766"/>
      <c r="G1" s="766"/>
      <c r="H1" s="766"/>
      <c r="I1" s="767"/>
      <c r="J1" s="767"/>
      <c r="K1" s="767"/>
      <c r="L1" s="767"/>
      <c r="M1" s="767"/>
      <c r="N1" s="767"/>
      <c r="O1" s="767"/>
      <c r="P1" s="767"/>
      <c r="Q1" s="767"/>
      <c r="R1" s="767"/>
      <c r="S1" s="767"/>
      <c r="T1" s="767"/>
      <c r="AA1" s="143"/>
      <c r="AI1" s="143" t="str">
        <f>'Preliminary Application'!AJ1</f>
        <v>Effective November 1, 2023</v>
      </c>
      <c r="AN1" s="17" t="s">
        <v>2473</v>
      </c>
      <c r="AO1" s="1" t="str">
        <f>IF('Preliminary Application'!$AD$11="","",'Preliminary Application'!$AD$11)</f>
        <v/>
      </c>
      <c r="AP1" s="393" t="s">
        <v>2474</v>
      </c>
      <c r="AQ1" s="1" t="str">
        <f>IF('Final Application'!$AK$60=TRUE,"Electric",IF('Final Application'!$AL$60=TRUE,"Gas",IF('Final Application'!$AM$60=TRUE,"Other","")))</f>
        <v/>
      </c>
      <c r="AR1" s="393" t="s">
        <v>2475</v>
      </c>
      <c r="AS1" s="1" t="str">
        <f>IF('Final Application'!$AK$62=TRUE,"Electric",IF('Final Application'!$AL$62=TRUE,"Gas",IF('Final Application'!$AM$62=TRUE,"Other","")))</f>
        <v/>
      </c>
      <c r="AT1" s="3" t="s">
        <v>226</v>
      </c>
      <c r="AU1" s="3" t="s">
        <v>2476</v>
      </c>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row>
    <row r="2" spans="1:107" ht="18">
      <c r="B2" s="18" t="s">
        <v>68</v>
      </c>
      <c r="C2" s="18"/>
      <c r="D2" s="18"/>
      <c r="E2" s="18"/>
      <c r="F2" s="18"/>
      <c r="G2" s="18"/>
      <c r="H2" s="18"/>
      <c r="I2" s="18"/>
      <c r="J2" s="3"/>
      <c r="K2"/>
      <c r="L2"/>
      <c r="M2"/>
      <c r="N2"/>
      <c r="O2"/>
      <c r="P2"/>
      <c r="Q2"/>
      <c r="R2"/>
      <c r="S2"/>
      <c r="T2" s="3"/>
      <c r="U2" s="3"/>
      <c r="V2" s="3"/>
      <c r="W2" s="3"/>
      <c r="X2" s="3"/>
      <c r="Y2" s="3"/>
      <c r="Z2" s="3"/>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row>
    <row r="3" spans="1:107" s="45" customFormat="1" ht="18">
      <c r="A3" s="1"/>
      <c r="B3" s="82" t="s">
        <v>2477</v>
      </c>
      <c r="C3" s="198"/>
      <c r="D3" s="198"/>
      <c r="E3" s="198"/>
      <c r="F3" s="198"/>
      <c r="G3" s="198"/>
      <c r="H3" s="198"/>
      <c r="I3" s="198"/>
      <c r="J3" s="198"/>
      <c r="K3" s="198"/>
      <c r="L3" s="198"/>
      <c r="M3" s="198"/>
      <c r="N3" s="198"/>
      <c r="O3"/>
      <c r="P3"/>
      <c r="Q3"/>
      <c r="R3"/>
      <c r="S3"/>
      <c r="T3"/>
      <c r="U3"/>
      <c r="V3" s="3"/>
      <c r="W3" s="3"/>
      <c r="X3" s="3"/>
      <c r="Y3" s="3"/>
      <c r="Z3" s="3"/>
      <c r="AA3" s="3"/>
      <c r="AB3" s="1"/>
      <c r="AC3" s="1"/>
      <c r="AD3" s="1"/>
      <c r="AE3" s="1"/>
      <c r="AF3" s="1"/>
      <c r="AG3" s="1"/>
      <c r="AH3" s="1"/>
      <c r="AI3" s="1"/>
      <c r="AJ3" s="3"/>
      <c r="AK3" s="1"/>
      <c r="AL3" s="1"/>
      <c r="AM3" s="1"/>
      <c r="AN3" s="1"/>
      <c r="AO3" s="9"/>
      <c r="AP3" s="9"/>
      <c r="AQ3" s="1"/>
      <c r="AR3" s="1"/>
      <c r="AS3" s="1"/>
      <c r="AT3" s="1"/>
      <c r="AU3" s="1"/>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685"/>
      <c r="CB3" s="685"/>
      <c r="CC3" s="685"/>
      <c r="CD3" s="685"/>
      <c r="CE3" s="685"/>
      <c r="CF3" s="685"/>
      <c r="CG3" s="685"/>
      <c r="CH3" s="685"/>
      <c r="CI3" s="685"/>
      <c r="CJ3" s="685"/>
      <c r="CK3" s="685"/>
      <c r="CL3" s="685"/>
      <c r="CM3" s="685"/>
      <c r="CN3" s="685"/>
      <c r="CO3" s="685"/>
      <c r="CP3" s="685"/>
      <c r="CQ3" s="685"/>
      <c r="CR3" s="685"/>
      <c r="CS3" s="685"/>
      <c r="CT3" s="685"/>
      <c r="CU3" s="685"/>
      <c r="CV3" s="685"/>
      <c r="CW3" s="685"/>
      <c r="CX3" s="685"/>
      <c r="CY3" s="685"/>
      <c r="CZ3" s="685"/>
      <c r="DA3" s="685"/>
      <c r="DB3" s="685"/>
      <c r="DC3" s="685"/>
    </row>
    <row r="4" spans="1:107" s="45" customFormat="1" ht="26.45" customHeight="1">
      <c r="A4" s="1"/>
      <c r="B4" s="80" t="s">
        <v>2478</v>
      </c>
      <c r="C4" s="198"/>
      <c r="D4" s="198"/>
      <c r="E4" s="198"/>
      <c r="F4" s="198"/>
      <c r="G4" s="198"/>
      <c r="H4" s="198"/>
      <c r="I4" s="198"/>
      <c r="J4" s="198"/>
      <c r="K4" s="198"/>
      <c r="L4" s="198"/>
      <c r="M4" s="198"/>
      <c r="N4" s="198"/>
      <c r="O4"/>
      <c r="P4"/>
      <c r="Q4"/>
      <c r="R4"/>
      <c r="S4"/>
      <c r="T4"/>
      <c r="U4"/>
      <c r="V4" s="3"/>
      <c r="W4" s="3"/>
      <c r="X4" s="3"/>
      <c r="Y4" s="3"/>
      <c r="Z4" s="3"/>
      <c r="AA4" s="3"/>
      <c r="AB4" s="1"/>
      <c r="AC4" s="1"/>
      <c r="AD4" s="1"/>
      <c r="AE4" s="1"/>
      <c r="AF4" s="1"/>
      <c r="AG4" s="1"/>
      <c r="AH4" s="1"/>
      <c r="AI4" s="1"/>
      <c r="AJ4" s="3"/>
      <c r="AK4" s="1"/>
      <c r="AL4" s="1"/>
      <c r="AM4" s="1"/>
      <c r="AN4" s="1"/>
      <c r="AO4" s="9"/>
      <c r="AP4" s="9"/>
      <c r="AQ4" s="1"/>
      <c r="AR4" s="1"/>
      <c r="AS4" s="1"/>
      <c r="AT4" s="1"/>
      <c r="AU4" s="1"/>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685"/>
      <c r="CB4" s="685"/>
      <c r="CC4" s="685"/>
      <c r="CD4" s="685"/>
      <c r="CE4" s="685"/>
      <c r="CF4" s="685"/>
      <c r="CG4" s="685"/>
      <c r="CH4" s="685"/>
      <c r="CI4" s="685"/>
      <c r="CJ4" s="685"/>
      <c r="CK4" s="685"/>
      <c r="CL4" s="685"/>
      <c r="CM4" s="685"/>
      <c r="CN4" s="685"/>
      <c r="CO4" s="685"/>
      <c r="CP4" s="685"/>
      <c r="CQ4" s="685"/>
      <c r="CR4" s="685"/>
      <c r="CS4" s="685"/>
      <c r="CT4" s="685"/>
      <c r="CU4" s="685"/>
      <c r="CV4" s="685"/>
      <c r="CW4" s="685"/>
      <c r="CX4" s="685"/>
      <c r="CY4" s="685"/>
      <c r="CZ4" s="685"/>
      <c r="DA4" s="685"/>
      <c r="DB4" s="685"/>
      <c r="DC4" s="685"/>
    </row>
    <row r="5" spans="1:107" s="45" customFormat="1" ht="18">
      <c r="A5" s="1"/>
      <c r="B5" s="9" t="s">
        <v>2479</v>
      </c>
      <c r="C5" s="198"/>
      <c r="D5" s="198"/>
      <c r="E5" s="198"/>
      <c r="F5" s="198"/>
      <c r="G5" s="198"/>
      <c r="H5" s="198"/>
      <c r="I5" s="198"/>
      <c r="J5" s="198"/>
      <c r="K5" s="198"/>
      <c r="L5" s="198"/>
      <c r="M5" s="198"/>
      <c r="N5" s="198"/>
      <c r="O5"/>
      <c r="P5"/>
      <c r="Q5"/>
      <c r="R5"/>
      <c r="S5"/>
      <c r="T5"/>
      <c r="U5"/>
      <c r="V5" s="3"/>
      <c r="W5" s="3"/>
      <c r="X5" s="3"/>
      <c r="Y5" s="3"/>
      <c r="Z5" s="3"/>
      <c r="AA5" s="3"/>
      <c r="AB5" s="1"/>
      <c r="AC5" s="1"/>
      <c r="AD5" s="1"/>
      <c r="AE5" s="1"/>
      <c r="AF5" s="1"/>
      <c r="AG5" s="1"/>
      <c r="AH5" s="1"/>
      <c r="AI5" s="1"/>
      <c r="AJ5" s="3"/>
      <c r="AK5" s="1"/>
      <c r="AL5" s="1"/>
      <c r="AM5" s="1"/>
      <c r="AN5" s="1"/>
      <c r="AO5" s="9"/>
      <c r="AP5" s="9"/>
      <c r="AQ5" s="1"/>
      <c r="AR5" s="1"/>
      <c r="AS5" s="1"/>
      <c r="AT5" s="1"/>
      <c r="AU5" s="1"/>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685"/>
      <c r="CB5" s="685"/>
      <c r="CC5" s="685"/>
      <c r="CD5" s="685"/>
      <c r="CE5" s="685"/>
      <c r="CF5" s="685"/>
      <c r="CG5" s="685"/>
      <c r="CH5" s="685"/>
      <c r="CI5" s="685"/>
      <c r="CJ5" s="685"/>
      <c r="CK5" s="685"/>
      <c r="CL5" s="685"/>
      <c r="CM5" s="685"/>
      <c r="CN5" s="685"/>
      <c r="CO5" s="685"/>
      <c r="CP5" s="685"/>
      <c r="CQ5" s="685"/>
      <c r="CR5" s="685"/>
      <c r="CS5" s="685"/>
      <c r="CT5" s="685"/>
      <c r="CU5" s="685"/>
      <c r="CV5" s="685"/>
      <c r="CW5" s="685"/>
      <c r="CX5" s="685"/>
      <c r="CY5" s="685"/>
      <c r="CZ5" s="685"/>
      <c r="DA5" s="685"/>
      <c r="DB5" s="685"/>
      <c r="DC5" s="685"/>
    </row>
    <row r="6" spans="1:107" ht="7.5" customHeight="1">
      <c r="A6" s="35"/>
      <c r="B6" s="199"/>
      <c r="C6" s="199"/>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row>
    <row r="7" spans="1:107" s="5" customFormat="1" ht="15" customHeight="1">
      <c r="A7" s="25"/>
      <c r="B7" s="153" t="s">
        <v>2480</v>
      </c>
      <c r="C7" s="31"/>
      <c r="D7" s="31"/>
      <c r="E7" s="31"/>
      <c r="F7" s="31"/>
      <c r="G7" s="31"/>
      <c r="H7" s="31"/>
      <c r="I7" s="31"/>
      <c r="J7" s="31"/>
      <c r="K7" s="31"/>
      <c r="L7" s="31"/>
      <c r="M7" s="31"/>
      <c r="N7" s="31"/>
      <c r="O7" s="31"/>
      <c r="P7" s="31"/>
      <c r="Q7" s="31"/>
      <c r="R7" s="31"/>
      <c r="S7" s="31"/>
      <c r="T7" s="43"/>
      <c r="U7" s="31"/>
      <c r="V7" s="168"/>
      <c r="W7" s="168"/>
      <c r="X7" s="168"/>
      <c r="Y7" s="168"/>
      <c r="Z7" s="168"/>
      <c r="AA7" s="168"/>
      <c r="AB7" s="168"/>
      <c r="AC7" s="168"/>
      <c r="AD7" s="31"/>
      <c r="AE7" s="31"/>
      <c r="AF7" s="42"/>
      <c r="AG7" s="31"/>
      <c r="AH7" s="42"/>
      <c r="AI7" s="31"/>
      <c r="AJ7" s="25"/>
      <c r="AK7" s="9"/>
      <c r="AL7" s="9"/>
      <c r="AM7" s="847"/>
      <c r="AN7" s="847"/>
      <c r="AO7" s="736"/>
      <c r="AP7" s="736"/>
      <c r="AQ7" s="736"/>
      <c r="AR7" s="736"/>
      <c r="AS7" s="736"/>
      <c r="AT7" s="736"/>
      <c r="AU7" s="736"/>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686"/>
      <c r="CB7" s="686"/>
      <c r="CC7" s="686"/>
      <c r="CD7" s="686"/>
      <c r="CE7" s="686"/>
      <c r="CF7" s="686"/>
      <c r="CG7" s="686"/>
      <c r="CH7" s="686"/>
      <c r="CI7" s="686"/>
      <c r="CJ7" s="686"/>
      <c r="CK7" s="686"/>
      <c r="CL7" s="686"/>
      <c r="CM7" s="686"/>
      <c r="CN7" s="686"/>
      <c r="CO7" s="686"/>
      <c r="CP7" s="686"/>
      <c r="CQ7" s="686"/>
      <c r="CR7" s="686"/>
      <c r="CS7" s="686"/>
      <c r="CT7" s="686"/>
      <c r="CU7" s="686"/>
      <c r="CV7" s="686"/>
      <c r="CW7" s="686"/>
      <c r="CX7" s="686"/>
      <c r="CY7" s="686"/>
      <c r="CZ7" s="686"/>
      <c r="DA7" s="686"/>
      <c r="DB7" s="686"/>
      <c r="DC7" s="686"/>
    </row>
    <row r="8" spans="1:107" s="5" customFormat="1" ht="15" customHeight="1">
      <c r="A8" s="25"/>
      <c r="B8" s="41"/>
      <c r="C8" s="31"/>
      <c r="D8" s="31"/>
      <c r="E8" s="31"/>
      <c r="F8" s="31"/>
      <c r="G8" s="31"/>
      <c r="H8" s="31"/>
      <c r="I8" s="31"/>
      <c r="J8" s="31"/>
      <c r="K8" s="31"/>
      <c r="L8" s="31"/>
      <c r="M8" s="31"/>
      <c r="N8" s="31"/>
      <c r="O8" s="31"/>
      <c r="P8" s="31"/>
      <c r="Q8" s="31"/>
      <c r="R8" s="31"/>
      <c r="S8" s="31"/>
      <c r="T8" s="43"/>
      <c r="U8" s="31"/>
      <c r="V8" s="168"/>
      <c r="W8" s="168"/>
      <c r="X8" s="168"/>
      <c r="Y8" s="168"/>
      <c r="Z8" s="168"/>
      <c r="AA8" s="168"/>
      <c r="AB8" s="168"/>
      <c r="AC8" s="168"/>
      <c r="AD8" s="31"/>
      <c r="AE8" s="31"/>
      <c r="AF8" s="42"/>
      <c r="AG8" s="31"/>
      <c r="AH8" s="42"/>
      <c r="AI8" s="31"/>
      <c r="AJ8" s="25"/>
      <c r="AK8" s="9"/>
      <c r="AL8" s="9"/>
      <c r="AM8" s="847" t="s">
        <v>2481</v>
      </c>
      <c r="AN8" s="847"/>
      <c r="AO8" s="736" t="s">
        <v>2482</v>
      </c>
      <c r="AP8" s="736"/>
      <c r="AQ8" s="736"/>
      <c r="AR8" s="736"/>
      <c r="AS8" s="736"/>
      <c r="AT8" s="736"/>
      <c r="AU8" s="736"/>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686"/>
      <c r="CB8" s="686"/>
      <c r="CC8" s="686"/>
      <c r="CD8" s="686"/>
      <c r="CE8" s="686"/>
      <c r="CF8" s="686"/>
      <c r="CG8" s="686"/>
      <c r="CH8" s="686"/>
      <c r="CI8" s="686"/>
      <c r="CJ8" s="686"/>
      <c r="CK8" s="686"/>
      <c r="CL8" s="686"/>
      <c r="CM8" s="686"/>
      <c r="CN8" s="686"/>
      <c r="CO8" s="686"/>
      <c r="CP8" s="686"/>
      <c r="CQ8" s="686"/>
      <c r="CR8" s="686"/>
      <c r="CS8" s="686"/>
      <c r="CT8" s="686"/>
      <c r="CU8" s="686"/>
      <c r="CV8" s="686"/>
      <c r="CW8" s="686"/>
      <c r="CX8" s="686"/>
      <c r="CY8" s="686"/>
      <c r="CZ8" s="686"/>
      <c r="DA8" s="686"/>
      <c r="DB8" s="686"/>
      <c r="DC8" s="686"/>
    </row>
    <row r="9" spans="1:107" s="5" customFormat="1" ht="22.5">
      <c r="A9" s="25"/>
      <c r="B9" s="179"/>
      <c r="C9" s="176"/>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356" t="s">
        <v>2483</v>
      </c>
      <c r="AG9" s="356"/>
      <c r="AH9" s="356"/>
      <c r="AI9" s="577"/>
      <c r="AJ9" s="25"/>
      <c r="AK9" s="8"/>
      <c r="AL9" s="8"/>
      <c r="AM9" s="10" t="s">
        <v>2484</v>
      </c>
      <c r="AN9" s="10" t="s">
        <v>2485</v>
      </c>
      <c r="AO9" s="10" t="s">
        <v>2486</v>
      </c>
      <c r="AP9" s="10" t="s">
        <v>2487</v>
      </c>
      <c r="AQ9" s="10" t="s">
        <v>2488</v>
      </c>
      <c r="AR9" s="10"/>
      <c r="AS9" s="10"/>
      <c r="AT9" s="10" t="s">
        <v>2489</v>
      </c>
      <c r="AU9" s="10" t="s">
        <v>2490</v>
      </c>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686"/>
      <c r="CB9" s="686"/>
      <c r="CC9" s="686"/>
      <c r="CD9" s="686"/>
      <c r="CE9" s="686"/>
      <c r="CF9" s="686"/>
      <c r="CG9" s="686"/>
      <c r="CH9" s="686"/>
      <c r="CI9" s="686"/>
      <c r="CJ9" s="686"/>
      <c r="CK9" s="686"/>
      <c r="CL9" s="686"/>
      <c r="CM9" s="686"/>
      <c r="CN9" s="686"/>
      <c r="CO9" s="686"/>
      <c r="CP9" s="686"/>
      <c r="CQ9" s="686"/>
      <c r="CR9" s="686"/>
      <c r="CS9" s="686"/>
      <c r="CT9" s="686"/>
      <c r="CU9" s="686"/>
      <c r="CV9" s="686"/>
      <c r="CW9" s="686"/>
      <c r="CX9" s="686"/>
      <c r="CY9" s="686"/>
      <c r="CZ9" s="686"/>
      <c r="DA9" s="686"/>
      <c r="DB9" s="686"/>
      <c r="DC9" s="686"/>
    </row>
    <row r="10" spans="1:107">
      <c r="A10" s="25"/>
      <c r="B10" s="555"/>
      <c r="C10" s="157" t="s">
        <v>2491</v>
      </c>
      <c r="D10" s="157"/>
      <c r="E10" s="157"/>
      <c r="F10" s="333"/>
      <c r="G10" s="157"/>
      <c r="H10" s="50"/>
      <c r="I10" s="420"/>
      <c r="J10" s="420"/>
      <c r="K10" s="868" t="s">
        <v>2492</v>
      </c>
      <c r="L10" s="868"/>
      <c r="M10" s="868"/>
      <c r="N10" s="868"/>
      <c r="O10" s="868"/>
      <c r="P10" s="868"/>
      <c r="Q10" s="868"/>
      <c r="R10" s="25"/>
      <c r="S10" s="25"/>
      <c r="T10" s="25"/>
      <c r="U10" s="25"/>
      <c r="V10" s="25"/>
      <c r="W10" s="25"/>
      <c r="X10" s="25"/>
      <c r="Y10" s="25"/>
      <c r="Z10" s="168"/>
      <c r="AA10" s="168"/>
      <c r="AB10" s="168"/>
      <c r="AC10" s="168"/>
      <c r="AD10" s="185" t="s">
        <v>2493</v>
      </c>
      <c r="AE10" s="371" t="s">
        <v>142</v>
      </c>
      <c r="AF10" s="855" t="str">
        <f>IF(AK10=FALSE,IF(AND('NC HVAC Worksheet'!BM11&gt;0,'NC HVAC Worksheet'!BH22&lt;&gt;""),"Chk Box",""),'NC HVAC Worksheet'!BH22)</f>
        <v/>
      </c>
      <c r="AG10" s="855"/>
      <c r="AH10" s="855"/>
      <c r="AI10" s="181"/>
      <c r="AJ10" s="25"/>
      <c r="AK10" s="187" t="b">
        <v>0</v>
      </c>
      <c r="AL10" s="9"/>
      <c r="AM10" s="187">
        <f t="shared" ref="AM10:AN16" si="0">IFERROR(IF($AQ10="",AO10,VLOOKUP($AU10,StackingEffects,2,FALSE)*AO10),0)</f>
        <v>0</v>
      </c>
      <c r="AN10" s="187">
        <f t="shared" si="0"/>
        <v>0</v>
      </c>
      <c r="AO10" s="187">
        <f>IF(AF10="Chk Box",0,'NC HVAC Worksheet'!BV22)</f>
        <v>0</v>
      </c>
      <c r="AP10" s="187">
        <f>IF(AF10="Chk Box",0,'NC HVAC Worksheet'!BW22)</f>
        <v>0</v>
      </c>
      <c r="AQ10" s="396" t="s">
        <v>2494</v>
      </c>
      <c r="AR10" s="396"/>
      <c r="AS10" s="396"/>
      <c r="AT10" s="396">
        <f>IF($AQ10="HVAC",SUM($AO$10:$AO$13),0)</f>
        <v>0</v>
      </c>
      <c r="AU10" s="396" t="str">
        <f>IF($AO10=0,"",_xlfn.RANK.EQ($AT$10,$AT$10:$AT$24,0))</f>
        <v/>
      </c>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Y10" s="686"/>
      <c r="CZ10" s="686"/>
      <c r="DA10" s="686"/>
      <c r="DB10" s="686"/>
      <c r="DC10" s="686"/>
    </row>
    <row r="11" spans="1:107" ht="12.75" customHeight="1">
      <c r="A11" s="25"/>
      <c r="B11" s="555"/>
      <c r="C11" s="159" t="s">
        <v>2495</v>
      </c>
      <c r="D11" s="159"/>
      <c r="E11" s="159"/>
      <c r="F11" s="159"/>
      <c r="G11" s="25"/>
      <c r="H11" s="50"/>
      <c r="I11" s="420"/>
      <c r="J11" s="420"/>
      <c r="K11" s="868" t="s">
        <v>2492</v>
      </c>
      <c r="L11" s="868"/>
      <c r="M11" s="868"/>
      <c r="N11" s="868"/>
      <c r="O11" s="868"/>
      <c r="P11" s="868"/>
      <c r="Q11" s="868"/>
      <c r="R11" s="25"/>
      <c r="S11" s="25"/>
      <c r="T11" s="25"/>
      <c r="U11" s="25"/>
      <c r="V11" s="25"/>
      <c r="W11" s="25"/>
      <c r="X11" s="25"/>
      <c r="Y11" s="25"/>
      <c r="Z11" s="168"/>
      <c r="AA11" s="168"/>
      <c r="AB11" s="168"/>
      <c r="AC11" s="168"/>
      <c r="AD11" s="185" t="s">
        <v>2496</v>
      </c>
      <c r="AE11" s="371" t="s">
        <v>142</v>
      </c>
      <c r="AF11" s="855" t="str">
        <f>IF(AK11=FALSE,IF(AND('NC HVAC Worksheet'!BM27&gt;0,'NC HVAC Worksheet'!BH38&lt;&gt;""),"Chk Box",""),'NC HVAC Worksheet'!BH38)</f>
        <v/>
      </c>
      <c r="AG11" s="855"/>
      <c r="AH11" s="855"/>
      <c r="AI11" s="181"/>
      <c r="AJ11" s="25"/>
      <c r="AK11" s="187" t="b">
        <v>0</v>
      </c>
      <c r="AL11" s="9"/>
      <c r="AM11" s="187">
        <f t="shared" si="0"/>
        <v>0</v>
      </c>
      <c r="AN11" s="187">
        <f t="shared" si="0"/>
        <v>0</v>
      </c>
      <c r="AO11" s="187">
        <f>IF(AF11="Chk Box",0,'NC HVAC Worksheet'!BV38)</f>
        <v>0</v>
      </c>
      <c r="AP11" s="187">
        <f>IF(AF11="Chk Box",0,'NC HVAC Worksheet'!BW38)</f>
        <v>0</v>
      </c>
      <c r="AQ11" s="396" t="s">
        <v>2494</v>
      </c>
      <c r="AR11" s="396"/>
      <c r="AS11" s="396"/>
      <c r="AT11" s="396"/>
      <c r="AU11" s="396" t="str">
        <f t="shared" ref="AU11:AU13" si="1">IF($AO11=0,"",_xlfn.RANK.EQ($AT$10,$AT$10:$AT$24,0))</f>
        <v/>
      </c>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Y11" s="686"/>
      <c r="CZ11" s="686"/>
      <c r="DA11" s="686"/>
      <c r="DB11" s="686"/>
      <c r="DC11" s="686"/>
    </row>
    <row r="12" spans="1:107" s="5" customFormat="1" ht="15" customHeight="1">
      <c r="A12" s="25"/>
      <c r="B12" s="555"/>
      <c r="C12" s="157" t="s">
        <v>2497</v>
      </c>
      <c r="D12" s="157"/>
      <c r="E12" s="157"/>
      <c r="F12" s="333"/>
      <c r="G12" s="25"/>
      <c r="H12" s="50"/>
      <c r="I12" s="420"/>
      <c r="J12" s="420"/>
      <c r="K12" s="868" t="s">
        <v>2492</v>
      </c>
      <c r="L12" s="868"/>
      <c r="M12" s="868"/>
      <c r="N12" s="868"/>
      <c r="O12" s="868"/>
      <c r="P12" s="868"/>
      <c r="Q12" s="868"/>
      <c r="R12" s="25"/>
      <c r="S12" s="25"/>
      <c r="T12" s="25"/>
      <c r="U12" s="25"/>
      <c r="V12" s="25"/>
      <c r="W12" s="25"/>
      <c r="X12" s="25"/>
      <c r="Y12" s="25"/>
      <c r="Z12" s="168"/>
      <c r="AA12" s="168"/>
      <c r="AB12" s="168"/>
      <c r="AC12" s="168"/>
      <c r="AD12" s="185" t="s">
        <v>2498</v>
      </c>
      <c r="AE12" s="371" t="s">
        <v>142</v>
      </c>
      <c r="AF12" s="855" t="str">
        <f>IF(AK12=FALSE,IF(AND('NC HVAC Worksheet'!BM43&gt;0,'NC HVAC Worksheet'!BH54&lt;&gt;""),"Chk Box",""),'NC HVAC Worksheet'!BH54)</f>
        <v/>
      </c>
      <c r="AG12" s="855"/>
      <c r="AH12" s="855"/>
      <c r="AI12" s="181"/>
      <c r="AJ12" s="25"/>
      <c r="AK12" s="187" t="b">
        <v>0</v>
      </c>
      <c r="AL12" s="9"/>
      <c r="AM12" s="187">
        <f t="shared" si="0"/>
        <v>0</v>
      </c>
      <c r="AN12" s="187">
        <f t="shared" si="0"/>
        <v>0</v>
      </c>
      <c r="AO12" s="187">
        <f>IF(AF12="Chk Box",0,'NC HVAC Worksheet'!BV54)</f>
        <v>0</v>
      </c>
      <c r="AP12" s="187">
        <f>IF(AF12="Chk Box",0,'NC HVAC Worksheet'!BW54)</f>
        <v>0</v>
      </c>
      <c r="AQ12" s="396" t="s">
        <v>2494</v>
      </c>
      <c r="AR12" s="396"/>
      <c r="AS12" s="396"/>
      <c r="AT12" s="396"/>
      <c r="AU12" s="396" t="str">
        <f t="shared" si="1"/>
        <v/>
      </c>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686"/>
      <c r="CB12" s="686"/>
      <c r="CC12" s="686"/>
      <c r="CD12" s="686"/>
      <c r="CE12" s="686"/>
      <c r="CF12" s="686"/>
      <c r="CG12" s="686"/>
      <c r="CH12" s="686"/>
      <c r="CI12" s="686"/>
      <c r="CJ12" s="686"/>
      <c r="CK12" s="686"/>
      <c r="CL12" s="686"/>
      <c r="CM12" s="686"/>
      <c r="CN12" s="686"/>
      <c r="CO12" s="686"/>
      <c r="CP12" s="686"/>
      <c r="CQ12" s="686"/>
      <c r="CR12" s="686"/>
      <c r="CS12" s="686"/>
      <c r="CT12" s="686"/>
      <c r="CU12" s="686"/>
      <c r="CV12" s="686"/>
      <c r="CW12" s="686"/>
      <c r="CX12" s="686"/>
      <c r="CY12" s="686"/>
      <c r="CZ12" s="686"/>
      <c r="DA12" s="686"/>
      <c r="DB12" s="686"/>
      <c r="DC12" s="686"/>
    </row>
    <row r="13" spans="1:107" s="5" customFormat="1" ht="15" customHeight="1">
      <c r="A13" s="25"/>
      <c r="B13" s="555"/>
      <c r="C13" s="157" t="s">
        <v>3325</v>
      </c>
      <c r="D13" s="157"/>
      <c r="E13" s="157"/>
      <c r="F13" s="333"/>
      <c r="G13" s="25"/>
      <c r="H13" s="50"/>
      <c r="I13" s="420"/>
      <c r="J13" s="420"/>
      <c r="K13" s="868" t="s">
        <v>2492</v>
      </c>
      <c r="L13" s="868"/>
      <c r="M13" s="868"/>
      <c r="N13" s="868"/>
      <c r="O13" s="868"/>
      <c r="P13" s="868"/>
      <c r="Q13" s="868"/>
      <c r="R13" s="25"/>
      <c r="S13" s="25"/>
      <c r="T13" s="25"/>
      <c r="U13" s="25"/>
      <c r="V13" s="25"/>
      <c r="W13" s="25"/>
      <c r="X13" s="25"/>
      <c r="Y13" s="25"/>
      <c r="Z13" s="168"/>
      <c r="AA13" s="168"/>
      <c r="AB13" s="168"/>
      <c r="AC13" s="168"/>
      <c r="AD13" s="185" t="s">
        <v>2499</v>
      </c>
      <c r="AE13" s="371" t="s">
        <v>142</v>
      </c>
      <c r="AF13" s="855" t="str">
        <f>IF(AK13=FALSE,IF(AND('NC HVAC Worksheet'!BM59&gt;0,'NC HVAC Worksheet'!BH70&lt;&gt;""),"Chk Box",""),'NC HVAC Worksheet'!BH70)</f>
        <v/>
      </c>
      <c r="AG13" s="855"/>
      <c r="AH13" s="855"/>
      <c r="AI13" s="181"/>
      <c r="AJ13" s="25"/>
      <c r="AK13" s="187" t="b">
        <v>0</v>
      </c>
      <c r="AL13" s="9"/>
      <c r="AM13" s="187">
        <f t="shared" si="0"/>
        <v>0</v>
      </c>
      <c r="AN13" s="187">
        <f t="shared" si="0"/>
        <v>0</v>
      </c>
      <c r="AO13" s="187">
        <f>IF(AF13="Chk Box",0,'NC HVAC Worksheet'!BV70)</f>
        <v>0</v>
      </c>
      <c r="AP13" s="187">
        <f>IF(AF13="Chk Box",0,'NC HVAC Worksheet'!BW70)</f>
        <v>0</v>
      </c>
      <c r="AQ13" s="396" t="s">
        <v>2494</v>
      </c>
      <c r="AR13" s="396"/>
      <c r="AS13" s="396"/>
      <c r="AT13" s="396"/>
      <c r="AU13" s="396" t="str">
        <f t="shared" si="1"/>
        <v/>
      </c>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686"/>
      <c r="CB13" s="686"/>
      <c r="CC13" s="686"/>
      <c r="CD13" s="686"/>
      <c r="CE13" s="686"/>
      <c r="CF13" s="686"/>
      <c r="CG13" s="686"/>
      <c r="CH13" s="686"/>
      <c r="CI13" s="686"/>
      <c r="CJ13" s="686"/>
      <c r="CK13" s="686"/>
      <c r="CL13" s="686"/>
      <c r="CM13" s="686"/>
      <c r="CN13" s="686"/>
      <c r="CO13" s="686"/>
      <c r="CP13" s="686"/>
      <c r="CQ13" s="686"/>
      <c r="CR13" s="686"/>
      <c r="CS13" s="686"/>
      <c r="CT13" s="686"/>
      <c r="CU13" s="686"/>
      <c r="CV13" s="686"/>
      <c r="CW13" s="686"/>
      <c r="CX13" s="686"/>
      <c r="CY13" s="686"/>
      <c r="CZ13" s="686"/>
      <c r="DA13" s="686"/>
      <c r="DB13" s="686"/>
      <c r="DC13" s="686"/>
    </row>
    <row r="14" spans="1:107" ht="12.75" customHeight="1">
      <c r="A14" s="25"/>
      <c r="B14" s="555"/>
      <c r="C14" s="157" t="s">
        <v>3331</v>
      </c>
      <c r="D14" s="157"/>
      <c r="E14" s="157"/>
      <c r="F14" s="25"/>
      <c r="G14" s="25"/>
      <c r="H14" s="50"/>
      <c r="I14" s="25"/>
      <c r="J14" s="25"/>
      <c r="K14" s="25"/>
      <c r="L14" s="25"/>
      <c r="M14" s="25"/>
      <c r="N14" s="158" t="s">
        <v>2500</v>
      </c>
      <c r="O14" s="850"/>
      <c r="P14" s="851"/>
      <c r="Q14" s="159" t="s">
        <v>2501</v>
      </c>
      <c r="R14" s="25"/>
      <c r="S14" s="25"/>
      <c r="T14" s="43"/>
      <c r="U14" s="185"/>
      <c r="V14" s="158" t="s">
        <v>2500</v>
      </c>
      <c r="W14" s="850"/>
      <c r="X14" s="851"/>
      <c r="Y14" s="159" t="s">
        <v>2502</v>
      </c>
      <c r="Z14" s="168"/>
      <c r="AA14" s="168"/>
      <c r="AB14" s="168"/>
      <c r="AC14" s="168"/>
      <c r="AD14" s="185" t="s">
        <v>2503</v>
      </c>
      <c r="AE14" s="371" t="s">
        <v>142</v>
      </c>
      <c r="AF14" s="855" t="str">
        <f>IF(AK14=FALSE,IF(AND(O14="",W14=""),"","Chk Box"),IF(AND(O14="",W14=""),0,(O14+W14)*25))</f>
        <v/>
      </c>
      <c r="AG14" s="855"/>
      <c r="AH14" s="855"/>
      <c r="AI14" s="181"/>
      <c r="AJ14" s="25"/>
      <c r="AK14" s="187" t="b">
        <v>0</v>
      </c>
      <c r="AL14" s="9"/>
      <c r="AM14" s="556">
        <f t="shared" si="0"/>
        <v>0</v>
      </c>
      <c r="AN14" s="556">
        <f t="shared" si="0"/>
        <v>0</v>
      </c>
      <c r="AO14" s="556">
        <f>IF($AF14="Chk Box",0,IF($AF14&gt;1,($O14*113)+($W14*120),0))</f>
        <v>0</v>
      </c>
      <c r="AP14" s="556">
        <f>IF($AF14="Chk Box",0,IF($AF14&gt;1,($O14*0.01)+($W14*0.01),0))</f>
        <v>0</v>
      </c>
      <c r="AQ14" s="400"/>
      <c r="AR14" s="400"/>
      <c r="AS14" s="400"/>
      <c r="AT14" s="400"/>
      <c r="AU14" s="400" t="str">
        <f t="shared" ref="AU14:AU15" si="2">IF($AT14=0,"",_xlfn.RANK.EQ($AT14,$AT$10:$AT$24,0))</f>
        <v/>
      </c>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row>
    <row r="15" spans="1:107" ht="12.75" customHeight="1">
      <c r="A15" s="25"/>
      <c r="B15" s="555"/>
      <c r="C15" s="157" t="s">
        <v>3332</v>
      </c>
      <c r="D15" s="157"/>
      <c r="E15" s="157"/>
      <c r="F15" s="25"/>
      <c r="G15" s="25"/>
      <c r="H15" s="50"/>
      <c r="I15" s="25"/>
      <c r="J15" s="25"/>
      <c r="K15" s="25"/>
      <c r="L15" s="25"/>
      <c r="M15" s="25"/>
      <c r="N15" s="158" t="s">
        <v>2500</v>
      </c>
      <c r="O15" s="850"/>
      <c r="P15" s="851"/>
      <c r="Q15" s="159" t="s">
        <v>2504</v>
      </c>
      <c r="R15" s="25"/>
      <c r="S15" s="25"/>
      <c r="T15" s="43"/>
      <c r="U15" s="185"/>
      <c r="V15" s="158" t="s">
        <v>2500</v>
      </c>
      <c r="W15" s="850"/>
      <c r="X15" s="851"/>
      <c r="Y15" s="159" t="s">
        <v>2505</v>
      </c>
      <c r="Z15" s="168"/>
      <c r="AA15" s="168"/>
      <c r="AB15" s="168"/>
      <c r="AC15" s="168"/>
      <c r="AD15" s="185" t="s">
        <v>2503</v>
      </c>
      <c r="AE15" s="371" t="s">
        <v>142</v>
      </c>
      <c r="AF15" s="855" t="str">
        <f>IF(AK15=FALSE,IF(AND(O15="",W15=""),"","Chk Box"),IF(AND(O15="",W15=""),0,(O15+W15)*25))</f>
        <v/>
      </c>
      <c r="AG15" s="855"/>
      <c r="AH15" s="855"/>
      <c r="AI15" s="181"/>
      <c r="AJ15" s="25"/>
      <c r="AK15" s="187" t="b">
        <v>0</v>
      </c>
      <c r="AL15" s="9"/>
      <c r="AM15" s="556">
        <f t="shared" si="0"/>
        <v>0</v>
      </c>
      <c r="AN15" s="556">
        <f t="shared" si="0"/>
        <v>0</v>
      </c>
      <c r="AO15" s="556">
        <f>IF($AF15="Chk Box",0,IF($AF15&gt;1,($O15*126)+($W15*169),0))</f>
        <v>0</v>
      </c>
      <c r="AP15" s="556">
        <f>IF($AF15="Chk Box",0,IF($AF15&gt;1,($O15*0.13)+($W15*0.18),0))</f>
        <v>0</v>
      </c>
      <c r="AQ15" s="400"/>
      <c r="AR15" s="400"/>
      <c r="AS15" s="400"/>
      <c r="AT15" s="400"/>
      <c r="AU15" s="400" t="str">
        <f t="shared" si="2"/>
        <v/>
      </c>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row>
    <row r="16" spans="1:107" s="5" customFormat="1" ht="12.75" customHeight="1">
      <c r="A16" s="25"/>
      <c r="B16" s="555"/>
      <c r="C16" s="157" t="s">
        <v>2506</v>
      </c>
      <c r="D16" s="157"/>
      <c r="E16" s="157"/>
      <c r="F16" s="333"/>
      <c r="G16" s="157"/>
      <c r="H16" s="370"/>
      <c r="I16" s="157"/>
      <c r="J16" s="333"/>
      <c r="K16" s="333"/>
      <c r="L16" s="333"/>
      <c r="M16" s="157"/>
      <c r="N16" s="31"/>
      <c r="O16" s="31"/>
      <c r="P16" s="31"/>
      <c r="Q16" s="43"/>
      <c r="R16" s="43"/>
      <c r="S16" s="43"/>
      <c r="T16" s="43"/>
      <c r="U16" s="185"/>
      <c r="V16" s="158" t="s">
        <v>2507</v>
      </c>
      <c r="W16" s="850"/>
      <c r="X16" s="851"/>
      <c r="Y16" s="159" t="s">
        <v>2508</v>
      </c>
      <c r="Z16" s="168"/>
      <c r="AA16" s="168"/>
      <c r="AB16" s="168"/>
      <c r="AC16" s="168"/>
      <c r="AD16" s="185" t="s">
        <v>2509</v>
      </c>
      <c r="AE16" s="371" t="s">
        <v>142</v>
      </c>
      <c r="AF16" s="855" t="str">
        <f>IF(AK16=FALSE,IF(W16="","","Chk Box"),IF(W16="",0,W16*0.05))</f>
        <v/>
      </c>
      <c r="AG16" s="855"/>
      <c r="AH16" s="855"/>
      <c r="AI16" s="181"/>
      <c r="AJ16" s="30"/>
      <c r="AK16" s="187" t="b">
        <v>0</v>
      </c>
      <c r="AL16" s="9"/>
      <c r="AM16" s="556">
        <f t="shared" si="0"/>
        <v>0</v>
      </c>
      <c r="AN16" s="556">
        <f t="shared" si="0"/>
        <v>0</v>
      </c>
      <c r="AO16" s="556">
        <f>IF(AF16="Chk Box",0,IF(AF16&gt;1,W16*IF($AO$1="ID",0.093,IF($AO$1="OR",0.087,"0"))))</f>
        <v>0</v>
      </c>
      <c r="AP16" s="556">
        <f>IF(AF16="Chk Box",0,IF(AF16&gt;1,W16*(0.07/1000),0))</f>
        <v>0</v>
      </c>
      <c r="AQ16" s="395" t="s">
        <v>2494</v>
      </c>
      <c r="AR16" s="400"/>
      <c r="AS16" s="400"/>
      <c r="AT16" s="395">
        <f>IF($AQ16="HVAC",$AO16,0)</f>
        <v>0</v>
      </c>
      <c r="AU16" s="395" t="str">
        <f>IF($AO16=0,"",_xlfn.RANK.EQ($AT16,$AT$10:$AT$24,0))</f>
        <v/>
      </c>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c r="BY16" s="98"/>
      <c r="BZ16" s="98"/>
      <c r="CA16" s="686"/>
      <c r="CB16" s="686"/>
      <c r="CC16" s="686"/>
      <c r="CD16" s="686"/>
      <c r="CE16" s="686"/>
      <c r="CF16" s="686"/>
      <c r="CG16" s="686"/>
      <c r="CH16" s="686"/>
      <c r="CI16" s="686"/>
      <c r="CJ16" s="686"/>
      <c r="CK16" s="686"/>
      <c r="CL16" s="686"/>
      <c r="CM16" s="686"/>
      <c r="CN16" s="686"/>
      <c r="CO16" s="686"/>
      <c r="CP16" s="686"/>
      <c r="CQ16" s="686"/>
      <c r="CR16" s="686"/>
      <c r="CS16" s="686"/>
      <c r="CT16" s="686"/>
      <c r="CU16" s="686"/>
      <c r="CV16" s="686"/>
      <c r="CW16" s="686"/>
      <c r="CX16" s="686"/>
      <c r="CY16" s="686"/>
      <c r="CZ16" s="686"/>
      <c r="DA16" s="686"/>
      <c r="DB16" s="686"/>
      <c r="DC16" s="686"/>
    </row>
    <row r="17" spans="1:107" ht="12.75" customHeight="1">
      <c r="A17" s="25"/>
      <c r="B17" s="555"/>
      <c r="C17" s="157" t="s">
        <v>2510</v>
      </c>
      <c r="D17" s="157"/>
      <c r="E17" s="157"/>
      <c r="F17" s="25"/>
      <c r="G17" s="25"/>
      <c r="H17" s="50"/>
      <c r="I17" s="25"/>
      <c r="J17" s="25"/>
      <c r="K17" s="25"/>
      <c r="L17" s="621"/>
      <c r="M17" s="621"/>
      <c r="N17" s="861" t="str">
        <f>IF(AND($AQ$1&lt;&gt;"Electric",($O$18+$W$18)&gt;0),"Ineligible-Electric Heat Req. Check Heating Fuel Type on Final Application Tab.","")</f>
        <v/>
      </c>
      <c r="O17" s="861"/>
      <c r="P17" s="861"/>
      <c r="Q17" s="861"/>
      <c r="R17" s="861"/>
      <c r="S17" s="861"/>
      <c r="T17" s="861"/>
      <c r="U17" s="861"/>
      <c r="V17" s="861"/>
      <c r="W17" s="861"/>
      <c r="X17" s="861"/>
      <c r="Y17" s="861"/>
      <c r="Z17" s="861"/>
      <c r="AA17" s="861"/>
      <c r="AB17" s="861"/>
      <c r="AC17" s="861"/>
      <c r="AD17" s="861"/>
      <c r="AE17" s="621"/>
      <c r="AF17" s="25"/>
      <c r="AG17" s="25"/>
      <c r="AH17" s="25"/>
      <c r="AI17" s="181"/>
      <c r="AJ17" s="25"/>
      <c r="AO17" s="1"/>
      <c r="AP17" s="1"/>
      <c r="AQ17" s="400"/>
      <c r="AR17" s="400"/>
      <c r="AS17" s="400"/>
      <c r="AT17" s="400"/>
      <c r="AU17" s="400"/>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row>
    <row r="18" spans="1:107" ht="12.75" customHeight="1">
      <c r="A18" s="25"/>
      <c r="B18" s="555"/>
      <c r="C18" s="157"/>
      <c r="D18" s="620"/>
      <c r="E18" s="157"/>
      <c r="F18" s="25"/>
      <c r="G18" s="25"/>
      <c r="H18" s="50"/>
      <c r="I18" s="25"/>
      <c r="J18" s="25"/>
      <c r="K18" s="25"/>
      <c r="L18" s="25"/>
      <c r="M18" s="25"/>
      <c r="N18" s="158" t="s">
        <v>2500</v>
      </c>
      <c r="O18" s="850"/>
      <c r="P18" s="851"/>
      <c r="Q18" s="159" t="s">
        <v>2511</v>
      </c>
      <c r="R18" s="25"/>
      <c r="S18" s="25"/>
      <c r="T18" s="43"/>
      <c r="U18" s="185"/>
      <c r="V18" s="158" t="s">
        <v>2500</v>
      </c>
      <c r="W18" s="850"/>
      <c r="X18" s="851"/>
      <c r="Y18" s="159" t="s">
        <v>2512</v>
      </c>
      <c r="Z18" s="168"/>
      <c r="AA18" s="168"/>
      <c r="AB18" s="168"/>
      <c r="AC18" s="168"/>
      <c r="AD18" s="185" t="s">
        <v>2513</v>
      </c>
      <c r="AE18" s="371" t="s">
        <v>142</v>
      </c>
      <c r="AF18" s="855" t="str">
        <f>IF(AK18=FALSE,IF(AND(O18="",W18=""),"","Chk Box"),IF($AQ$1&lt;&gt;"Electric",0,IF(AND(O18="",W18=""),0,(O18+W18)*30)))</f>
        <v/>
      </c>
      <c r="AG18" s="855"/>
      <c r="AH18" s="855"/>
      <c r="AI18" s="181"/>
      <c r="AJ18" s="25"/>
      <c r="AK18" s="187" t="b">
        <v>0</v>
      </c>
      <c r="AL18" s="9"/>
      <c r="AM18" s="556">
        <f>IFERROR(IF($AQ18="",AO18,VLOOKUP($AU18,StackingEffects,2,FALSE)*AO18),0)</f>
        <v>0</v>
      </c>
      <c r="AN18" s="556">
        <f>IFERROR(IF($AQ18="",AP18,VLOOKUP($AU18,StackingEffects,2,FALSE)*AP18),0)</f>
        <v>0</v>
      </c>
      <c r="AO18" s="556">
        <f>IF($AF18="Chk Box",0,IF($AF18&gt;1,($O18*207.76)+($W18*82.79),0))</f>
        <v>0</v>
      </c>
      <c r="AP18" s="556">
        <f>IF($AF18="Chk Box",0,IF($AF18&gt;1,($O18*0)+($W18*0),0))</f>
        <v>0</v>
      </c>
      <c r="AQ18" s="400"/>
      <c r="AR18" s="400"/>
      <c r="AS18" s="400"/>
      <c r="AT18" s="400"/>
      <c r="AU18" s="400"/>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row>
    <row r="19" spans="1:107" s="5" customFormat="1" ht="12.75" customHeight="1">
      <c r="A19" s="25"/>
      <c r="B19" s="555"/>
      <c r="C19" s="157" t="s">
        <v>2514</v>
      </c>
      <c r="D19" s="157"/>
      <c r="E19" s="157"/>
      <c r="F19" s="333"/>
      <c r="G19" s="157"/>
      <c r="H19" s="370"/>
      <c r="I19" s="157"/>
      <c r="J19" s="333"/>
      <c r="K19" s="333"/>
      <c r="L19" s="621"/>
      <c r="M19" s="621"/>
      <c r="N19" s="861" t="str">
        <f>IF(AND($AQ$1&lt;&gt;"Electric",($W$20+$W$21+$W$22)&gt;0),"Ineligible-Electric Heat Req. Check Heating Fuel Type on Final Application Tab.","")</f>
        <v/>
      </c>
      <c r="O19" s="861"/>
      <c r="P19" s="861"/>
      <c r="Q19" s="861"/>
      <c r="R19" s="861"/>
      <c r="S19" s="861"/>
      <c r="T19" s="861"/>
      <c r="U19" s="861"/>
      <c r="V19" s="861"/>
      <c r="W19" s="861"/>
      <c r="X19" s="861"/>
      <c r="Y19" s="861"/>
      <c r="Z19" s="861"/>
      <c r="AA19" s="861"/>
      <c r="AB19" s="861"/>
      <c r="AC19" s="861"/>
      <c r="AD19" s="861"/>
      <c r="AE19" s="168"/>
      <c r="AF19" s="168"/>
      <c r="AG19" s="168"/>
      <c r="AH19" s="168"/>
      <c r="AI19" s="181"/>
      <c r="AJ19" s="30"/>
      <c r="AK19" s="187" t="b">
        <v>0</v>
      </c>
      <c r="AL19" s="9"/>
      <c r="AM19" s="9"/>
      <c r="AN19" s="9"/>
      <c r="AO19" s="9"/>
      <c r="AP19" s="9"/>
      <c r="AQ19" s="400"/>
      <c r="AR19" s="400"/>
      <c r="AS19" s="400"/>
      <c r="AT19" s="400"/>
      <c r="AU19" s="400" t="str">
        <f>IF($AT19=0,"",_xlfn.RANK.EQ($AT19,$AT$10:$AT$24,0))</f>
        <v/>
      </c>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c r="BY19" s="98"/>
      <c r="BZ19" s="98"/>
      <c r="CA19" s="686"/>
      <c r="CB19" s="686"/>
      <c r="CC19" s="686"/>
      <c r="CD19" s="686"/>
      <c r="CE19" s="686"/>
      <c r="CF19" s="686"/>
      <c r="CG19" s="686"/>
      <c r="CH19" s="686"/>
      <c r="CI19" s="686"/>
      <c r="CJ19" s="686"/>
      <c r="CK19" s="686"/>
      <c r="CL19" s="686"/>
      <c r="CM19" s="686"/>
      <c r="CN19" s="686"/>
      <c r="CO19" s="686"/>
      <c r="CP19" s="686"/>
      <c r="CQ19" s="686"/>
      <c r="CR19" s="686"/>
      <c r="CS19" s="686"/>
      <c r="CT19" s="686"/>
      <c r="CU19" s="686"/>
      <c r="CV19" s="686"/>
      <c r="CW19" s="686"/>
      <c r="CX19" s="686"/>
      <c r="CY19" s="686"/>
      <c r="CZ19" s="686"/>
      <c r="DA19" s="686"/>
      <c r="DB19" s="686"/>
      <c r="DC19" s="686"/>
    </row>
    <row r="20" spans="1:107" s="5" customFormat="1">
      <c r="A20" s="25"/>
      <c r="B20" s="555"/>
      <c r="C20" s="548" t="s">
        <v>2515</v>
      </c>
      <c r="D20" s="332"/>
      <c r="E20" s="157"/>
      <c r="F20" s="333"/>
      <c r="G20" s="157"/>
      <c r="H20" s="370"/>
      <c r="I20" s="157"/>
      <c r="J20" s="333"/>
      <c r="K20" s="333"/>
      <c r="L20" s="333"/>
      <c r="M20" s="521"/>
      <c r="N20" s="605" t="str">
        <f>IF(AND($AK$19=TRUE,$AQ$1="Electric"),"Select Heating System:","")</f>
        <v/>
      </c>
      <c r="O20" s="864"/>
      <c r="P20" s="864"/>
      <c r="Q20" s="864"/>
      <c r="R20" s="864"/>
      <c r="S20" s="864"/>
      <c r="T20" s="43"/>
      <c r="U20" s="185"/>
      <c r="V20" s="158" t="s">
        <v>2516</v>
      </c>
      <c r="W20" s="850"/>
      <c r="X20" s="851"/>
      <c r="Y20" s="159" t="s">
        <v>2508</v>
      </c>
      <c r="Z20" s="168"/>
      <c r="AA20" s="168"/>
      <c r="AB20" s="168"/>
      <c r="AC20" s="168"/>
      <c r="AD20" s="185" t="s">
        <v>2517</v>
      </c>
      <c r="AE20" s="371" t="s">
        <v>142</v>
      </c>
      <c r="AF20" s="855" t="str">
        <f>IF($AK$19=FALSE,IF(W20="","","Chk Box"),IF($AQ$1&lt;&gt;"Electric",0,IF(W20="",0,IF(AND(W20&gt;0,AK20=FALSE,AL20=FALSE),"Heat System",W20*0.25))))</f>
        <v/>
      </c>
      <c r="AG20" s="855"/>
      <c r="AH20" s="855"/>
      <c r="AI20" s="181"/>
      <c r="AJ20" s="30"/>
      <c r="AK20" s="187" t="b">
        <f>IF($O20="Electric Heat Pump",TRUE,FALSE)</f>
        <v>0</v>
      </c>
      <c r="AL20" s="187" t="b">
        <f>IF($O20="Electric Resistance",TRUE,FALSE)</f>
        <v>0</v>
      </c>
      <c r="AM20" s="556">
        <f t="shared" ref="AM20:AN22" si="3">IFERROR(IF($AQ20="",AO20,VLOOKUP($AU20,StackingEffects,2,FALSE)*AO20),0)</f>
        <v>0</v>
      </c>
      <c r="AN20" s="556">
        <f t="shared" si="3"/>
        <v>0</v>
      </c>
      <c r="AO20" s="556">
        <f>IF($AF20="Chk Box",0,IF($AQ$1&lt;&gt;"Electric",0,IF($W20="",0,IF($AF20&gt;1,$W20*IF(AND($AO$1="ID",$AK20=TRUE),0.15,IF(AND($AO$1="ID",$AL20=TRUE),2.46,IF(AND($AO$1="OR",$AK20=TRUE),0.18,IF(AND($AO$1="OR",$AL20=TRUE),3.06,"0"))))))))</f>
        <v>0</v>
      </c>
      <c r="AP20" s="556">
        <f>IF($AF20="Chk Box",0,IF($AQ$1&lt;&gt;"Electric",0,IF($W20="",0,IF($AF20&gt;1,$W20*IF(AND($AO$1="ID",$AK20=TRUE),0,IF(AND($AO$1="ID",$AL20=TRUE),0,IF(AND($AO$1="OR",$AK20=TRUE),0,IF(AND($AO$1="OR",$AL20=TRUE),0,"0"))))))))</f>
        <v>0</v>
      </c>
      <c r="AQ20" s="395" t="s">
        <v>2494</v>
      </c>
      <c r="AR20" s="400"/>
      <c r="AS20" s="400"/>
      <c r="AT20" s="395">
        <f>IF($AQ20="HVAC",SUM($AO$20:$AO$22),0)</f>
        <v>0</v>
      </c>
      <c r="AU20" s="395" t="str">
        <f>IF($AO20=0,"",_xlfn.RANK.EQ($AT$20,$AT$10:$AT$24,0))</f>
        <v/>
      </c>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686"/>
      <c r="CB20" s="686"/>
      <c r="CC20" s="686"/>
      <c r="CD20" s="686"/>
      <c r="CE20" s="686"/>
      <c r="CF20" s="686"/>
      <c r="CG20" s="686"/>
      <c r="CH20" s="686"/>
      <c r="CI20" s="686"/>
      <c r="CJ20" s="686"/>
      <c r="CK20" s="686"/>
      <c r="CL20" s="686"/>
      <c r="CM20" s="686"/>
      <c r="CN20" s="686"/>
      <c r="CO20" s="686"/>
      <c r="CP20" s="686"/>
      <c r="CQ20" s="686"/>
      <c r="CR20" s="686"/>
      <c r="CS20" s="686"/>
      <c r="CT20" s="686"/>
      <c r="CU20" s="686"/>
      <c r="CV20" s="686"/>
      <c r="CW20" s="686"/>
      <c r="CX20" s="686"/>
      <c r="CY20" s="686"/>
      <c r="CZ20" s="686"/>
      <c r="DA20" s="686"/>
      <c r="DB20" s="686"/>
      <c r="DC20" s="686"/>
    </row>
    <row r="21" spans="1:107" s="5" customFormat="1">
      <c r="A21" s="25"/>
      <c r="B21" s="555"/>
      <c r="C21" s="548" t="s">
        <v>2518</v>
      </c>
      <c r="D21" s="157"/>
      <c r="E21" s="157"/>
      <c r="F21" s="333"/>
      <c r="G21" s="157"/>
      <c r="H21" s="370"/>
      <c r="I21" s="157"/>
      <c r="J21" s="333"/>
      <c r="K21" s="333"/>
      <c r="L21" s="333"/>
      <c r="M21" s="521"/>
      <c r="N21" s="605" t="str">
        <f>IF(AND($AK$19=TRUE,$AQ$1="Electric"),"Select Heating System:","")</f>
        <v/>
      </c>
      <c r="O21" s="864"/>
      <c r="P21" s="864"/>
      <c r="Q21" s="864"/>
      <c r="R21" s="864"/>
      <c r="S21" s="864"/>
      <c r="T21" s="43"/>
      <c r="U21" s="185"/>
      <c r="V21" s="158" t="s">
        <v>2516</v>
      </c>
      <c r="W21" s="850"/>
      <c r="X21" s="851"/>
      <c r="Y21" s="159" t="s">
        <v>2508</v>
      </c>
      <c r="Z21" s="168"/>
      <c r="AA21" s="168"/>
      <c r="AB21" s="168"/>
      <c r="AC21" s="168"/>
      <c r="AD21" s="185" t="s">
        <v>2519</v>
      </c>
      <c r="AE21" s="371" t="s">
        <v>142</v>
      </c>
      <c r="AF21" s="855" t="str">
        <f>IF($AK$19=FALSE,IF(W21="","","Chk Box"),IF($AQ$1&lt;&gt;"Electric",0,IF(W21="",0,IF(AND(W21&gt;0,AK21=FALSE,AL21=FALSE),"Heat System",W21*0.5))))</f>
        <v/>
      </c>
      <c r="AG21" s="855"/>
      <c r="AH21" s="855"/>
      <c r="AI21" s="181"/>
      <c r="AJ21" s="30"/>
      <c r="AK21" s="187" t="b">
        <f t="shared" ref="AK21:AK22" si="4">IF($O21="Electric Heat Pump",TRUE,FALSE)</f>
        <v>0</v>
      </c>
      <c r="AL21" s="187" t="b">
        <f t="shared" ref="AL21:AL22" si="5">IF($O21="Electric Resistance",TRUE,FALSE)</f>
        <v>0</v>
      </c>
      <c r="AM21" s="556">
        <f t="shared" si="3"/>
        <v>0</v>
      </c>
      <c r="AN21" s="556">
        <f t="shared" si="3"/>
        <v>0</v>
      </c>
      <c r="AO21" s="556">
        <f>IF($AF21="Chk Box",0,IF($AQ$1&lt;&gt;"Electric",0,IF($W21="",0,IF($AF21&gt;1,$W21*IF(AND($AO$1="ID",$AK21=TRUE),0.29,IF(AND($AO$1="ID",$AL21=TRUE),5.17,IF(AND($AO$1="OR",$AK21=TRUE),0.37,IF(AND($AO$1="OR",$AL21=TRUE),6.44,"0"))))))))</f>
        <v>0</v>
      </c>
      <c r="AP21" s="556">
        <f t="shared" ref="AP21:AP22" si="6">IF($AF21="Chk Box",0,IF($AQ$1&lt;&gt;"Electric",0,IF($W21="",0,IF($AF21&gt;1,$W21*IF(AND($AO$1="ID",$AK21=TRUE),0,IF(AND($AO$1="ID",$AL21=TRUE),0,IF(AND($AO$1="OR",$AK21=TRUE),0,IF(AND($AO$1="OR",$AL21=TRUE),0,"0"))))))))</f>
        <v>0</v>
      </c>
      <c r="AQ21" s="395" t="s">
        <v>2494</v>
      </c>
      <c r="AR21" s="400"/>
      <c r="AS21" s="400"/>
      <c r="AT21" s="395"/>
      <c r="AU21" s="395" t="str">
        <f t="shared" ref="AU21:AU22" si="7">IF($AO21=0,"",_xlfn.RANK.EQ($AT$20,$AT$10:$AT$24,0))</f>
        <v/>
      </c>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686"/>
      <c r="CB21" s="686"/>
      <c r="CC21" s="686"/>
      <c r="CD21" s="686"/>
      <c r="CE21" s="686"/>
      <c r="CF21" s="686"/>
      <c r="CG21" s="686"/>
      <c r="CH21" s="686"/>
      <c r="CI21" s="686"/>
      <c r="CJ21" s="686"/>
      <c r="CK21" s="686"/>
      <c r="CL21" s="686"/>
      <c r="CM21" s="686"/>
      <c r="CN21" s="686"/>
      <c r="CO21" s="686"/>
      <c r="CP21" s="686"/>
      <c r="CQ21" s="686"/>
      <c r="CR21" s="686"/>
      <c r="CS21" s="686"/>
      <c r="CT21" s="686"/>
      <c r="CU21" s="686"/>
      <c r="CV21" s="686"/>
      <c r="CW21" s="686"/>
      <c r="CX21" s="686"/>
      <c r="CY21" s="686"/>
      <c r="CZ21" s="686"/>
      <c r="DA21" s="686"/>
      <c r="DB21" s="686"/>
      <c r="DC21" s="686"/>
    </row>
    <row r="22" spans="1:107" s="5" customFormat="1">
      <c r="A22" s="25"/>
      <c r="B22" s="555"/>
      <c r="C22" s="548" t="s">
        <v>2520</v>
      </c>
      <c r="D22" s="157"/>
      <c r="E22" s="157"/>
      <c r="F22" s="333"/>
      <c r="G22" s="157"/>
      <c r="H22" s="370"/>
      <c r="I22" s="157"/>
      <c r="J22" s="333"/>
      <c r="K22" s="333"/>
      <c r="L22" s="333"/>
      <c r="M22" s="521"/>
      <c r="N22" s="605" t="str">
        <f>IF(AND($AK$19=TRUE,$AQ$1="Electric"),"Select Heating System:","")</f>
        <v/>
      </c>
      <c r="O22" s="864"/>
      <c r="P22" s="864"/>
      <c r="Q22" s="864"/>
      <c r="R22" s="864"/>
      <c r="S22" s="864"/>
      <c r="T22" s="43"/>
      <c r="U22" s="185"/>
      <c r="V22" s="158" t="s">
        <v>2516</v>
      </c>
      <c r="W22" s="850"/>
      <c r="X22" s="851"/>
      <c r="Y22" s="159" t="s">
        <v>2508</v>
      </c>
      <c r="Z22" s="168"/>
      <c r="AA22" s="168"/>
      <c r="AB22" s="168"/>
      <c r="AC22" s="168"/>
      <c r="AD22" s="185" t="s">
        <v>2521</v>
      </c>
      <c r="AE22" s="371" t="s">
        <v>142</v>
      </c>
      <c r="AF22" s="855" t="str">
        <f>IF($AK$19=FALSE,IF(W22="","","Chk Box"),IF($AQ$1&lt;&gt;"Electric",0,IF(W22="",0,IF(AND(W22&gt;0,AK22=FALSE,AL22=FALSE),"Heat System",W22*1))))</f>
        <v/>
      </c>
      <c r="AG22" s="855"/>
      <c r="AH22" s="855"/>
      <c r="AI22" s="181"/>
      <c r="AJ22" s="30"/>
      <c r="AK22" s="187" t="b">
        <f t="shared" si="4"/>
        <v>0</v>
      </c>
      <c r="AL22" s="187" t="b">
        <f t="shared" si="5"/>
        <v>0</v>
      </c>
      <c r="AM22" s="556">
        <f t="shared" si="3"/>
        <v>0</v>
      </c>
      <c r="AN22" s="556">
        <f t="shared" si="3"/>
        <v>0</v>
      </c>
      <c r="AO22" s="556">
        <f>IF($AF22="Chk Box",0,IF($AQ$1&lt;&gt;"Electric",0,IF($W22="",0,IF($AF22&gt;1,$W22*IF(AND($AO$1="ID",$AK22=TRUE),0.51,IF(AND($AO$1="ID",$AL22=TRUE),8.89,IF(AND($AO$1="OR",$AK22=TRUE),0.63,IF(AND($AO$1="OR",$AL22=TRUE),11.08,"0"))))))))</f>
        <v>0</v>
      </c>
      <c r="AP22" s="556">
        <f t="shared" si="6"/>
        <v>0</v>
      </c>
      <c r="AQ22" s="395" t="s">
        <v>2494</v>
      </c>
      <c r="AR22" s="400"/>
      <c r="AS22" s="400"/>
      <c r="AT22" s="395"/>
      <c r="AU22" s="395" t="str">
        <f t="shared" si="7"/>
        <v/>
      </c>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686"/>
      <c r="CB22" s="686"/>
      <c r="CC22" s="686"/>
      <c r="CD22" s="686"/>
      <c r="CE22" s="686"/>
      <c r="CF22" s="686"/>
      <c r="CG22" s="686"/>
      <c r="CH22" s="686"/>
      <c r="CI22" s="686"/>
      <c r="CJ22" s="686"/>
      <c r="CK22" s="686"/>
      <c r="CL22" s="686"/>
      <c r="CM22" s="686"/>
      <c r="CN22" s="686"/>
      <c r="CO22" s="686"/>
      <c r="CP22" s="686"/>
      <c r="CQ22" s="686"/>
      <c r="CR22" s="686"/>
      <c r="CS22" s="686"/>
      <c r="CT22" s="686"/>
      <c r="CU22" s="686"/>
      <c r="CV22" s="686"/>
      <c r="CW22" s="686"/>
      <c r="CX22" s="686"/>
      <c r="CY22" s="686"/>
      <c r="CZ22" s="686"/>
      <c r="DA22" s="686"/>
      <c r="DB22" s="686"/>
      <c r="DC22" s="686"/>
    </row>
    <row r="23" spans="1:107" s="5" customFormat="1" ht="12.75" hidden="1" customHeight="1">
      <c r="A23" s="25"/>
      <c r="B23" s="555"/>
      <c r="C23" s="154" t="s">
        <v>2522</v>
      </c>
      <c r="D23" s="157"/>
      <c r="E23" s="157"/>
      <c r="F23" s="333"/>
      <c r="G23" s="157"/>
      <c r="H23" s="370"/>
      <c r="I23" s="157"/>
      <c r="J23" s="333"/>
      <c r="K23" s="333"/>
      <c r="L23" s="621"/>
      <c r="M23" s="621"/>
      <c r="N23" s="861" t="str">
        <f>IF(AND($AQ$1&lt;&gt;"Electric",($W$24)&gt;0),"Ineligible-Electric Heat Req. Check Heating Fuel Type on Final Application Tab.","")</f>
        <v/>
      </c>
      <c r="O23" s="861"/>
      <c r="P23" s="861"/>
      <c r="Q23" s="861"/>
      <c r="R23" s="861"/>
      <c r="S23" s="861"/>
      <c r="T23" s="861"/>
      <c r="U23" s="861"/>
      <c r="V23" s="861"/>
      <c r="W23" s="861"/>
      <c r="X23" s="861"/>
      <c r="Y23" s="861"/>
      <c r="Z23" s="861"/>
      <c r="AA23" s="861"/>
      <c r="AB23" s="861"/>
      <c r="AC23" s="861"/>
      <c r="AD23" s="861"/>
      <c r="AE23" s="168"/>
      <c r="AF23" s="168"/>
      <c r="AG23" s="168"/>
      <c r="AH23" s="168"/>
      <c r="AI23" s="181"/>
      <c r="AJ23" s="30"/>
      <c r="AK23" s="187" t="b">
        <v>0</v>
      </c>
      <c r="AL23" s="9"/>
      <c r="AM23" s="9"/>
      <c r="AN23" s="9"/>
      <c r="AO23" s="9"/>
      <c r="AP23" s="9"/>
      <c r="AQ23" s="400"/>
      <c r="AR23" s="400"/>
      <c r="AS23" s="400"/>
      <c r="AT23" s="400"/>
      <c r="AU23" s="400"/>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c r="BZ23" s="98"/>
      <c r="CA23" s="686"/>
      <c r="CB23" s="686"/>
      <c r="CC23" s="686"/>
      <c r="CD23" s="686"/>
      <c r="CE23" s="686"/>
      <c r="CF23" s="686"/>
      <c r="CG23" s="686"/>
      <c r="CH23" s="686"/>
      <c r="CI23" s="686"/>
      <c r="CJ23" s="686"/>
      <c r="CK23" s="686"/>
      <c r="CL23" s="686"/>
      <c r="CM23" s="686"/>
      <c r="CN23" s="686"/>
      <c r="CO23" s="686"/>
      <c r="CP23" s="686"/>
      <c r="CQ23" s="686"/>
      <c r="CR23" s="686"/>
      <c r="CS23" s="686"/>
      <c r="CT23" s="686"/>
      <c r="CU23" s="686"/>
      <c r="CV23" s="686"/>
      <c r="CW23" s="686"/>
      <c r="CX23" s="686"/>
      <c r="CY23" s="686"/>
      <c r="CZ23" s="686"/>
      <c r="DA23" s="686"/>
      <c r="DB23" s="686"/>
      <c r="DC23" s="686"/>
    </row>
    <row r="24" spans="1:107" s="5" customFormat="1" ht="12.75" hidden="1" customHeight="1">
      <c r="A24" s="25"/>
      <c r="B24" s="555"/>
      <c r="C24" s="548"/>
      <c r="D24" s="157"/>
      <c r="E24" s="157"/>
      <c r="F24" s="333"/>
      <c r="G24" s="157"/>
      <c r="H24" s="370"/>
      <c r="I24" s="157"/>
      <c r="J24" s="333"/>
      <c r="K24" s="333"/>
      <c r="L24" s="333"/>
      <c r="M24" s="521"/>
      <c r="N24" s="605" t="str">
        <f>IF(AND($AK$23=TRUE,$AQ$1="Electric"),"Select Heating System:","")</f>
        <v/>
      </c>
      <c r="O24" s="864"/>
      <c r="P24" s="864"/>
      <c r="Q24" s="864"/>
      <c r="R24" s="864"/>
      <c r="S24" s="864"/>
      <c r="T24" s="43"/>
      <c r="U24" s="185"/>
      <c r="V24" s="158" t="s">
        <v>2516</v>
      </c>
      <c r="W24" s="850"/>
      <c r="X24" s="851"/>
      <c r="Y24" s="159" t="s">
        <v>2508</v>
      </c>
      <c r="Z24" s="168"/>
      <c r="AA24" s="168"/>
      <c r="AB24" s="168"/>
      <c r="AC24" s="168"/>
      <c r="AD24" s="185" t="s">
        <v>2521</v>
      </c>
      <c r="AE24" s="371" t="s">
        <v>142</v>
      </c>
      <c r="AF24" s="855" t="str">
        <f>IF($AK$23=FALSE,IF(W24="","","Chk Box"),IF($AQ$1&lt;&gt;"Electric",0,IF(W24="",0,IF(AND(W24&gt;0,AK24=FALSE,AL24=FALSE),"Heat System",W24*1))))</f>
        <v/>
      </c>
      <c r="AG24" s="855"/>
      <c r="AH24" s="855"/>
      <c r="AI24" s="181"/>
      <c r="AJ24" s="30"/>
      <c r="AK24" s="187" t="b">
        <f>IF($O24="Electric Heat Pump",TRUE,FALSE)</f>
        <v>0</v>
      </c>
      <c r="AL24" s="187" t="b">
        <f>IF($O24="Electric Resistance",TRUE,FALSE)</f>
        <v>0</v>
      </c>
      <c r="AM24" s="556">
        <f>IFERROR(IF($AQ24="",AO24,VLOOKUP($AU24,StackingEffects,2,FALSE)*AO24),0)</f>
        <v>0</v>
      </c>
      <c r="AN24" s="187">
        <f>IFERROR(IF($AQ24="",AP24,VLOOKUP($AU24,StackingEffects,2,FALSE)*AP24),0)</f>
        <v>0</v>
      </c>
      <c r="AO24" s="556">
        <f>IF($AF24="Chk Box",0,IF($AQ$1&lt;&gt;"Electric",0,IF($W24="",0,IF($AF24&gt;1,$W24*IF(AND($AO$1="ID",$AK24=TRUE),5.43,IF(AND($AO$1="ID",$AL24=TRUE),5.43,IF(AND($AO$1="OR",$AK24=TRUE),5.43,IF(AND($AO$1="OR",$AL24=TRUE),5.43,"0"))))))))</f>
        <v>0</v>
      </c>
      <c r="AP24" s="556">
        <f>IF($AF24="Chk Box",0,IF($AQ$1&lt;&gt;"Electric",0,IF($W24="",0,IF($AF24&gt;1,$W24*IF(AND($AO$1="ID",$AK24=TRUE),0,IF(AND($AO$1="ID",$AL24=TRUE),0,IF(AND($AO$1="OR",$AK24=TRUE),0,IF(AND($AO$1="OR",$AL24=TRUE),0,"0"))))))))</f>
        <v>0</v>
      </c>
      <c r="AQ24" s="400"/>
      <c r="AR24" s="400"/>
      <c r="AS24" s="400"/>
      <c r="AT24" s="400"/>
      <c r="AU24" s="400"/>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c r="BY24" s="98"/>
      <c r="BZ24" s="98"/>
      <c r="CA24" s="686"/>
      <c r="CB24" s="686"/>
      <c r="CC24" s="686"/>
      <c r="CD24" s="686"/>
      <c r="CE24" s="686"/>
      <c r="CF24" s="686"/>
      <c r="CG24" s="686"/>
      <c r="CH24" s="686"/>
      <c r="CI24" s="686"/>
      <c r="CJ24" s="686"/>
      <c r="CK24" s="686"/>
      <c r="CL24" s="686"/>
      <c r="CM24" s="686"/>
      <c r="CN24" s="686"/>
      <c r="CO24" s="686"/>
      <c r="CP24" s="686"/>
      <c r="CQ24" s="686"/>
      <c r="CR24" s="686"/>
      <c r="CS24" s="686"/>
      <c r="CT24" s="686"/>
      <c r="CU24" s="686"/>
      <c r="CV24" s="686"/>
      <c r="CW24" s="686"/>
      <c r="CX24" s="686"/>
      <c r="CY24" s="686"/>
      <c r="CZ24" s="686"/>
      <c r="DA24" s="686"/>
      <c r="DB24" s="686"/>
      <c r="DC24" s="686"/>
    </row>
    <row r="25" spans="1:107" ht="9" customHeight="1">
      <c r="A25" s="25"/>
      <c r="B25" s="186"/>
      <c r="C25" s="167"/>
      <c r="D25" s="167"/>
      <c r="E25" s="167"/>
      <c r="F25" s="167"/>
      <c r="G25" s="167"/>
      <c r="H25" s="167"/>
      <c r="I25" s="167"/>
      <c r="J25" s="167"/>
      <c r="K25" s="167"/>
      <c r="L25" s="167"/>
      <c r="M25" s="167"/>
      <c r="N25" s="167"/>
      <c r="O25" s="167"/>
      <c r="P25" s="167"/>
      <c r="Q25" s="167"/>
      <c r="R25" s="167"/>
      <c r="S25" s="387"/>
      <c r="T25" s="384"/>
      <c r="U25" s="384"/>
      <c r="V25" s="191"/>
      <c r="W25" s="191"/>
      <c r="X25" s="191"/>
      <c r="Y25" s="191"/>
      <c r="Z25" s="191"/>
      <c r="AA25" s="191"/>
      <c r="AB25" s="191"/>
      <c r="AC25" s="191"/>
      <c r="AD25" s="384"/>
      <c r="AE25" s="384"/>
      <c r="AF25" s="384"/>
      <c r="AG25" s="167"/>
      <c r="AH25" s="167"/>
      <c r="AI25" s="558"/>
      <c r="AJ25" s="196"/>
      <c r="AM25" s="10"/>
      <c r="AN25" s="10"/>
      <c r="AO25" s="10"/>
      <c r="AP25" s="10"/>
      <c r="AQ25" s="10"/>
      <c r="AR25" s="10"/>
      <c r="AS25" s="10"/>
      <c r="AT25" s="10"/>
      <c r="AU25" s="10"/>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row>
    <row r="26" spans="1:107" ht="9" customHeight="1">
      <c r="A26" s="25"/>
      <c r="B26" s="25"/>
      <c r="C26" s="157"/>
      <c r="D26" s="157"/>
      <c r="E26" s="157"/>
      <c r="F26" s="157"/>
      <c r="G26" s="157"/>
      <c r="H26" s="157"/>
      <c r="I26" s="157"/>
      <c r="J26" s="157"/>
      <c r="K26" s="157"/>
      <c r="L26" s="157"/>
      <c r="M26" s="157"/>
      <c r="N26" s="157"/>
      <c r="O26" s="157"/>
      <c r="P26" s="157"/>
      <c r="Q26" s="157"/>
      <c r="R26" s="157"/>
      <c r="S26" s="159"/>
      <c r="T26" s="43"/>
      <c r="U26" s="43"/>
      <c r="V26" s="168"/>
      <c r="W26" s="168"/>
      <c r="X26" s="168"/>
      <c r="Y26" s="168"/>
      <c r="Z26" s="168"/>
      <c r="AA26" s="168"/>
      <c r="AB26" s="168"/>
      <c r="AC26" s="168"/>
      <c r="AD26" s="43"/>
      <c r="AE26" s="43"/>
      <c r="AF26" s="43"/>
      <c r="AG26" s="157"/>
      <c r="AH26" s="157"/>
      <c r="AI26" s="43"/>
      <c r="AJ26" s="196"/>
      <c r="AM26" s="10"/>
      <c r="AN26" s="10"/>
      <c r="AO26" s="10"/>
      <c r="AP26" s="10"/>
      <c r="AQ26" s="10"/>
      <c r="AR26" s="10"/>
      <c r="AS26" s="10"/>
      <c r="AT26" s="10"/>
      <c r="AU26" s="10"/>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row>
    <row r="27" spans="1:107">
      <c r="A27" s="25"/>
      <c r="B27" s="25"/>
      <c r="C27" s="157"/>
      <c r="D27" s="157"/>
      <c r="E27" s="157"/>
      <c r="F27" s="157"/>
      <c r="G27" s="157"/>
      <c r="H27" s="157"/>
      <c r="I27" s="157"/>
      <c r="J27" s="157"/>
      <c r="K27" s="157"/>
      <c r="L27" s="157"/>
      <c r="M27" s="157"/>
      <c r="N27" s="157"/>
      <c r="O27" s="157"/>
      <c r="P27" s="157"/>
      <c r="Q27" s="157"/>
      <c r="R27" s="157"/>
      <c r="S27" s="159"/>
      <c r="T27" s="43"/>
      <c r="U27" s="43"/>
      <c r="V27" s="168"/>
      <c r="W27" s="168"/>
      <c r="X27" s="168"/>
      <c r="Y27" s="168"/>
      <c r="Z27" s="168"/>
      <c r="AA27" s="168"/>
      <c r="AB27" s="168"/>
      <c r="AC27" s="168"/>
      <c r="AD27" s="28" t="s">
        <v>141</v>
      </c>
      <c r="AE27" s="371" t="s">
        <v>142</v>
      </c>
      <c r="AF27" s="849" t="str">
        <f>IF(AK27=FALSE,"",SUM(AF10:AF24))</f>
        <v/>
      </c>
      <c r="AG27" s="849"/>
      <c r="AH27" s="849"/>
      <c r="AI27" s="549"/>
      <c r="AJ27" s="157"/>
      <c r="AK27" s="187" t="b">
        <f>IF(OR(AK10=TRUE,AK11=TRUE,AK12=TRUE,AK13=TRUE,AK14=TRUE,AK15=TRUE,AK16=TRUE,AK18=TRUE,AK19=TRUE,AK23=TRUE),TRUE,FALSE)</f>
        <v>0</v>
      </c>
      <c r="AM27" s="556">
        <f>SUM(AM10:AM24)</f>
        <v>0</v>
      </c>
      <c r="AN27" s="556">
        <f>SUM(AN10:AN24)</f>
        <v>0</v>
      </c>
      <c r="AO27" s="556">
        <f>SUM(AO10:AO24)</f>
        <v>0</v>
      </c>
      <c r="AP27" s="556">
        <f>SUM(AP10:AP24)</f>
        <v>0</v>
      </c>
      <c r="AQ27" s="10"/>
      <c r="AR27" s="10"/>
      <c r="AS27" s="10"/>
      <c r="AT27" s="10"/>
      <c r="AU27" s="10"/>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row>
    <row r="28" spans="1:107" ht="12.75" customHeight="1">
      <c r="A28" s="25"/>
      <c r="B28" s="25"/>
      <c r="C28" s="157"/>
      <c r="D28" s="157"/>
      <c r="E28" s="157"/>
      <c r="F28" s="157"/>
      <c r="G28" s="157"/>
      <c r="H28" s="157"/>
      <c r="I28" s="157"/>
      <c r="J28" s="157"/>
      <c r="K28" s="157"/>
      <c r="L28" s="157"/>
      <c r="M28" s="157"/>
      <c r="N28" s="157"/>
      <c r="O28" s="157"/>
      <c r="P28" s="157"/>
      <c r="Q28" s="157"/>
      <c r="R28" s="157"/>
      <c r="S28" s="157"/>
      <c r="T28" s="43"/>
      <c r="U28" s="43"/>
      <c r="V28" s="168"/>
      <c r="W28" s="168"/>
      <c r="X28" s="168"/>
      <c r="Y28" s="168"/>
      <c r="Z28" s="168"/>
      <c r="AA28" s="168"/>
      <c r="AB28" s="168"/>
      <c r="AC28" s="168"/>
      <c r="AD28" s="28"/>
      <c r="AE28" s="371"/>
      <c r="AF28" s="874"/>
      <c r="AG28" s="874"/>
      <c r="AH28" s="874"/>
      <c r="AI28" s="549"/>
      <c r="AJ28" s="157"/>
      <c r="AK28" s="9"/>
      <c r="AL28" s="9"/>
      <c r="AM28" s="9"/>
      <c r="AN28" s="9"/>
      <c r="AQ28" s="9"/>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row>
    <row r="29" spans="1:107" ht="7.5" customHeight="1">
      <c r="A29" s="35"/>
      <c r="B29" s="199"/>
      <c r="C29" s="199"/>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row>
    <row r="30" spans="1:107" s="5" customFormat="1" ht="15" customHeight="1">
      <c r="A30" s="25"/>
      <c r="B30" s="153" t="s">
        <v>2523</v>
      </c>
      <c r="C30" s="31"/>
      <c r="D30" s="31"/>
      <c r="E30" s="31"/>
      <c r="F30" s="31"/>
      <c r="G30" s="31"/>
      <c r="H30" s="31"/>
      <c r="I30" s="31"/>
      <c r="J30" s="31"/>
      <c r="K30" s="31"/>
      <c r="L30" s="31"/>
      <c r="M30" s="31"/>
      <c r="N30" s="31"/>
      <c r="O30" s="31"/>
      <c r="P30" s="31"/>
      <c r="Q30" s="31"/>
      <c r="R30" s="31"/>
      <c r="S30" s="31"/>
      <c r="T30" s="43"/>
      <c r="U30" s="31"/>
      <c r="V30" s="168"/>
      <c r="W30" s="168"/>
      <c r="X30" s="168"/>
      <c r="Y30" s="168"/>
      <c r="Z30" s="168"/>
      <c r="AA30" s="168"/>
      <c r="AB30" s="168"/>
      <c r="AC30" s="168"/>
      <c r="AD30" s="31"/>
      <c r="AE30" s="31"/>
      <c r="AF30" s="42"/>
      <c r="AG30" s="31"/>
      <c r="AH30" s="42"/>
      <c r="AI30" s="31"/>
      <c r="AJ30" s="25"/>
      <c r="AK30" s="9"/>
      <c r="AL30" s="9"/>
      <c r="AM30" s="847"/>
      <c r="AN30" s="847"/>
      <c r="AO30" s="736"/>
      <c r="AP30" s="736"/>
      <c r="AQ30" s="736"/>
      <c r="AR30" s="736"/>
      <c r="AS30" s="736"/>
      <c r="AT30" s="736"/>
      <c r="AU30" s="736"/>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c r="BY30" s="98"/>
      <c r="BZ30" s="98"/>
      <c r="CA30" s="686"/>
      <c r="CB30" s="686"/>
      <c r="CC30" s="686"/>
      <c r="CD30" s="686"/>
      <c r="CE30" s="686"/>
      <c r="CF30" s="686"/>
      <c r="CG30" s="686"/>
      <c r="CH30" s="686"/>
      <c r="CI30" s="686"/>
      <c r="CJ30" s="686"/>
      <c r="CK30" s="686"/>
      <c r="CL30" s="686"/>
      <c r="CM30" s="686"/>
      <c r="CN30" s="686"/>
      <c r="CO30" s="686"/>
      <c r="CP30" s="686"/>
      <c r="CQ30" s="686"/>
      <c r="CR30" s="686"/>
      <c r="CS30" s="686"/>
      <c r="CT30" s="686"/>
      <c r="CU30" s="686"/>
      <c r="CV30" s="686"/>
      <c r="CW30" s="686"/>
      <c r="CX30" s="686"/>
      <c r="CY30" s="686"/>
      <c r="CZ30" s="686"/>
      <c r="DA30" s="686"/>
      <c r="DB30" s="686"/>
      <c r="DC30" s="686"/>
    </row>
    <row r="31" spans="1:107" ht="15" customHeight="1">
      <c r="A31" s="25"/>
      <c r="B31" s="41" t="s">
        <v>2524</v>
      </c>
      <c r="C31" s="31"/>
      <c r="D31" s="31"/>
      <c r="E31" s="31"/>
      <c r="F31" s="31"/>
      <c r="G31" s="31"/>
      <c r="H31" s="31"/>
      <c r="I31" s="190"/>
      <c r="J31" s="190"/>
      <c r="K31" s="190"/>
      <c r="L31" s="190"/>
      <c r="M31" s="190"/>
      <c r="N31" s="190"/>
      <c r="O31" s="190"/>
      <c r="P31" s="190"/>
      <c r="Q31" s="31"/>
      <c r="R31" s="31"/>
      <c r="S31" s="31"/>
      <c r="T31" s="31"/>
      <c r="U31" s="31"/>
      <c r="V31" s="31"/>
      <c r="W31" s="31"/>
      <c r="X31" s="31"/>
      <c r="Y31" s="31"/>
      <c r="Z31" s="31"/>
      <c r="AA31" s="31"/>
      <c r="AB31" s="31"/>
      <c r="AC31" s="31"/>
      <c r="AD31" s="31"/>
      <c r="AE31" s="31"/>
      <c r="AF31" s="31"/>
      <c r="AG31" s="31"/>
      <c r="AH31" s="31"/>
      <c r="AI31" s="31"/>
      <c r="AJ31" s="25"/>
      <c r="AK31" s="45"/>
      <c r="AL31" s="45"/>
      <c r="AM31" s="45"/>
      <c r="AN31" s="45"/>
      <c r="AO31" s="247"/>
      <c r="AP31" s="247"/>
      <c r="AQ31" s="45"/>
      <c r="AR31" s="45"/>
      <c r="AS31" s="45"/>
      <c r="AT31" s="45"/>
      <c r="AU31" s="45"/>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row>
    <row r="32" spans="1:107" ht="19.5" customHeight="1">
      <c r="A32" s="25"/>
      <c r="B32" s="179"/>
      <c r="C32" s="176"/>
      <c r="D32" s="176"/>
      <c r="E32" s="176"/>
      <c r="F32" s="176"/>
      <c r="G32" s="176"/>
      <c r="H32" s="176"/>
      <c r="I32" s="157"/>
      <c r="J32" s="875" t="s">
        <v>2525</v>
      </c>
      <c r="K32" s="875"/>
      <c r="L32" s="875"/>
      <c r="M32" s="875"/>
      <c r="N32" s="875"/>
      <c r="O32" s="875"/>
      <c r="P32" s="875"/>
      <c r="Q32" s="875"/>
      <c r="R32" s="522"/>
      <c r="S32" s="182"/>
      <c r="T32" s="182"/>
      <c r="U32" s="552"/>
      <c r="V32" s="193"/>
      <c r="W32" s="193"/>
      <c r="X32" s="193"/>
      <c r="Y32" s="193"/>
      <c r="Z32" s="193"/>
      <c r="AA32" s="876" t="str">
        <f>IF(P34="","x $0.10, $0.20 or $0.30 per sq ft    (or calculated) =",IF(((M34-J34)/M34)&lt;0.09999,"Not Qualified",IF(AND(((M34-J34)/M34)&gt;0.09999,((M34-J34)/M34)&lt;0.2),"x $0.10 per sq ft = ",IF(AND(((M34-J34)/M34)&gt;0.19999999,((M34-J34)/M34)&lt;0.29999999),"x $0.20 per sq ft = ",IF(AND(((M34-J34)/M34)&gt;0.29999999,((M34-J34)/M34)&lt;0.59999999),"x $0.30 per sq ft = ",IF(((M34-J34)/M34)&gt;0.599999,"Submit for Non-Standard Calculation","x $0.05 or $0.15 per sq ft = "))))))</f>
        <v>x $0.10, $0.20 or $0.30 per sq ft    (or calculated) =</v>
      </c>
      <c r="AB32" s="876"/>
      <c r="AC32" s="876"/>
      <c r="AD32" s="876"/>
      <c r="AE32" s="193"/>
      <c r="AF32" s="193"/>
      <c r="AG32" s="552"/>
      <c r="AH32" s="552"/>
      <c r="AI32" s="27"/>
      <c r="AJ32" s="25"/>
      <c r="AK32" s="10"/>
      <c r="AL32" s="10"/>
      <c r="AM32" s="847" t="s">
        <v>2481</v>
      </c>
      <c r="AN32" s="847"/>
      <c r="AO32" s="736" t="s">
        <v>2482</v>
      </c>
      <c r="AP32" s="736"/>
      <c r="AQ32" s="736"/>
      <c r="AR32" s="736"/>
      <c r="AS32" s="736"/>
      <c r="AT32" s="736"/>
      <c r="AU32" s="736"/>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row>
    <row r="33" spans="1:266" s="5" customFormat="1" ht="15" customHeight="1">
      <c r="A33" s="25"/>
      <c r="B33" s="180"/>
      <c r="C33" s="157"/>
      <c r="D33" s="157"/>
      <c r="E33" s="157"/>
      <c r="F33" s="157"/>
      <c r="G33" s="157"/>
      <c r="H33" s="157"/>
      <c r="I33" s="157"/>
      <c r="J33" s="43" t="s">
        <v>2526</v>
      </c>
      <c r="K33" s="384"/>
      <c r="L33" s="43"/>
      <c r="M33" s="43" t="s">
        <v>2527</v>
      </c>
      <c r="N33" s="43"/>
      <c r="O33" s="779" t="s">
        <v>2528</v>
      </c>
      <c r="P33" s="779"/>
      <c r="Q33" s="779"/>
      <c r="R33" s="779"/>
      <c r="S33" s="159" t="s">
        <v>2529</v>
      </c>
      <c r="T33" s="43"/>
      <c r="U33" s="183"/>
      <c r="V33" s="168"/>
      <c r="W33" s="168"/>
      <c r="X33" s="168"/>
      <c r="Y33" s="168"/>
      <c r="Z33" s="168"/>
      <c r="AA33" s="877"/>
      <c r="AB33" s="877"/>
      <c r="AC33" s="877"/>
      <c r="AD33" s="877"/>
      <c r="AE33" s="183"/>
      <c r="AF33" s="157" t="s">
        <v>2483</v>
      </c>
      <c r="AG33" s="208"/>
      <c r="AH33" s="208"/>
      <c r="AI33" s="181"/>
      <c r="AJ33" s="25"/>
      <c r="AK33" s="9"/>
      <c r="AL33" s="9"/>
      <c r="AM33" s="10" t="s">
        <v>2484</v>
      </c>
      <c r="AN33" s="10" t="s">
        <v>2485</v>
      </c>
      <c r="AO33" s="10" t="s">
        <v>2486</v>
      </c>
      <c r="AP33" s="10" t="s">
        <v>2487</v>
      </c>
      <c r="AQ33" s="10" t="s">
        <v>2488</v>
      </c>
      <c r="AR33" s="10" t="s">
        <v>2530</v>
      </c>
      <c r="AS33" s="10" t="s">
        <v>2531</v>
      </c>
      <c r="AT33" s="10" t="s">
        <v>2532</v>
      </c>
      <c r="AU33" s="10" t="s">
        <v>2490</v>
      </c>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686"/>
      <c r="CB33" s="686"/>
      <c r="CC33" s="686"/>
      <c r="CD33" s="686"/>
      <c r="CE33" s="686"/>
      <c r="CF33" s="686"/>
      <c r="CG33" s="686"/>
      <c r="CH33" s="686"/>
      <c r="CI33" s="686"/>
      <c r="CJ33" s="686"/>
      <c r="CK33" s="686"/>
      <c r="CL33" s="686"/>
      <c r="CM33" s="686"/>
      <c r="CN33" s="686"/>
      <c r="CO33" s="686"/>
      <c r="CP33" s="686"/>
      <c r="CQ33" s="686"/>
      <c r="CR33" s="686"/>
      <c r="CS33" s="686"/>
      <c r="CT33" s="686"/>
      <c r="CU33" s="686"/>
      <c r="CV33" s="686"/>
      <c r="CW33" s="686"/>
      <c r="CX33" s="686"/>
      <c r="CY33" s="686"/>
      <c r="CZ33" s="686"/>
      <c r="DA33" s="686"/>
      <c r="DB33" s="686"/>
      <c r="DC33" s="686"/>
    </row>
    <row r="34" spans="1:266" ht="12.75" customHeight="1">
      <c r="A34" s="25"/>
      <c r="B34" s="555"/>
      <c r="C34" s="157" t="s">
        <v>2533</v>
      </c>
      <c r="D34" s="157"/>
      <c r="E34" s="157"/>
      <c r="F34" s="157"/>
      <c r="G34" s="157"/>
      <c r="H34" s="157"/>
      <c r="I34" s="25"/>
      <c r="J34" s="850"/>
      <c r="K34" s="851"/>
      <c r="L34" s="184"/>
      <c r="M34" s="850"/>
      <c r="N34" s="851"/>
      <c r="O34" s="157"/>
      <c r="P34" s="871" t="str">
        <f>IF(AK34=FALSE,"",IF(J34="","",IF(M34="","",(M34-J34)/M34)))</f>
        <v/>
      </c>
      <c r="Q34" s="871"/>
      <c r="R34" s="159"/>
      <c r="S34" s="859" t="str">
        <f>IF(AK34=FALSE,"",IFERROR(VLOOKUP($AU$1,BuildingHours,2,FALSE),0))</f>
        <v/>
      </c>
      <c r="T34" s="860"/>
      <c r="U34" s="183"/>
      <c r="V34" s="168"/>
      <c r="W34" s="158" t="s">
        <v>2534</v>
      </c>
      <c r="X34" s="850"/>
      <c r="Y34" s="851"/>
      <c r="Z34" s="159" t="s">
        <v>2508</v>
      </c>
      <c r="AA34" s="877"/>
      <c r="AB34" s="877"/>
      <c r="AC34" s="877"/>
      <c r="AD34" s="877"/>
      <c r="AE34" s="371" t="s">
        <v>142</v>
      </c>
      <c r="AF34" s="854" t="str">
        <f>IF(AND(AK34=TRUE,OR(S34="",J34="",M34="",S34="",X34="")),0,IF(AND(J34&lt;&gt;"",M34&lt;&gt;"",X34&lt;&gt;"",AK34=FALSE),"Chk Box",IF(P34="","",IF(((M34-J34)/M34)&lt;0.09999,"Not Eligible",IF(AND(((M34-J34)/M34)&gt;0.09999,((M34-J34)/M34)&lt;0.2),X34*0.1,IF(AND(((M34-J34)/M34)&gt;0.19999,((M34-J34)/M34)&lt;0.3),X34*0.2,IF(AND(((M34-J34)/M34)&gt;0.29999,((M34-J34)/M34)&lt;0.6),X34*0.3,IF(((M34-J34)/M34)&gt;0.599999,"Non-Stand.",""))))))))</f>
        <v/>
      </c>
      <c r="AG34" s="854"/>
      <c r="AH34" s="854"/>
      <c r="AI34" s="181"/>
      <c r="AJ34" s="25"/>
      <c r="AK34" s="187" t="b">
        <v>0</v>
      </c>
      <c r="AL34" s="9"/>
      <c r="AM34" s="556">
        <f>IFERROR(IF($AQ34="",AO34,IF($AS34="",(VLOOKUP($AU34,StackingEffects,2,FALSE)*AT34),(VLOOKUP($AS34,StackingEffects,2,FALSE)*AR34))),0)</f>
        <v>0</v>
      </c>
      <c r="AN34" s="556">
        <f>IFERROR(IF($AQ34="",AP34,IF($AS34="",(VLOOKUP($AU34,StackingEffects,2,FALSE)*AP34),(VLOOKUP($AS34,StackingEffects,2,FALSE)*AP34))),0)</f>
        <v>0</v>
      </c>
      <c r="AO34" s="556">
        <f>IF(AF34="Chk Box",0,IF(S34="",0,IF(AF34&gt;1,(M34-J34)*S34,0)))</f>
        <v>0</v>
      </c>
      <c r="AP34" s="556">
        <f>IF(AF34="Chk Box",0,IF(AF34&gt;1,(M34-J34),""))</f>
        <v>0</v>
      </c>
      <c r="AQ34" s="395" t="str">
        <f>IF(COUNTIF($AK$49:$AK$62,"TRUE")&gt;0,"HVAC","LIGHTING")</f>
        <v>LIGHTING</v>
      </c>
      <c r="AR34" s="395">
        <f>IF($AQ34="LIGHTING",$AO34,0)</f>
        <v>0</v>
      </c>
      <c r="AS34" s="395" t="str">
        <f>IF($AR34=0,"",_xlfn.RANK.EQ($AR34,$AR$34:$AR$41,0))</f>
        <v/>
      </c>
      <c r="AT34" s="395">
        <f>IF($AQ34="HVAC",$AO34,0)</f>
        <v>0</v>
      </c>
      <c r="AU34" s="395" t="str">
        <f>IF($AT34=0,"",_xlfn.RANK.EQ($AT34,$AT$34:$AT$70,0))</f>
        <v/>
      </c>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row>
    <row r="35" spans="1:266" s="5" customFormat="1">
      <c r="A35" s="25"/>
      <c r="B35" s="555"/>
      <c r="C35" s="159" t="s">
        <v>2535</v>
      </c>
      <c r="D35" s="159"/>
      <c r="E35" s="157"/>
      <c r="F35" s="157"/>
      <c r="G35" s="157"/>
      <c r="H35" s="157"/>
      <c r="I35" s="25"/>
      <c r="J35" s="850"/>
      <c r="K35" s="851"/>
      <c r="L35" s="184"/>
      <c r="M35" s="850"/>
      <c r="N35" s="851"/>
      <c r="O35" s="157"/>
      <c r="P35" s="872" t="str">
        <f>IF(AK35=FALSE,"",IF(J35="","",IF(M35="","",(M35-J35)/M35)))</f>
        <v/>
      </c>
      <c r="Q35" s="872"/>
      <c r="R35" s="159"/>
      <c r="S35" s="859" t="str">
        <f>IF(AK35=FALSE,"",4059)</f>
        <v/>
      </c>
      <c r="T35" s="860"/>
      <c r="U35" s="185"/>
      <c r="V35" s="168"/>
      <c r="W35" s="158" t="s">
        <v>2536</v>
      </c>
      <c r="X35" s="873" t="str">
        <f>IF(AK35=FALSE,"",IF(P35="","",IF(P35&lt;0.15,"N/A",M35-J35)))</f>
        <v/>
      </c>
      <c r="Y35" s="873"/>
      <c r="Z35" s="159" t="s">
        <v>2485</v>
      </c>
      <c r="AA35" s="168"/>
      <c r="AB35" s="168"/>
      <c r="AC35" s="168"/>
      <c r="AD35" s="185" t="s">
        <v>2537</v>
      </c>
      <c r="AE35" s="371" t="s">
        <v>142</v>
      </c>
      <c r="AF35" s="852" t="str">
        <f>IF(AND(AK35=FALSE,J35&lt;&gt;"",M35&lt;&gt;""),"Chk Box",IF(AK35=FALSE,"",IF(OR(S35="",X35="N/A",X35=""),0,X35*200)))</f>
        <v/>
      </c>
      <c r="AG35" s="852"/>
      <c r="AH35" s="852"/>
      <c r="AI35" s="181"/>
      <c r="AJ35" s="25"/>
      <c r="AK35" s="187" t="b">
        <v>0</v>
      </c>
      <c r="AL35" s="9"/>
      <c r="AM35" s="556">
        <f>IFERROR(IF($AQ35="",AO35,IF($AS35="",(VLOOKUP($AU35,StackingEffects,2,FALSE)*AT35),(VLOOKUP($AS35,StackingEffects,2,FALSE)*AR35))),0)</f>
        <v>0</v>
      </c>
      <c r="AN35" s="556">
        <f>IFERROR(IF($AQ35="",AP35,IF($AS35="",(VLOOKUP($AU35,StackingEffects,2,FALSE)*AP35),(VLOOKUP($AS35,StackingEffects,2,FALSE)*AP35))),0)</f>
        <v>0</v>
      </c>
      <c r="AO35" s="556">
        <f>IF(AF35="Chk Box",0,IF(S35="",0,IF(AF35&gt;1,(M35-J35)*S35,0)))</f>
        <v>0</v>
      </c>
      <c r="AP35" s="556">
        <v>0</v>
      </c>
      <c r="AQ35" s="400"/>
      <c r="AR35" s="400"/>
      <c r="AS35" s="400"/>
      <c r="AT35" s="400"/>
      <c r="AU35" s="400"/>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686"/>
      <c r="CB35" s="686"/>
      <c r="CC35" s="686"/>
      <c r="CD35" s="686"/>
      <c r="CE35" s="686"/>
      <c r="CF35" s="686"/>
      <c r="CG35" s="686"/>
      <c r="CH35" s="686"/>
      <c r="CI35" s="686"/>
      <c r="CJ35" s="686"/>
      <c r="CK35" s="686"/>
      <c r="CL35" s="686"/>
      <c r="CM35" s="686"/>
      <c r="CN35" s="686"/>
      <c r="CO35" s="686"/>
      <c r="CP35" s="686"/>
      <c r="CQ35" s="686"/>
      <c r="CR35" s="686"/>
      <c r="CS35" s="686"/>
      <c r="CT35" s="686"/>
      <c r="CU35" s="686"/>
      <c r="CV35" s="686"/>
      <c r="CW35" s="686"/>
      <c r="CX35" s="686"/>
      <c r="CY35" s="686"/>
      <c r="CZ35" s="686"/>
      <c r="DA35" s="686"/>
      <c r="DB35" s="686"/>
      <c r="DC35" s="686"/>
    </row>
    <row r="36" spans="1:266" ht="15.75" hidden="1" customHeight="1">
      <c r="A36" s="25"/>
      <c r="B36" s="555"/>
      <c r="C36" s="560" t="s">
        <v>2538</v>
      </c>
      <c r="D36" s="159"/>
      <c r="E36" s="159"/>
      <c r="F36" s="25"/>
      <c r="G36" s="157"/>
      <c r="H36" s="370"/>
      <c r="I36" s="157"/>
      <c r="J36" s="25"/>
      <c r="K36" s="25"/>
      <c r="L36" s="861" t="s">
        <v>2539</v>
      </c>
      <c r="M36" s="861"/>
      <c r="N36" s="861"/>
      <c r="O36" s="861"/>
      <c r="P36" s="861"/>
      <c r="Q36" s="861"/>
      <c r="R36" s="862"/>
      <c r="S36" s="859" t="str">
        <f>IF(AK36=FALSE,"",IFERROR(VLOOKUP($AU$1,BuildingHours,2,FALSE),0))</f>
        <v/>
      </c>
      <c r="T36" s="860"/>
      <c r="U36" s="185"/>
      <c r="V36" s="168"/>
      <c r="W36" s="158" t="s">
        <v>2540</v>
      </c>
      <c r="X36" s="850"/>
      <c r="Y36" s="851"/>
      <c r="Z36" s="159" t="s">
        <v>2485</v>
      </c>
      <c r="AA36" s="168"/>
      <c r="AB36" s="168"/>
      <c r="AC36" s="168"/>
      <c r="AD36" s="185" t="s">
        <v>2541</v>
      </c>
      <c r="AE36" s="371" t="s">
        <v>142</v>
      </c>
      <c r="AF36" s="852" t="str">
        <f>IF(AK36=FALSE,IF(AND(X36="",G37="",W37=""),"","Chk L3a Box"),IF(X36="",0,((S36*X36)*21%)*0.26))</f>
        <v/>
      </c>
      <c r="AG36" s="852"/>
      <c r="AH36" s="852"/>
      <c r="AI36" s="181"/>
      <c r="AJ36" s="157"/>
      <c r="AK36" s="187" t="b">
        <v>0</v>
      </c>
      <c r="AL36" s="9"/>
      <c r="AM36" s="556">
        <f>IFERROR(IF($AQ36="",AO36,IF($AS36="",(VLOOKUP($AU36,StackingEffects,2,FALSE)*AT36),(VLOOKUP($AS36,StackingEffects,2,FALSE)*AR36))),0)</f>
        <v>0</v>
      </c>
      <c r="AN36" s="556">
        <f>IFERROR(IF($AQ36="",AP36,IF($AS36="",(VLOOKUP($AU36,StackingEffects,2,FALSE)*AP36),(VLOOKUP($AS36,StackingEffects,2,FALSE)*AP36))),0)</f>
        <v>0</v>
      </c>
      <c r="AO36" s="556">
        <f>IF(AK36=FALSE,0,IF(AF36="Chk L3a Box",0,IF(AF36&gt;1,(S36*X36)*21%,0)))</f>
        <v>0</v>
      </c>
      <c r="AP36" s="556">
        <f>IF(AK36=FALSE,0,IF(AF36="Chk Box",0,IF(AF36&gt;1,(X36*21%),0)))</f>
        <v>0</v>
      </c>
      <c r="AQ36" s="395" t="str">
        <f>IF(COUNTIF($AK$83:$AK$96,"TRUE")&gt;0,"HVAC","LIGHTING")</f>
        <v>LIGHTING</v>
      </c>
      <c r="AR36" s="395">
        <f>IF($AQ36="LIGHTING",$AO36,0)</f>
        <v>0</v>
      </c>
      <c r="AS36" s="395" t="str">
        <f>IF($AR36=0,"",_xlfn.RANK.EQ($AR36,$AR$68:$AR$75,0))</f>
        <v/>
      </c>
      <c r="AT36" s="395">
        <f t="shared" ref="AT36:AT40" si="8">IF($AQ36="HVAC",$AO36,0)</f>
        <v>0</v>
      </c>
      <c r="AU36" s="395" t="str">
        <f>IF($AT36=0,"",_xlfn.RANK.EQ($AT36,$AT$68:$AT$104,0))</f>
        <v/>
      </c>
      <c r="AV36" s="94"/>
      <c r="AW36" s="94"/>
      <c r="AX36" s="94"/>
      <c r="AY36" s="94"/>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687"/>
      <c r="CB36" s="687"/>
      <c r="CC36" s="687"/>
      <c r="CD36" s="687"/>
      <c r="CE36" s="687"/>
      <c r="CF36" s="687"/>
      <c r="CG36" s="687"/>
      <c r="CH36" s="687"/>
      <c r="CI36" s="687"/>
      <c r="CJ36" s="687"/>
      <c r="CK36" s="687"/>
      <c r="CL36" s="687"/>
      <c r="CM36" s="687"/>
      <c r="CN36" s="687"/>
      <c r="CO36" s="687"/>
      <c r="CP36" s="687"/>
      <c r="CQ36" s="687"/>
      <c r="CR36" s="687"/>
      <c r="CS36" s="687"/>
      <c r="CT36" s="687"/>
      <c r="CU36" s="687"/>
      <c r="CV36" s="687"/>
      <c r="CW36" s="687"/>
      <c r="CX36" s="687"/>
      <c r="CY36" s="687"/>
      <c r="CZ36" s="687"/>
      <c r="DA36" s="687"/>
      <c r="DB36" s="687"/>
      <c r="DC36" s="687"/>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row>
    <row r="37" spans="1:266" ht="15.75" hidden="1" customHeight="1">
      <c r="A37" s="25"/>
      <c r="B37" s="555"/>
      <c r="C37" s="560"/>
      <c r="D37" s="159"/>
      <c r="E37" s="159"/>
      <c r="F37" s="563" t="s">
        <v>2542</v>
      </c>
      <c r="G37" s="853"/>
      <c r="H37" s="853"/>
      <c r="I37" s="853"/>
      <c r="J37" s="853"/>
      <c r="K37" s="853"/>
      <c r="L37" s="853"/>
      <c r="M37" s="853"/>
      <c r="N37" s="853"/>
      <c r="O37" s="853"/>
      <c r="P37" s="853"/>
      <c r="Q37" s="853"/>
      <c r="R37" s="853"/>
      <c r="S37" s="25"/>
      <c r="T37" s="25"/>
      <c r="U37" s="25"/>
      <c r="V37" s="521" t="s">
        <v>2543</v>
      </c>
      <c r="W37" s="853"/>
      <c r="X37" s="853"/>
      <c r="Y37" s="853"/>
      <c r="Z37" s="853"/>
      <c r="AA37" s="853"/>
      <c r="AB37" s="853"/>
      <c r="AC37" s="853"/>
      <c r="AD37" s="853"/>
      <c r="AE37" s="853"/>
      <c r="AF37" s="853"/>
      <c r="AG37" s="853"/>
      <c r="AH37" s="853"/>
      <c r="AI37" s="181"/>
      <c r="AJ37" s="157"/>
      <c r="AK37" s="187"/>
      <c r="AL37" s="9"/>
      <c r="AM37" s="556"/>
      <c r="AN37" s="556"/>
      <c r="AO37" s="556"/>
      <c r="AP37" s="556"/>
      <c r="AQ37" s="395"/>
      <c r="AR37" s="395"/>
      <c r="AS37" s="395"/>
      <c r="AT37" s="395"/>
      <c r="AU37" s="395"/>
      <c r="AV37" s="94"/>
      <c r="AW37" s="94"/>
      <c r="AX37" s="94"/>
      <c r="AY37" s="94"/>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687"/>
      <c r="CB37" s="687"/>
      <c r="CC37" s="687"/>
      <c r="CD37" s="687"/>
      <c r="CE37" s="687"/>
      <c r="CF37" s="687"/>
      <c r="CG37" s="687"/>
      <c r="CH37" s="687"/>
      <c r="CI37" s="687"/>
      <c r="CJ37" s="687"/>
      <c r="CK37" s="687"/>
      <c r="CL37" s="687"/>
      <c r="CM37" s="687"/>
      <c r="CN37" s="687"/>
      <c r="CO37" s="687"/>
      <c r="CP37" s="687"/>
      <c r="CQ37" s="687"/>
      <c r="CR37" s="687"/>
      <c r="CS37" s="687"/>
      <c r="CT37" s="687"/>
      <c r="CU37" s="687"/>
      <c r="CV37" s="687"/>
      <c r="CW37" s="687"/>
      <c r="CX37" s="687"/>
      <c r="CY37" s="687"/>
      <c r="CZ37" s="687"/>
      <c r="DA37" s="687"/>
      <c r="DB37" s="687"/>
      <c r="DC37" s="687"/>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row>
    <row r="38" spans="1:266" ht="15.75" hidden="1" customHeight="1">
      <c r="A38" s="25"/>
      <c r="B38" s="555"/>
      <c r="C38" s="560" t="s">
        <v>2544</v>
      </c>
      <c r="D38" s="159"/>
      <c r="E38" s="159"/>
      <c r="F38" s="25"/>
      <c r="G38" s="157"/>
      <c r="H38" s="370"/>
      <c r="I38" s="157"/>
      <c r="J38" s="25"/>
      <c r="K38" s="25"/>
      <c r="L38" s="861" t="s">
        <v>2539</v>
      </c>
      <c r="M38" s="861"/>
      <c r="N38" s="861"/>
      <c r="O38" s="861"/>
      <c r="P38" s="861"/>
      <c r="Q38" s="861"/>
      <c r="R38" s="862"/>
      <c r="S38" s="859" t="str">
        <f>IF(AK38=FALSE,"",4059)</f>
        <v/>
      </c>
      <c r="T38" s="860"/>
      <c r="U38" s="185"/>
      <c r="V38" s="168"/>
      <c r="W38" s="158" t="s">
        <v>2540</v>
      </c>
      <c r="X38" s="850"/>
      <c r="Y38" s="851"/>
      <c r="Z38" s="159" t="s">
        <v>2485</v>
      </c>
      <c r="AA38" s="168"/>
      <c r="AB38" s="168"/>
      <c r="AC38" s="168"/>
      <c r="AD38" s="185" t="s">
        <v>2545</v>
      </c>
      <c r="AE38" s="371" t="s">
        <v>142</v>
      </c>
      <c r="AF38" s="854" t="str">
        <f>IF(AK38=FALSE,IF(AND(X38="",G39="",W39=""),"","Chk L3b Box"),IF(X38="",0,((S38*X38)*21%)*0.2))</f>
        <v/>
      </c>
      <c r="AG38" s="854"/>
      <c r="AH38" s="854"/>
      <c r="AI38" s="181"/>
      <c r="AJ38" s="157"/>
      <c r="AK38" s="187" t="b">
        <v>0</v>
      </c>
      <c r="AL38" s="9"/>
      <c r="AM38" s="556">
        <f>IFERROR(IF($AQ38="",AO38,IF($AS38="",(VLOOKUP($AU38,StackingEffects,2,FALSE)*AT38),(VLOOKUP($AS38,StackingEffects,2,FALSE)*AR38))),0)</f>
        <v>0</v>
      </c>
      <c r="AN38" s="556">
        <f>IFERROR(IF($AQ38="",AP38,IF($AS38="",(VLOOKUP($AU38,StackingEffects,2,FALSE)*AP38),(VLOOKUP($AS38,StackingEffects,2,FALSE)*AP38))),0)</f>
        <v>0</v>
      </c>
      <c r="AO38" s="556">
        <f>IF(AK38=FALSE,0,IF(AF38="Chk L3b Box",0,IF(AF38&gt;1,(S38*X38)*21%,0)))</f>
        <v>0</v>
      </c>
      <c r="AP38" s="556">
        <f>IF(AK38=FALSE,0,IF(AF38="Chk Box",0,IF(AF38&gt;1,(X38*21%),0)))</f>
        <v>0</v>
      </c>
      <c r="AQ38" s="395" t="str">
        <f>IF(COUNTIF($AK$83:$AK$96,"TRUE")&gt;0,"HVAC","LIGHTING")</f>
        <v>LIGHTING</v>
      </c>
      <c r="AR38" s="395">
        <f>IF($AQ38="LIGHTING",$AO38,0)</f>
        <v>0</v>
      </c>
      <c r="AS38" s="395" t="str">
        <f>IF($AR38=0,"",_xlfn.RANK.EQ($AR38,$AR$68:$AR$75,0))</f>
        <v/>
      </c>
      <c r="AT38" s="395">
        <f t="shared" si="8"/>
        <v>0</v>
      </c>
      <c r="AU38" s="395" t="str">
        <f>IF($AT38=0,"",_xlfn.RANK.EQ($AT38,$AT$68:$AT$104,0))</f>
        <v/>
      </c>
      <c r="AV38" s="94"/>
      <c r="AW38" s="94"/>
      <c r="AX38" s="94"/>
      <c r="AY38" s="94"/>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687"/>
      <c r="CB38" s="687"/>
      <c r="CC38" s="687"/>
      <c r="CD38" s="687"/>
      <c r="CE38" s="687"/>
      <c r="CF38" s="687"/>
      <c r="CG38" s="687"/>
      <c r="CH38" s="687"/>
      <c r="CI38" s="687"/>
      <c r="CJ38" s="687"/>
      <c r="CK38" s="687"/>
      <c r="CL38" s="687"/>
      <c r="CM38" s="687"/>
      <c r="CN38" s="687"/>
      <c r="CO38" s="687"/>
      <c r="CP38" s="687"/>
      <c r="CQ38" s="687"/>
      <c r="CR38" s="687"/>
      <c r="CS38" s="687"/>
      <c r="CT38" s="687"/>
      <c r="CU38" s="687"/>
      <c r="CV38" s="687"/>
      <c r="CW38" s="687"/>
      <c r="CX38" s="687"/>
      <c r="CY38" s="687"/>
      <c r="CZ38" s="687"/>
      <c r="DA38" s="687"/>
      <c r="DB38" s="687"/>
      <c r="DC38" s="687"/>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row>
    <row r="39" spans="1:266" ht="15.75" hidden="1" customHeight="1">
      <c r="A39" s="25"/>
      <c r="B39" s="555"/>
      <c r="C39" s="560"/>
      <c r="D39" s="159"/>
      <c r="E39" s="159"/>
      <c r="F39" s="521" t="s">
        <v>2542</v>
      </c>
      <c r="G39" s="853"/>
      <c r="H39" s="853"/>
      <c r="I39" s="853"/>
      <c r="J39" s="853"/>
      <c r="K39" s="853"/>
      <c r="L39" s="853"/>
      <c r="M39" s="853"/>
      <c r="N39" s="853"/>
      <c r="O39" s="853"/>
      <c r="P39" s="853"/>
      <c r="Q39" s="853"/>
      <c r="R39" s="853"/>
      <c r="S39" s="25"/>
      <c r="T39" s="25"/>
      <c r="U39" s="25"/>
      <c r="V39" s="521" t="s">
        <v>2543</v>
      </c>
      <c r="W39" s="853"/>
      <c r="X39" s="853"/>
      <c r="Y39" s="853"/>
      <c r="Z39" s="853"/>
      <c r="AA39" s="853"/>
      <c r="AB39" s="853"/>
      <c r="AC39" s="853"/>
      <c r="AD39" s="853"/>
      <c r="AE39" s="853"/>
      <c r="AF39" s="853"/>
      <c r="AG39" s="853"/>
      <c r="AH39" s="853"/>
      <c r="AI39" s="181"/>
      <c r="AJ39" s="157"/>
      <c r="AK39" s="187"/>
      <c r="AL39" s="9"/>
      <c r="AM39" s="556"/>
      <c r="AN39" s="556"/>
      <c r="AO39" s="556"/>
      <c r="AP39" s="556"/>
      <c r="AQ39" s="395"/>
      <c r="AR39" s="395"/>
      <c r="AS39" s="395"/>
      <c r="AT39" s="395"/>
      <c r="AU39" s="395"/>
      <c r="AV39" s="94"/>
      <c r="AW39" s="94"/>
      <c r="AX39" s="94"/>
      <c r="AY39" s="94"/>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687"/>
      <c r="CB39" s="687"/>
      <c r="CC39" s="687"/>
      <c r="CD39" s="687"/>
      <c r="CE39" s="687"/>
      <c r="CF39" s="687"/>
      <c r="CG39" s="687"/>
      <c r="CH39" s="687"/>
      <c r="CI39" s="687"/>
      <c r="CJ39" s="687"/>
      <c r="CK39" s="687"/>
      <c r="CL39" s="687"/>
      <c r="CM39" s="687"/>
      <c r="CN39" s="687"/>
      <c r="CO39" s="687"/>
      <c r="CP39" s="687"/>
      <c r="CQ39" s="687"/>
      <c r="CR39" s="687"/>
      <c r="CS39" s="687"/>
      <c r="CT39" s="687"/>
      <c r="CU39" s="687"/>
      <c r="CV39" s="687"/>
      <c r="CW39" s="687"/>
      <c r="CX39" s="687"/>
      <c r="CY39" s="687"/>
      <c r="CZ39" s="687"/>
      <c r="DA39" s="687"/>
      <c r="DB39" s="687"/>
      <c r="DC39" s="687"/>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row>
    <row r="40" spans="1:266" ht="15.75" hidden="1" customHeight="1">
      <c r="A40" s="25"/>
      <c r="B40" s="555"/>
      <c r="C40" s="561" t="s">
        <v>2546</v>
      </c>
      <c r="D40" s="157"/>
      <c r="E40" s="157"/>
      <c r="F40" s="333"/>
      <c r="G40" s="157"/>
      <c r="H40" s="370"/>
      <c r="I40" s="157"/>
      <c r="J40" s="25"/>
      <c r="K40" s="25"/>
      <c r="L40" s="333"/>
      <c r="M40" s="157"/>
      <c r="N40" s="157"/>
      <c r="O40" s="157"/>
      <c r="P40" s="43"/>
      <c r="Q40" s="43"/>
      <c r="R40" s="159"/>
      <c r="S40" s="859" t="str">
        <f>IF(AK40=FALSE,"",IFERROR(VLOOKUP($AU$1,BuildingHours,2,FALSE),0))</f>
        <v/>
      </c>
      <c r="T40" s="860"/>
      <c r="U40" s="185"/>
      <c r="V40" s="168"/>
      <c r="W40" s="158" t="s">
        <v>2547</v>
      </c>
      <c r="X40" s="850"/>
      <c r="Y40" s="851"/>
      <c r="Z40" s="168"/>
      <c r="AA40" s="168"/>
      <c r="AB40" s="168"/>
      <c r="AC40" s="168"/>
      <c r="AD40" s="185" t="s">
        <v>2548</v>
      </c>
      <c r="AE40" s="371" t="s">
        <v>142</v>
      </c>
      <c r="AF40" s="854" t="str">
        <f>IF(AK40=FALSE,IF(X40="","",IF($AO$1="OR","ID Only","Chk Box")),IF($AO$1="OR","ID Only",IF(OR(X40="",S40=""),0,X40*25)))</f>
        <v/>
      </c>
      <c r="AG40" s="854"/>
      <c r="AH40" s="854"/>
      <c r="AI40" s="181"/>
      <c r="AJ40" s="157"/>
      <c r="AK40" s="187" t="b">
        <v>0</v>
      </c>
      <c r="AL40" s="9"/>
      <c r="AM40" s="556">
        <f>IFERROR(IF($AQ40="",AO40,IF($AS40="",(VLOOKUP($AU40,StackingEffects,2,FALSE)*AT40),(VLOOKUP($AS40,StackingEffects,2,FALSE)*AR40))),0)</f>
        <v>0</v>
      </c>
      <c r="AN40" s="556">
        <f>IFERROR(IF($AQ40="",AP40,IF($AS40="",(VLOOKUP($AU40,StackingEffects,2,FALSE)*AP40),(VLOOKUP($AS40,StackingEffects,2,FALSE)*AP40))),0)</f>
        <v>0</v>
      </c>
      <c r="AO40" s="556">
        <f>IF(OR(AF40="Chk Box",AF40="ID Only"),0,IF(S40="",0,IF(AF40&gt;1,X40*329,0)))</f>
        <v>0</v>
      </c>
      <c r="AP40" s="556">
        <f>IF(AK40=FALSE,0,IF(AF40="Chk Box",0,IF(AF40&gt;1,X40*0.066,0)))</f>
        <v>0</v>
      </c>
      <c r="AQ40" s="395" t="str">
        <f>IF(COUNTIF($AK$83:$AK$96,"TRUE")&gt;0,"HVAC","LIGHTING")</f>
        <v>LIGHTING</v>
      </c>
      <c r="AR40" s="395">
        <f t="shared" ref="AR40" si="9">IF($AQ40="LIGHTING",$AO40,0)</f>
        <v>0</v>
      </c>
      <c r="AS40" s="395" t="str">
        <f>IF($AR40=0,"",_xlfn.RANK.EQ($AR40,$AR$68:$AR$75,0))</f>
        <v/>
      </c>
      <c r="AT40" s="395">
        <f t="shared" si="8"/>
        <v>0</v>
      </c>
      <c r="AU40" s="395" t="str">
        <f>IF($AT40=0,"",_xlfn.RANK.EQ($AT40,$AT$68:$AT$104,0))</f>
        <v/>
      </c>
      <c r="AV40" s="94"/>
      <c r="AW40" s="94"/>
      <c r="AX40" s="94"/>
      <c r="AY40" s="94"/>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687"/>
      <c r="CB40" s="687"/>
      <c r="CC40" s="687"/>
      <c r="CD40" s="687"/>
      <c r="CE40" s="687"/>
      <c r="CF40" s="687"/>
      <c r="CG40" s="687"/>
      <c r="CH40" s="687"/>
      <c r="CI40" s="687"/>
      <c r="CJ40" s="687"/>
      <c r="CK40" s="687"/>
      <c r="CL40" s="687"/>
      <c r="CM40" s="687"/>
      <c r="CN40" s="687"/>
      <c r="CO40" s="687"/>
      <c r="CP40" s="687"/>
      <c r="CQ40" s="687"/>
      <c r="CR40" s="687"/>
      <c r="CS40" s="687"/>
      <c r="CT40" s="687"/>
      <c r="CU40" s="687"/>
      <c r="CV40" s="687"/>
      <c r="CW40" s="687"/>
      <c r="CX40" s="687"/>
      <c r="CY40" s="687"/>
      <c r="CZ40" s="687"/>
      <c r="DA40" s="687"/>
      <c r="DB40" s="687"/>
      <c r="DC40" s="687"/>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row>
    <row r="41" spans="1:266" s="5" customFormat="1" ht="15" customHeight="1">
      <c r="A41" s="25"/>
      <c r="B41" s="555"/>
      <c r="C41" s="157" t="s">
        <v>2549</v>
      </c>
      <c r="D41" s="157"/>
      <c r="E41" s="157"/>
      <c r="F41" s="333"/>
      <c r="G41" s="157"/>
      <c r="H41" s="370"/>
      <c r="I41" s="157"/>
      <c r="J41" s="25"/>
      <c r="K41" s="25"/>
      <c r="L41" s="333"/>
      <c r="M41" s="157"/>
      <c r="N41" s="157"/>
      <c r="O41" s="370"/>
      <c r="P41" s="43"/>
      <c r="Q41" s="43"/>
      <c r="R41" s="43"/>
      <c r="S41" s="43"/>
      <c r="T41" s="43"/>
      <c r="U41" s="185"/>
      <c r="V41" s="168"/>
      <c r="W41" s="158" t="s">
        <v>2547</v>
      </c>
      <c r="X41" s="850"/>
      <c r="Y41" s="851"/>
      <c r="Z41" s="168"/>
      <c r="AA41" s="168"/>
      <c r="AB41" s="168"/>
      <c r="AC41" s="168"/>
      <c r="AD41" s="185" t="s">
        <v>2550</v>
      </c>
      <c r="AE41" s="371" t="s">
        <v>142</v>
      </c>
      <c r="AF41" s="852" t="str">
        <f>IF(AK41=FALSE,IF(X41="","","Chk Box"),IF(X41="",0,X41*7.5))</f>
        <v/>
      </c>
      <c r="AG41" s="852"/>
      <c r="AH41" s="852"/>
      <c r="AI41" s="181"/>
      <c r="AJ41" s="25"/>
      <c r="AK41" s="187" t="b">
        <v>0</v>
      </c>
      <c r="AL41" s="9"/>
      <c r="AM41" s="556">
        <f>IFERROR(IF($AQ41="",AO41,IF($AS41="",(VLOOKUP($AU41,StackingEffects,2,FALSE)*AT41),(VLOOKUP($AS41,StackingEffects,2,FALSE)*AR41))),0)</f>
        <v>0</v>
      </c>
      <c r="AN41" s="556">
        <f>IFERROR(IF($AQ41="",AP41,IF($AS41="",(VLOOKUP($AU41,StackingEffects,2,FALSE)*AP41),(VLOOKUP($AS41,StackingEffects,2,FALSE)*AP41))),0)</f>
        <v>0</v>
      </c>
      <c r="AO41" s="556">
        <f>IF(AF41="Chk Box",0,IF(AF41&gt;1,X41*28,0))</f>
        <v>0</v>
      </c>
      <c r="AP41" s="556">
        <f>IF(AF41="Chk Box",0,IF(AF41&gt;1,X41*0.0036,0))</f>
        <v>0</v>
      </c>
      <c r="AQ41" s="395" t="s">
        <v>2494</v>
      </c>
      <c r="AR41" s="395">
        <f t="shared" ref="AR41" si="10">IF($AQ41="LIGHTING",$AO41,0)</f>
        <v>0</v>
      </c>
      <c r="AS41" s="395" t="str">
        <f>IF($AR41=0,"",_xlfn.RANK.EQ($AR41,$AR$34:$AR$41,0))</f>
        <v/>
      </c>
      <c r="AT41" s="395">
        <f t="shared" ref="AT41" si="11">IF($AQ41="HVAC",$AO41,0)</f>
        <v>0</v>
      </c>
      <c r="AU41" s="395" t="str">
        <f>IF($AT41=0,"",_xlfn.RANK.EQ($AT41,$AT$34:$AT$84,0))</f>
        <v/>
      </c>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686"/>
      <c r="CB41" s="686"/>
      <c r="CC41" s="686"/>
      <c r="CD41" s="686"/>
      <c r="CE41" s="686"/>
      <c r="CF41" s="686"/>
      <c r="CG41" s="686"/>
      <c r="CH41" s="686"/>
      <c r="CI41" s="686"/>
      <c r="CJ41" s="686"/>
      <c r="CK41" s="686"/>
      <c r="CL41" s="686"/>
      <c r="CM41" s="686"/>
      <c r="CN41" s="686"/>
      <c r="CO41" s="686"/>
      <c r="CP41" s="686"/>
      <c r="CQ41" s="686"/>
      <c r="CR41" s="686"/>
      <c r="CS41" s="686"/>
      <c r="CT41" s="686"/>
      <c r="CU41" s="686"/>
      <c r="CV41" s="686"/>
      <c r="CW41" s="686"/>
      <c r="CX41" s="686"/>
      <c r="CY41" s="686"/>
      <c r="CZ41" s="686"/>
      <c r="DA41" s="686"/>
      <c r="DB41" s="686"/>
      <c r="DC41" s="686"/>
    </row>
    <row r="42" spans="1:266" ht="12.75" customHeight="1">
      <c r="A42" s="25"/>
      <c r="B42" s="186"/>
      <c r="C42" s="387"/>
      <c r="D42" s="387"/>
      <c r="E42" s="387"/>
      <c r="F42" s="387"/>
      <c r="G42" s="387"/>
      <c r="H42" s="387"/>
      <c r="I42" s="167"/>
      <c r="J42" s="167"/>
      <c r="K42" s="167"/>
      <c r="L42" s="167"/>
      <c r="M42" s="167"/>
      <c r="N42" s="167"/>
      <c r="O42" s="386"/>
      <c r="P42" s="386"/>
      <c r="Q42" s="167"/>
      <c r="R42" s="167"/>
      <c r="S42" s="167"/>
      <c r="T42" s="167"/>
      <c r="U42" s="167"/>
      <c r="V42" s="167"/>
      <c r="W42" s="167"/>
      <c r="X42" s="167"/>
      <c r="Y42" s="167"/>
      <c r="Z42" s="167"/>
      <c r="AA42" s="167"/>
      <c r="AB42" s="167"/>
      <c r="AC42" s="167"/>
      <c r="AD42" s="167"/>
      <c r="AE42" s="167"/>
      <c r="AF42" s="167"/>
      <c r="AG42" s="167"/>
      <c r="AH42" s="167"/>
      <c r="AI42" s="558"/>
      <c r="AJ42" s="25"/>
      <c r="AM42" s="10"/>
      <c r="AN42" s="10"/>
      <c r="AO42" s="10"/>
      <c r="AP42" s="10"/>
      <c r="AQ42" s="10"/>
      <c r="AR42" s="10"/>
      <c r="AS42" s="10"/>
      <c r="AT42" s="10"/>
      <c r="AU42" s="10"/>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row>
    <row r="43" spans="1:266" s="5" customFormat="1" ht="22.5" customHeight="1">
      <c r="A43" s="25"/>
      <c r="B43" s="869" t="s">
        <v>2551</v>
      </c>
      <c r="C43" s="869"/>
      <c r="D43" s="869"/>
      <c r="E43" s="869"/>
      <c r="F43" s="869"/>
      <c r="G43" s="869"/>
      <c r="H43" s="869"/>
      <c r="I43" s="869"/>
      <c r="J43" s="869"/>
      <c r="K43" s="869"/>
      <c r="L43" s="869"/>
      <c r="M43" s="869"/>
      <c r="N43" s="869"/>
      <c r="O43" s="869"/>
      <c r="P43" s="869"/>
      <c r="Q43" s="869"/>
      <c r="R43" s="869"/>
      <c r="S43" s="869"/>
      <c r="T43" s="869"/>
      <c r="U43" s="869"/>
      <c r="V43" s="869"/>
      <c r="W43" s="869"/>
      <c r="X43" s="869"/>
      <c r="Y43" s="869"/>
      <c r="Z43" s="869"/>
      <c r="AA43" s="869"/>
      <c r="AB43" s="869"/>
      <c r="AC43" s="869"/>
      <c r="AD43" s="869"/>
      <c r="AE43" s="869"/>
      <c r="AF43" s="869"/>
      <c r="AG43" s="869"/>
      <c r="AH43" s="869"/>
      <c r="AI43" s="869"/>
      <c r="AJ43" s="25"/>
      <c r="AK43" s="9"/>
      <c r="AL43" s="9"/>
      <c r="AM43" s="10"/>
      <c r="AN43" s="10"/>
      <c r="AO43" s="10"/>
      <c r="AP43" s="10"/>
      <c r="AQ43" s="10"/>
      <c r="AR43" s="10"/>
      <c r="AS43" s="10"/>
      <c r="AT43" s="10"/>
      <c r="AU43" s="10"/>
      <c r="AV43" s="98"/>
      <c r="AW43" s="98"/>
      <c r="AX43" s="98"/>
      <c r="AY43" s="98"/>
      <c r="AZ43" s="98"/>
      <c r="BA43" s="98"/>
      <c r="BB43" s="98"/>
      <c r="BC43" s="98"/>
      <c r="BD43" s="98"/>
      <c r="BE43" s="98"/>
      <c r="BF43" s="98"/>
      <c r="BG43" s="98"/>
      <c r="BH43" s="98"/>
      <c r="BI43" s="98"/>
      <c r="BJ43" s="98"/>
      <c r="BK43" s="98"/>
      <c r="BL43" s="98"/>
      <c r="BM43" s="98"/>
      <c r="BN43" s="98"/>
      <c r="BO43" s="98"/>
      <c r="BP43" s="98"/>
      <c r="BQ43" s="98"/>
      <c r="BR43" s="94"/>
      <c r="BS43" s="98"/>
      <c r="BT43" s="98"/>
      <c r="BU43" s="98"/>
      <c r="BV43" s="98"/>
      <c r="BW43" s="98"/>
      <c r="BX43" s="98"/>
      <c r="BY43" s="98"/>
      <c r="BZ43" s="98"/>
      <c r="CA43" s="686"/>
      <c r="CB43" s="686"/>
      <c r="CC43" s="686"/>
      <c r="CD43" s="686"/>
      <c r="CE43" s="686"/>
      <c r="CF43" s="686"/>
      <c r="CG43" s="686"/>
      <c r="CH43" s="686"/>
      <c r="CI43" s="686"/>
      <c r="CJ43" s="686"/>
      <c r="CK43" s="686"/>
      <c r="CL43" s="686"/>
      <c r="CM43" s="686"/>
      <c r="CN43" s="686"/>
      <c r="CO43" s="686"/>
      <c r="CP43" s="686"/>
      <c r="CQ43" s="686"/>
      <c r="CR43" s="686"/>
      <c r="CS43" s="686"/>
      <c r="CT43" s="686"/>
      <c r="CU43" s="686"/>
      <c r="CV43" s="686"/>
      <c r="CW43" s="686"/>
      <c r="CX43" s="686"/>
      <c r="CY43" s="686"/>
      <c r="CZ43" s="686"/>
      <c r="DA43" s="686"/>
      <c r="DB43" s="686"/>
      <c r="DC43" s="686"/>
    </row>
    <row r="44" spans="1:266" ht="12.75" customHeight="1">
      <c r="A44" s="25"/>
      <c r="B44" s="870"/>
      <c r="C44" s="870"/>
      <c r="D44" s="870"/>
      <c r="E44" s="870"/>
      <c r="F44" s="870"/>
      <c r="G44" s="870"/>
      <c r="H44" s="870"/>
      <c r="I44" s="870"/>
      <c r="J44" s="870"/>
      <c r="K44" s="870"/>
      <c r="L44" s="870"/>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25"/>
      <c r="AK44" s="407"/>
      <c r="AL44" s="9"/>
      <c r="AM44" s="10"/>
      <c r="AN44" s="10"/>
      <c r="AO44" s="10"/>
      <c r="AP44" s="10"/>
      <c r="AQ44" s="10"/>
      <c r="AR44" s="10"/>
      <c r="AS44" s="10"/>
      <c r="AT44" s="10"/>
      <c r="AU44" s="10"/>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row>
    <row r="45" spans="1:266" s="5" customFormat="1" ht="15" customHeight="1">
      <c r="A45" s="25"/>
      <c r="B45" s="402"/>
      <c r="C45" s="402"/>
      <c r="D45" s="402"/>
      <c r="E45" s="402"/>
      <c r="F45" s="402"/>
      <c r="G45" s="402"/>
      <c r="H45" s="402"/>
      <c r="I45" s="402"/>
      <c r="J45" s="402"/>
      <c r="K45" s="402"/>
      <c r="L45" s="402"/>
      <c r="M45" s="402"/>
      <c r="N45" s="402"/>
      <c r="O45" s="402"/>
      <c r="P45" s="402"/>
      <c r="Q45" s="402"/>
      <c r="R45" s="402"/>
      <c r="S45" s="402"/>
      <c r="T45" s="402"/>
      <c r="U45" s="402"/>
      <c r="V45" s="402"/>
      <c r="W45" s="402"/>
      <c r="X45" s="402"/>
      <c r="Y45" s="402"/>
      <c r="Z45" s="402"/>
      <c r="AA45" s="402"/>
      <c r="AB45" s="402"/>
      <c r="AC45" s="402"/>
      <c r="AD45" s="402"/>
      <c r="AE45" s="402"/>
      <c r="AF45" s="402"/>
      <c r="AG45" s="402"/>
      <c r="AH45" s="402"/>
      <c r="AI45" s="402"/>
      <c r="AJ45" s="25"/>
      <c r="AK45" s="407"/>
      <c r="AL45" s="9"/>
      <c r="AM45" s="10"/>
      <c r="AN45" s="10"/>
      <c r="AO45" s="10"/>
      <c r="AP45" s="10"/>
      <c r="AQ45" s="10"/>
      <c r="AR45" s="10"/>
      <c r="AS45" s="10"/>
      <c r="AT45" s="10"/>
      <c r="AU45" s="10"/>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686"/>
      <c r="CB45" s="686"/>
      <c r="CC45" s="686"/>
      <c r="CD45" s="686"/>
      <c r="CE45" s="686"/>
      <c r="CF45" s="686"/>
      <c r="CG45" s="686"/>
      <c r="CH45" s="686"/>
      <c r="CI45" s="686"/>
      <c r="CJ45" s="686"/>
      <c r="CK45" s="686"/>
      <c r="CL45" s="686"/>
      <c r="CM45" s="686"/>
      <c r="CN45" s="686"/>
      <c r="CO45" s="686"/>
      <c r="CP45" s="686"/>
      <c r="CQ45" s="686"/>
      <c r="CR45" s="686"/>
      <c r="CS45" s="686"/>
      <c r="CT45" s="686"/>
      <c r="CU45" s="686"/>
      <c r="CV45" s="686"/>
      <c r="CW45" s="686"/>
      <c r="CX45" s="686"/>
      <c r="CY45" s="686"/>
      <c r="CZ45" s="686"/>
      <c r="DA45" s="686"/>
      <c r="DB45" s="686"/>
      <c r="DC45" s="686"/>
    </row>
    <row r="46" spans="1:266" ht="12.75" customHeight="1">
      <c r="A46" s="25"/>
      <c r="B46" s="402"/>
      <c r="C46" s="402"/>
      <c r="D46" s="402"/>
      <c r="E46" s="402"/>
      <c r="F46" s="402"/>
      <c r="G46" s="402"/>
      <c r="H46" s="402"/>
      <c r="I46" s="402"/>
      <c r="J46" s="402"/>
      <c r="K46" s="402"/>
      <c r="L46" s="402"/>
      <c r="M46" s="402"/>
      <c r="N46" s="402"/>
      <c r="O46" s="402"/>
      <c r="P46" s="402"/>
      <c r="Q46" s="402"/>
      <c r="R46" s="402"/>
      <c r="S46" s="402"/>
      <c r="T46" s="402"/>
      <c r="U46" s="402"/>
      <c r="V46" s="402"/>
      <c r="W46" s="402"/>
      <c r="X46" s="402"/>
      <c r="Y46" s="402"/>
      <c r="Z46" s="402"/>
      <c r="AA46" s="402"/>
      <c r="AB46" s="402"/>
      <c r="AC46" s="402"/>
      <c r="AD46" s="402"/>
      <c r="AE46" s="402"/>
      <c r="AF46" s="402"/>
      <c r="AG46" s="402"/>
      <c r="AH46" s="402"/>
      <c r="AI46" s="402"/>
      <c r="AJ46" s="25"/>
      <c r="AK46" s="407"/>
      <c r="AL46" s="9"/>
      <c r="AM46" s="10"/>
      <c r="AN46" s="10"/>
      <c r="AO46" s="10"/>
      <c r="AP46" s="10"/>
      <c r="AQ46" s="10"/>
      <c r="AR46" s="10"/>
      <c r="AS46" s="10"/>
      <c r="AT46" s="10"/>
      <c r="AU46" s="10"/>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Y46" s="686"/>
      <c r="CZ46" s="686"/>
      <c r="DA46" s="686"/>
      <c r="DB46" s="686"/>
      <c r="DC46" s="686"/>
    </row>
    <row r="47" spans="1:266" s="5" customFormat="1" ht="15" customHeight="1">
      <c r="A47" s="25"/>
      <c r="B47" s="41" t="s">
        <v>2552</v>
      </c>
      <c r="C47" s="31"/>
      <c r="D47" s="31"/>
      <c r="E47" s="31"/>
      <c r="F47" s="31"/>
      <c r="G47" s="31"/>
      <c r="H47" s="31"/>
      <c r="I47" s="31"/>
      <c r="J47" s="31"/>
      <c r="K47" s="31"/>
      <c r="L47" s="31"/>
      <c r="M47" s="31"/>
      <c r="N47" s="31"/>
      <c r="O47" s="31"/>
      <c r="P47" s="31"/>
      <c r="Q47" s="31"/>
      <c r="R47" s="31"/>
      <c r="S47" s="31"/>
      <c r="T47" s="43"/>
      <c r="U47" s="31"/>
      <c r="V47" s="168"/>
      <c r="W47" s="168"/>
      <c r="X47" s="168"/>
      <c r="Y47" s="168"/>
      <c r="Z47" s="168"/>
      <c r="AA47" s="168"/>
      <c r="AB47" s="168"/>
      <c r="AC47" s="168"/>
      <c r="AD47" s="31"/>
      <c r="AE47" s="31"/>
      <c r="AF47" s="42"/>
      <c r="AG47" s="31"/>
      <c r="AH47" s="42"/>
      <c r="AI47" s="31"/>
      <c r="AJ47" s="25"/>
      <c r="AK47" s="9"/>
      <c r="AL47" s="9"/>
      <c r="AM47" s="847" t="s">
        <v>2481</v>
      </c>
      <c r="AN47" s="847"/>
      <c r="AO47" s="736" t="s">
        <v>2482</v>
      </c>
      <c r="AP47" s="736"/>
      <c r="AQ47" s="736"/>
      <c r="AR47" s="736"/>
      <c r="AS47" s="736"/>
      <c r="AT47" s="736"/>
      <c r="AU47" s="736"/>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686"/>
      <c r="CB47" s="686"/>
      <c r="CC47" s="686"/>
      <c r="CD47" s="686"/>
      <c r="CE47" s="686"/>
      <c r="CF47" s="686"/>
      <c r="CG47" s="686"/>
      <c r="CH47" s="686"/>
      <c r="CI47" s="686"/>
      <c r="CJ47" s="686"/>
      <c r="CK47" s="686"/>
      <c r="CL47" s="686"/>
      <c r="CM47" s="686"/>
      <c r="CN47" s="686"/>
      <c r="CO47" s="686"/>
      <c r="CP47" s="686"/>
      <c r="CQ47" s="686"/>
      <c r="CR47" s="686"/>
      <c r="CS47" s="686"/>
      <c r="CT47" s="686"/>
      <c r="CU47" s="686"/>
      <c r="CV47" s="686"/>
      <c r="CW47" s="686"/>
      <c r="CX47" s="686"/>
      <c r="CY47" s="686"/>
      <c r="CZ47" s="686"/>
      <c r="DA47" s="686"/>
      <c r="DB47" s="686"/>
      <c r="DC47" s="686"/>
    </row>
    <row r="48" spans="1:266" s="5" customFormat="1">
      <c r="A48" s="25"/>
      <c r="B48" s="179"/>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356" t="s">
        <v>2483</v>
      </c>
      <c r="AG48" s="356"/>
      <c r="AH48" s="356"/>
      <c r="AI48" s="577"/>
      <c r="AJ48" s="25"/>
      <c r="AK48" s="8"/>
      <c r="AL48" s="8"/>
      <c r="AM48" s="10" t="s">
        <v>2484</v>
      </c>
      <c r="AN48" s="10" t="s">
        <v>2485</v>
      </c>
      <c r="AO48" s="10" t="s">
        <v>2486</v>
      </c>
      <c r="AP48" s="10" t="s">
        <v>2487</v>
      </c>
      <c r="AQ48" s="10" t="s">
        <v>2488</v>
      </c>
      <c r="AR48" s="10"/>
      <c r="AS48" s="10"/>
      <c r="AT48" s="10" t="s">
        <v>2532</v>
      </c>
      <c r="AU48" s="10" t="s">
        <v>2490</v>
      </c>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686"/>
      <c r="CB48" s="686"/>
      <c r="CC48" s="686"/>
      <c r="CD48" s="686"/>
      <c r="CE48" s="686"/>
      <c r="CF48" s="686"/>
      <c r="CG48" s="686"/>
      <c r="CH48" s="686"/>
      <c r="CI48" s="686"/>
      <c r="CJ48" s="686"/>
      <c r="CK48" s="686"/>
      <c r="CL48" s="686"/>
      <c r="CM48" s="686"/>
      <c r="CN48" s="686"/>
      <c r="CO48" s="686"/>
      <c r="CP48" s="686"/>
      <c r="CQ48" s="686"/>
      <c r="CR48" s="686"/>
      <c r="CS48" s="686"/>
      <c r="CT48" s="686"/>
      <c r="CU48" s="686"/>
      <c r="CV48" s="686"/>
      <c r="CW48" s="686"/>
      <c r="CX48" s="686"/>
      <c r="CY48" s="686"/>
      <c r="CZ48" s="686"/>
      <c r="DA48" s="686"/>
      <c r="DB48" s="686"/>
      <c r="DC48" s="686"/>
    </row>
    <row r="49" spans="1:266">
      <c r="A49" s="25"/>
      <c r="B49" s="555"/>
      <c r="C49" s="157" t="s">
        <v>2553</v>
      </c>
      <c r="D49" s="157"/>
      <c r="E49" s="157"/>
      <c r="F49" s="333"/>
      <c r="G49" s="157"/>
      <c r="H49" s="50"/>
      <c r="I49" s="420"/>
      <c r="J49" s="420"/>
      <c r="K49" s="868" t="s">
        <v>2492</v>
      </c>
      <c r="L49" s="868"/>
      <c r="M49" s="868"/>
      <c r="N49" s="868"/>
      <c r="O49" s="868"/>
      <c r="P49" s="868"/>
      <c r="Q49" s="868"/>
      <c r="R49" s="25"/>
      <c r="S49" s="25"/>
      <c r="T49" s="25"/>
      <c r="U49" s="25"/>
      <c r="V49" s="25"/>
      <c r="W49" s="25"/>
      <c r="X49" s="25"/>
      <c r="Y49" s="25"/>
      <c r="Z49" s="168"/>
      <c r="AA49" s="168"/>
      <c r="AB49" s="168"/>
      <c r="AC49" s="168"/>
      <c r="AD49" s="185" t="s">
        <v>2554</v>
      </c>
      <c r="AE49" s="371" t="s">
        <v>142</v>
      </c>
      <c r="AF49" s="855" t="str">
        <f>IF(AK49=FALSE,IF(AND('NC HVAC Worksheet'!BM78&gt;1,'NC HVAC Worksheet'!BH108&lt;&gt;""),"Chk Box",""),'NC HVAC Worksheet'!BH108)</f>
        <v/>
      </c>
      <c r="AG49" s="855"/>
      <c r="AH49" s="855"/>
      <c r="AI49" s="181"/>
      <c r="AJ49" s="25"/>
      <c r="AK49" s="187" t="b">
        <v>0</v>
      </c>
      <c r="AL49" s="9"/>
      <c r="AM49" s="187">
        <f t="shared" ref="AM49:AM57" si="12">IFERROR(IF($AQ49="",AO49,IF($AS49="",(VLOOKUP($AU49,StackingEffects,2,FALSE)*AT49),(VLOOKUP($AS49,StackingEffects,2,FALSE)*AR49))),0)</f>
        <v>0</v>
      </c>
      <c r="AN49" s="187">
        <f t="shared" ref="AN49:AN57" si="13">IFERROR(IF($AQ49="",AP49,IF($AS49="",(VLOOKUP($AU49,StackingEffects,2,FALSE)*AP49),(VLOOKUP($AS49,StackingEffects,2,FALSE)*AP49))),0)</f>
        <v>0</v>
      </c>
      <c r="AO49" s="187">
        <f>IF(AF49="Chk Box",0,'NC HVAC Worksheet'!BV108)</f>
        <v>0</v>
      </c>
      <c r="AP49" s="187">
        <f>IF(AF49="Chk Box",0,'NC HVAC Worksheet'!BW108)</f>
        <v>0</v>
      </c>
      <c r="AQ49" s="396" t="s">
        <v>2494</v>
      </c>
      <c r="AR49" s="396"/>
      <c r="AS49" s="396"/>
      <c r="AT49" s="396">
        <f t="shared" ref="AT49:AT55" si="14">IF($AQ49="HVAC",$AO49,0)</f>
        <v>0</v>
      </c>
      <c r="AU49" s="396" t="str">
        <f t="shared" ref="AU49:AU55" si="15">IF($AT49=0,"",_xlfn.RANK.EQ($AT49,$AT$34:$AT$84,0))</f>
        <v/>
      </c>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Y49" s="686"/>
      <c r="CZ49" s="686"/>
      <c r="DA49" s="686"/>
      <c r="DB49" s="686"/>
      <c r="DC49" s="686"/>
    </row>
    <row r="50" spans="1:266" ht="12.75" hidden="1" customHeight="1">
      <c r="A50" s="25"/>
      <c r="B50" s="555"/>
      <c r="C50" s="560" t="s">
        <v>2555</v>
      </c>
      <c r="D50" s="159"/>
      <c r="E50" s="159"/>
      <c r="F50" s="159"/>
      <c r="G50" s="25"/>
      <c r="H50" s="50"/>
      <c r="I50" s="420"/>
      <c r="J50" s="420"/>
      <c r="K50" s="868" t="s">
        <v>2556</v>
      </c>
      <c r="L50" s="868"/>
      <c r="M50" s="868"/>
      <c r="N50" s="868"/>
      <c r="O50" s="868"/>
      <c r="P50" s="868"/>
      <c r="Q50" s="868"/>
      <c r="R50" s="25"/>
      <c r="S50" s="25"/>
      <c r="T50" s="25"/>
      <c r="U50" s="25"/>
      <c r="V50" s="25"/>
      <c r="W50" s="25"/>
      <c r="X50" s="25"/>
      <c r="Y50" s="25"/>
      <c r="Z50" s="168"/>
      <c r="AA50" s="168"/>
      <c r="AB50" s="168"/>
      <c r="AC50" s="168"/>
      <c r="AD50" s="185" t="s">
        <v>2557</v>
      </c>
      <c r="AE50" s="371" t="s">
        <v>142</v>
      </c>
      <c r="AF50" s="856" t="str">
        <f>IF(AK50=FALSE,IF(AND('NC HVAC Worksheet'!BM113&gt;1,'NC HVAC Worksheet'!BH119&lt;&gt;""),"Chk Box",""),'NC HVAC Worksheet'!BH119)</f>
        <v/>
      </c>
      <c r="AG50" s="856"/>
      <c r="AH50" s="856"/>
      <c r="AI50" s="181"/>
      <c r="AJ50" s="25"/>
      <c r="AK50" s="187" t="b">
        <v>0</v>
      </c>
      <c r="AL50" s="9"/>
      <c r="AM50" s="187">
        <f t="shared" si="12"/>
        <v>0</v>
      </c>
      <c r="AN50" s="187">
        <f t="shared" si="13"/>
        <v>0</v>
      </c>
      <c r="AO50" s="187">
        <f>IF(AF50="Chk Box",0,'NC HVAC Worksheet'!BV119)</f>
        <v>0</v>
      </c>
      <c r="AP50" s="187">
        <f>IF(AF50="Chk Box",0,'NC HVAC Worksheet'!BW119)</f>
        <v>0</v>
      </c>
      <c r="AQ50" s="396" t="s">
        <v>2494</v>
      </c>
      <c r="AR50" s="396"/>
      <c r="AS50" s="396"/>
      <c r="AT50" s="396">
        <f t="shared" si="14"/>
        <v>0</v>
      </c>
      <c r="AU50" s="396" t="str">
        <f t="shared" si="15"/>
        <v/>
      </c>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Y50" s="686"/>
      <c r="CZ50" s="686"/>
      <c r="DA50" s="686"/>
      <c r="DB50" s="686"/>
      <c r="DC50" s="686"/>
    </row>
    <row r="51" spans="1:266" s="5" customFormat="1" ht="15" customHeight="1">
      <c r="A51" s="25"/>
      <c r="B51" s="555"/>
      <c r="C51" s="157" t="s">
        <v>2558</v>
      </c>
      <c r="D51" s="157"/>
      <c r="E51" s="157"/>
      <c r="F51" s="333"/>
      <c r="G51" s="25"/>
      <c r="H51" s="50"/>
      <c r="I51" s="420"/>
      <c r="J51" s="420"/>
      <c r="K51" s="868" t="s">
        <v>2492</v>
      </c>
      <c r="L51" s="868"/>
      <c r="M51" s="868"/>
      <c r="N51" s="868"/>
      <c r="O51" s="868"/>
      <c r="P51" s="868"/>
      <c r="Q51" s="868"/>
      <c r="R51" s="25"/>
      <c r="S51" s="25"/>
      <c r="T51" s="25"/>
      <c r="U51" s="25"/>
      <c r="V51" s="25"/>
      <c r="W51" s="25"/>
      <c r="X51" s="25"/>
      <c r="Y51" s="25"/>
      <c r="Z51" s="168"/>
      <c r="AA51" s="168"/>
      <c r="AB51" s="168"/>
      <c r="AC51" s="168"/>
      <c r="AD51" s="185" t="s">
        <v>2559</v>
      </c>
      <c r="AE51" s="371" t="s">
        <v>142</v>
      </c>
      <c r="AF51" s="856" t="str">
        <f>IF(AK51=FALSE,IF(AND('NC HVAC Worksheet'!BM126&gt;0,'NC HVAC Worksheet'!BH132&lt;&gt;""),IF($AO$1="OR","ID Only","Chk Box"),""),IF($AO$1="OR", "ID Only",'NC HVAC Worksheet'!BH132))</f>
        <v/>
      </c>
      <c r="AG51" s="856"/>
      <c r="AH51" s="856"/>
      <c r="AI51" s="181"/>
      <c r="AJ51" s="25"/>
      <c r="AK51" s="187" t="b">
        <v>0</v>
      </c>
      <c r="AL51" s="9"/>
      <c r="AM51" s="187">
        <f t="shared" si="12"/>
        <v>0</v>
      </c>
      <c r="AN51" s="187">
        <f t="shared" si="13"/>
        <v>0</v>
      </c>
      <c r="AO51" s="187">
        <f>IF(AF51="Chk Box",0,'NC HVAC Worksheet'!BV132)</f>
        <v>0</v>
      </c>
      <c r="AP51" s="187">
        <f>IF(AF51="Chk Box",0,'NC HVAC Worksheet'!BW132)</f>
        <v>0</v>
      </c>
      <c r="AQ51" s="396" t="s">
        <v>2494</v>
      </c>
      <c r="AR51" s="396"/>
      <c r="AS51" s="396"/>
      <c r="AT51" s="396">
        <f t="shared" si="14"/>
        <v>0</v>
      </c>
      <c r="AU51" s="396" t="str">
        <f t="shared" si="15"/>
        <v/>
      </c>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686"/>
      <c r="CB51" s="686"/>
      <c r="CC51" s="686"/>
      <c r="CD51" s="686"/>
      <c r="CE51" s="686"/>
      <c r="CF51" s="686"/>
      <c r="CG51" s="686"/>
      <c r="CH51" s="686"/>
      <c r="CI51" s="686"/>
      <c r="CJ51" s="686"/>
      <c r="CK51" s="686"/>
      <c r="CL51" s="686"/>
      <c r="CM51" s="686"/>
      <c r="CN51" s="686"/>
      <c r="CO51" s="686"/>
      <c r="CP51" s="686"/>
      <c r="CQ51" s="686"/>
      <c r="CR51" s="686"/>
      <c r="CS51" s="686"/>
      <c r="CT51" s="686"/>
      <c r="CU51" s="686"/>
      <c r="CV51" s="686"/>
      <c r="CW51" s="686"/>
      <c r="CX51" s="686"/>
      <c r="CY51" s="686"/>
      <c r="CZ51" s="686"/>
      <c r="DA51" s="686"/>
      <c r="DB51" s="686"/>
      <c r="DC51" s="686"/>
    </row>
    <row r="52" spans="1:266" ht="12.75" customHeight="1">
      <c r="A52" s="25"/>
      <c r="B52" s="555"/>
      <c r="C52" s="332" t="s">
        <v>2560</v>
      </c>
      <c r="D52" s="157"/>
      <c r="E52" s="157"/>
      <c r="F52" s="25"/>
      <c r="G52" s="25"/>
      <c r="H52" s="50"/>
      <c r="I52" s="25"/>
      <c r="J52" s="25"/>
      <c r="K52" s="25"/>
      <c r="L52" s="25"/>
      <c r="M52" s="25"/>
      <c r="N52" s="25"/>
      <c r="O52" s="25"/>
      <c r="P52" s="25"/>
      <c r="Q52" s="25"/>
      <c r="R52" s="25"/>
      <c r="S52" s="25"/>
      <c r="T52" s="43"/>
      <c r="U52" s="185"/>
      <c r="V52" s="158" t="s">
        <v>2561</v>
      </c>
      <c r="W52" s="850"/>
      <c r="X52" s="851"/>
      <c r="Y52" s="159" t="s">
        <v>2562</v>
      </c>
      <c r="Z52" s="168"/>
      <c r="AA52" s="168"/>
      <c r="AB52" s="168"/>
      <c r="AC52" s="168"/>
      <c r="AD52" s="185" t="s">
        <v>2563</v>
      </c>
      <c r="AE52" s="371" t="s">
        <v>142</v>
      </c>
      <c r="AF52" s="856" t="str">
        <f>IF(AK52=FALSE,IF(W52="","","Chk Box"),IF(W52="",0,W52*75))</f>
        <v/>
      </c>
      <c r="AG52" s="856"/>
      <c r="AH52" s="856"/>
      <c r="AI52" s="181"/>
      <c r="AJ52" s="25"/>
      <c r="AK52" s="187" t="b">
        <v>0</v>
      </c>
      <c r="AL52" s="9"/>
      <c r="AM52" s="556">
        <f t="shared" si="12"/>
        <v>0</v>
      </c>
      <c r="AN52" s="556">
        <f t="shared" si="13"/>
        <v>0</v>
      </c>
      <c r="AO52" s="556">
        <f>IF(AF52="Chk Box",0,IF(AF52&gt;1,W52*197,0))</f>
        <v>0</v>
      </c>
      <c r="AP52" s="556">
        <f>IF(AF52="Chk Box",0,IF(AF52&gt;1,W52*0.0059,0))</f>
        <v>0</v>
      </c>
      <c r="AQ52" s="395" t="s">
        <v>2494</v>
      </c>
      <c r="AR52" s="395"/>
      <c r="AS52" s="395"/>
      <c r="AT52" s="395">
        <f>IF($AQ52="HVAC",$AO52,0)</f>
        <v>0</v>
      </c>
      <c r="AU52" s="395" t="str">
        <f t="shared" si="15"/>
        <v/>
      </c>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row>
    <row r="53" spans="1:266" s="5" customFormat="1" ht="15" hidden="1" customHeight="1">
      <c r="A53" s="25"/>
      <c r="B53" s="555"/>
      <c r="C53" s="154" t="s">
        <v>2564</v>
      </c>
      <c r="D53" s="157"/>
      <c r="E53" s="157"/>
      <c r="F53" s="25"/>
      <c r="G53" s="25"/>
      <c r="H53" s="50"/>
      <c r="I53" s="25"/>
      <c r="J53" s="25"/>
      <c r="K53" s="25"/>
      <c r="L53" s="25"/>
      <c r="M53" s="25"/>
      <c r="N53" s="25"/>
      <c r="O53" s="25"/>
      <c r="P53" s="25"/>
      <c r="Q53" s="25"/>
      <c r="R53" s="25"/>
      <c r="S53" s="25"/>
      <c r="T53" s="43"/>
      <c r="U53" s="185"/>
      <c r="V53" s="158" t="s">
        <v>2561</v>
      </c>
      <c r="W53" s="850"/>
      <c r="X53" s="851"/>
      <c r="Y53" s="159" t="s">
        <v>2562</v>
      </c>
      <c r="Z53" s="168"/>
      <c r="AA53" s="168"/>
      <c r="AB53" s="168"/>
      <c r="AC53" s="168"/>
      <c r="AD53" s="185" t="s">
        <v>2565</v>
      </c>
      <c r="AE53" s="371" t="s">
        <v>142</v>
      </c>
      <c r="AF53" s="856" t="str">
        <f>IF(AK53=FALSE,IF(W53="","",IF($AO$1="OR","ID Only","Chk Box")),IF($AO$1="OR","ID Only",IF(W53="",0,W53*50)))</f>
        <v/>
      </c>
      <c r="AG53" s="856"/>
      <c r="AH53" s="856"/>
      <c r="AI53" s="181"/>
      <c r="AJ53" s="25"/>
      <c r="AK53" s="187" t="b">
        <v>0</v>
      </c>
      <c r="AL53" s="9"/>
      <c r="AM53" s="556">
        <f>IFERROR(IF($AQ53="",AO53,IF($AS53="",(VLOOKUP($AU53,StackingEffects,2,FALSE)*AT53),(VLOOKUP($AS53,StackingEffects,2,FALSE)*AR53))),0)</f>
        <v>0</v>
      </c>
      <c r="AN53" s="556">
        <f t="shared" si="13"/>
        <v>0</v>
      </c>
      <c r="AO53" s="556">
        <f>IF(OR(AF53="Chk Box",AF53="ID Only"),0,IF(AF53&gt;1,W53*153,0))</f>
        <v>0</v>
      </c>
      <c r="AP53" s="556">
        <f>IF(AF53="Chk Box",0,IF(AF53&gt;1,W53*0,0))</f>
        <v>0</v>
      </c>
      <c r="AQ53" s="395" t="s">
        <v>2494</v>
      </c>
      <c r="AR53" s="395"/>
      <c r="AS53" s="395"/>
      <c r="AT53" s="395">
        <f t="shared" si="14"/>
        <v>0</v>
      </c>
      <c r="AU53" s="395" t="str">
        <f t="shared" si="15"/>
        <v/>
      </c>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686"/>
      <c r="CB53" s="686"/>
      <c r="CC53" s="686"/>
      <c r="CD53" s="686"/>
      <c r="CE53" s="686"/>
      <c r="CF53" s="686"/>
      <c r="CG53" s="686"/>
      <c r="CH53" s="686"/>
      <c r="CI53" s="686"/>
      <c r="CJ53" s="686"/>
      <c r="CK53" s="686"/>
      <c r="CL53" s="686"/>
      <c r="CM53" s="686"/>
      <c r="CN53" s="686"/>
      <c r="CO53" s="686"/>
      <c r="CP53" s="686"/>
      <c r="CQ53" s="686"/>
      <c r="CR53" s="686"/>
      <c r="CS53" s="686"/>
      <c r="CT53" s="686"/>
      <c r="CU53" s="686"/>
      <c r="CV53" s="686"/>
      <c r="CW53" s="686"/>
      <c r="CX53" s="686"/>
      <c r="CY53" s="686"/>
      <c r="CZ53" s="686"/>
      <c r="DA53" s="686"/>
      <c r="DB53" s="686"/>
      <c r="DC53" s="686"/>
    </row>
    <row r="54" spans="1:266" ht="12.75" hidden="1" customHeight="1">
      <c r="A54" s="25"/>
      <c r="B54" s="555"/>
      <c r="C54" s="332" t="s">
        <v>2566</v>
      </c>
      <c r="D54" s="157"/>
      <c r="E54" s="157"/>
      <c r="F54" s="25"/>
      <c r="G54" s="25"/>
      <c r="H54" s="50"/>
      <c r="I54" s="25"/>
      <c r="J54" s="25"/>
      <c r="K54" s="25"/>
      <c r="L54" s="25"/>
      <c r="M54" s="25"/>
      <c r="N54" s="25"/>
      <c r="O54" s="25"/>
      <c r="P54" s="25"/>
      <c r="Q54" s="25"/>
      <c r="R54" s="25"/>
      <c r="S54" s="25"/>
      <c r="T54" s="43"/>
      <c r="U54" s="185"/>
      <c r="V54" s="158" t="s">
        <v>2561</v>
      </c>
      <c r="W54" s="850"/>
      <c r="X54" s="851"/>
      <c r="Y54" s="159" t="s">
        <v>2562</v>
      </c>
      <c r="Z54" s="168"/>
      <c r="AA54" s="168"/>
      <c r="AB54" s="168"/>
      <c r="AC54" s="168"/>
      <c r="AD54" s="185" t="s">
        <v>2567</v>
      </c>
      <c r="AE54" s="371" t="s">
        <v>142</v>
      </c>
      <c r="AF54" s="856" t="str">
        <f>IF(AK54=FALSE,IF(W54="","",IF($AO$1="OR","ID Only","Chk Box")),IF($AO$1="OR","ID Only",IF(W54="",0,W54*200)))</f>
        <v/>
      </c>
      <c r="AG54" s="856"/>
      <c r="AH54" s="856"/>
      <c r="AI54" s="181"/>
      <c r="AJ54" s="25"/>
      <c r="AK54" s="187" t="b">
        <v>0</v>
      </c>
      <c r="AL54" s="9"/>
      <c r="AM54" s="556">
        <f t="shared" ref="AM54" si="16">IFERROR(IF($AQ54="",AO54,IF($AS54="",(VLOOKUP($AU54,StackingEffects,2,FALSE)*AT54),(VLOOKUP($AS54,StackingEffects,2,FALSE)*AR54))),0)</f>
        <v>0</v>
      </c>
      <c r="AN54" s="556">
        <f t="shared" si="13"/>
        <v>0</v>
      </c>
      <c r="AO54" s="556">
        <f>IF(OR(AF54="Chk Box",AF54="ID Only"),0,IF(AF54&gt;1,W54*315,0))</f>
        <v>0</v>
      </c>
      <c r="AP54" s="556">
        <f>IF(AF54="Chk Box",0,IF(AF54&gt;1,W54*0.23,0))</f>
        <v>0</v>
      </c>
      <c r="AQ54" s="395" t="s">
        <v>2494</v>
      </c>
      <c r="AR54" s="395"/>
      <c r="AS54" s="395"/>
      <c r="AT54" s="395">
        <f t="shared" si="14"/>
        <v>0</v>
      </c>
      <c r="AU54" s="395" t="str">
        <f t="shared" si="15"/>
        <v/>
      </c>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row>
    <row r="55" spans="1:266" s="5" customFormat="1" ht="15" hidden="1" customHeight="1">
      <c r="A55" s="25"/>
      <c r="B55" s="555"/>
      <c r="C55" s="332" t="s">
        <v>2568</v>
      </c>
      <c r="D55" s="157"/>
      <c r="E55" s="157"/>
      <c r="F55" s="25"/>
      <c r="G55" s="25"/>
      <c r="H55" s="50"/>
      <c r="I55" s="25"/>
      <c r="J55" s="25"/>
      <c r="K55" s="25"/>
      <c r="L55" s="25"/>
      <c r="M55" s="25"/>
      <c r="N55" s="25"/>
      <c r="O55" s="25"/>
      <c r="P55" s="25"/>
      <c r="Q55" s="25"/>
      <c r="R55" s="25"/>
      <c r="S55" s="25"/>
      <c r="T55" s="43"/>
      <c r="U55" s="185"/>
      <c r="V55" s="158" t="s">
        <v>2561</v>
      </c>
      <c r="W55" s="850"/>
      <c r="X55" s="851"/>
      <c r="Y55" s="159" t="s">
        <v>2562</v>
      </c>
      <c r="Z55" s="168"/>
      <c r="AA55" s="168"/>
      <c r="AB55" s="168"/>
      <c r="AC55" s="168"/>
      <c r="AD55" s="185" t="s">
        <v>2569</v>
      </c>
      <c r="AE55" s="371" t="s">
        <v>142</v>
      </c>
      <c r="AF55" s="856" t="str">
        <f>IF(AK55=FALSE,IF(W55="","",IF($AO$1="OR","ID Only","Chk Box")),IF($AO$1="OR","ID Only",IF(W55="",0,W55*130)))</f>
        <v/>
      </c>
      <c r="AG55" s="856"/>
      <c r="AH55" s="856"/>
      <c r="AI55" s="181"/>
      <c r="AJ55" s="25"/>
      <c r="AK55" s="187" t="b">
        <v>0</v>
      </c>
      <c r="AL55" s="9"/>
      <c r="AM55" s="556">
        <f t="shared" si="12"/>
        <v>0</v>
      </c>
      <c r="AN55" s="556">
        <f t="shared" si="13"/>
        <v>0</v>
      </c>
      <c r="AO55" s="556">
        <f>IF(OR(AF55="Chk Box",AF55="ID Only"),0,IF(AF55&gt;1,W55*225,0))</f>
        <v>0</v>
      </c>
      <c r="AP55" s="556">
        <f>IF(AF55="Chk Box",0,IF(AF55&gt;1,W55*0.2,0))</f>
        <v>0</v>
      </c>
      <c r="AQ55" s="395" t="s">
        <v>2494</v>
      </c>
      <c r="AR55" s="395"/>
      <c r="AS55" s="395"/>
      <c r="AT55" s="395">
        <f t="shared" si="14"/>
        <v>0</v>
      </c>
      <c r="AU55" s="395" t="str">
        <f t="shared" si="15"/>
        <v/>
      </c>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686"/>
      <c r="CB55" s="686"/>
      <c r="CC55" s="686"/>
      <c r="CD55" s="686"/>
      <c r="CE55" s="686"/>
      <c r="CF55" s="686"/>
      <c r="CG55" s="686"/>
      <c r="CH55" s="686"/>
      <c r="CI55" s="686"/>
      <c r="CJ55" s="686"/>
      <c r="CK55" s="686"/>
      <c r="CL55" s="686"/>
      <c r="CM55" s="686"/>
      <c r="CN55" s="686"/>
      <c r="CO55" s="686"/>
      <c r="CP55" s="686"/>
      <c r="CQ55" s="686"/>
      <c r="CR55" s="686"/>
      <c r="CS55" s="686"/>
      <c r="CT55" s="686"/>
      <c r="CU55" s="686"/>
      <c r="CV55" s="686"/>
      <c r="CW55" s="686"/>
      <c r="CX55" s="686"/>
      <c r="CY55" s="686"/>
      <c r="CZ55" s="686"/>
      <c r="DA55" s="686"/>
      <c r="DB55" s="686"/>
      <c r="DC55" s="686"/>
    </row>
    <row r="56" spans="1:266" ht="12.75" customHeight="1">
      <c r="A56" s="25"/>
      <c r="B56" s="555"/>
      <c r="C56" s="332" t="s">
        <v>2570</v>
      </c>
      <c r="D56" s="157"/>
      <c r="E56" s="157"/>
      <c r="F56" s="25"/>
      <c r="G56" s="25"/>
      <c r="H56" s="50"/>
      <c r="I56" s="25"/>
      <c r="J56" s="25"/>
      <c r="K56" s="25"/>
      <c r="L56" s="25"/>
      <c r="M56" s="25"/>
      <c r="N56" s="25"/>
      <c r="O56" s="25"/>
      <c r="P56" s="25"/>
      <c r="Q56" s="25"/>
      <c r="R56" s="25"/>
      <c r="S56" s="25"/>
      <c r="T56" s="43"/>
      <c r="U56" s="185"/>
      <c r="V56" s="158" t="s">
        <v>2547</v>
      </c>
      <c r="W56" s="850"/>
      <c r="X56" s="851"/>
      <c r="Y56" s="159" t="s">
        <v>2571</v>
      </c>
      <c r="Z56" s="168"/>
      <c r="AA56" s="168"/>
      <c r="AB56" s="168"/>
      <c r="AC56" s="168"/>
      <c r="AD56" s="185" t="s">
        <v>2572</v>
      </c>
      <c r="AE56" s="371" t="s">
        <v>142</v>
      </c>
      <c r="AF56" s="856" t="str">
        <f>IF(AK56=FALSE,IF(W56="","","Chk Box"),IF(W56="",0,W56*2000))</f>
        <v/>
      </c>
      <c r="AG56" s="856"/>
      <c r="AH56" s="856"/>
      <c r="AI56" s="181"/>
      <c r="AJ56" s="25"/>
      <c r="AK56" s="187" t="b">
        <v>0</v>
      </c>
      <c r="AL56" s="9"/>
      <c r="AM56" s="556">
        <f t="shared" si="12"/>
        <v>0</v>
      </c>
      <c r="AN56" s="556">
        <f t="shared" si="13"/>
        <v>0</v>
      </c>
      <c r="AO56" s="556">
        <f>IF(AF56="Chk Box",0,IF(AF56&gt;1,W56*16732.5,0))</f>
        <v>0</v>
      </c>
      <c r="AP56" s="556">
        <f>IF(AF56="Chk Box",0,IF(AF56&gt;1,W56*4.395,0))</f>
        <v>0</v>
      </c>
      <c r="AQ56" s="400"/>
      <c r="AR56" s="400"/>
      <c r="AS56" s="400"/>
      <c r="AT56" s="400"/>
      <c r="AU56" s="400" t="str">
        <f>IF($AT56=0,"",_xlfn.RANK.EQ($AT56,$AT$34:$AT$70,0))</f>
        <v/>
      </c>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row>
    <row r="57" spans="1:266" s="5" customFormat="1" ht="15" hidden="1" customHeight="1">
      <c r="A57" s="25"/>
      <c r="B57" s="555"/>
      <c r="C57" s="561" t="s">
        <v>2573</v>
      </c>
      <c r="D57" s="157"/>
      <c r="E57" s="157"/>
      <c r="F57" s="25"/>
      <c r="G57" s="25"/>
      <c r="H57" s="50"/>
      <c r="I57" s="25"/>
      <c r="J57" s="25"/>
      <c r="K57" s="25"/>
      <c r="L57" s="25"/>
      <c r="M57" s="25"/>
      <c r="N57" s="25"/>
      <c r="O57" s="25"/>
      <c r="P57" s="25"/>
      <c r="Q57" s="25"/>
      <c r="R57" s="25"/>
      <c r="S57" s="25"/>
      <c r="T57" s="43"/>
      <c r="U57" s="185"/>
      <c r="V57" s="158" t="s">
        <v>2561</v>
      </c>
      <c r="W57" s="850"/>
      <c r="X57" s="851"/>
      <c r="Y57" s="159" t="s">
        <v>2562</v>
      </c>
      <c r="Z57" s="168"/>
      <c r="AA57" s="168"/>
      <c r="AB57" s="168"/>
      <c r="AC57" s="168"/>
      <c r="AD57" s="185" t="s">
        <v>2574</v>
      </c>
      <c r="AE57" s="371" t="s">
        <v>142</v>
      </c>
      <c r="AF57" s="856" t="str">
        <f>IF(AK57=FALSE,IF(W57="","",IF($AO$1="OR","ID Only","Chk Box")),IF($AO$1="OR","ID Only",IF(W57="",0,W57*30)))</f>
        <v/>
      </c>
      <c r="AG57" s="856"/>
      <c r="AH57" s="856"/>
      <c r="AI57" s="181"/>
      <c r="AJ57" s="25"/>
      <c r="AK57" s="187" t="b">
        <v>0</v>
      </c>
      <c r="AL57" s="9"/>
      <c r="AM57" s="556">
        <f t="shared" si="12"/>
        <v>0</v>
      </c>
      <c r="AN57" s="556">
        <f t="shared" si="13"/>
        <v>0</v>
      </c>
      <c r="AO57" s="556">
        <f>IF(OR(AF57="Chk Box",AF57="ID Only"),0,IF(AF57&gt;1,W57*63,0))</f>
        <v>0</v>
      </c>
      <c r="AP57" s="556">
        <f>IF(AF57="Chk Box",0,IF(AF57&gt;1,W57*0.05,0))</f>
        <v>0</v>
      </c>
      <c r="AQ57" s="395" t="s">
        <v>2494</v>
      </c>
      <c r="AR57" s="395"/>
      <c r="AS57" s="395"/>
      <c r="AT57" s="395">
        <f>IF($AQ57="HVAC",$AO57,0)</f>
        <v>0</v>
      </c>
      <c r="AU57" s="395" t="str">
        <f>IF($AT57=0,"",_xlfn.RANK.EQ($AT57,$AT$34:$AT$84,0))</f>
        <v/>
      </c>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686"/>
      <c r="CB57" s="686"/>
      <c r="CC57" s="686"/>
      <c r="CD57" s="686"/>
      <c r="CE57" s="686"/>
      <c r="CF57" s="686"/>
      <c r="CG57" s="686"/>
      <c r="CH57" s="686"/>
      <c r="CI57" s="686"/>
      <c r="CJ57" s="686"/>
      <c r="CK57" s="686"/>
      <c r="CL57" s="686"/>
      <c r="CM57" s="686"/>
      <c r="CN57" s="686"/>
      <c r="CO57" s="686"/>
      <c r="CP57" s="686"/>
      <c r="CQ57" s="686"/>
      <c r="CR57" s="686"/>
      <c r="CS57" s="686"/>
      <c r="CT57" s="686"/>
      <c r="CU57" s="686"/>
      <c r="CV57" s="686"/>
      <c r="CW57" s="686"/>
      <c r="CX57" s="686"/>
      <c r="CY57" s="686"/>
      <c r="CZ57" s="686"/>
      <c r="DA57" s="686"/>
      <c r="DB57" s="686"/>
      <c r="DC57" s="686"/>
    </row>
    <row r="58" spans="1:266" ht="12.75" customHeight="1">
      <c r="A58" s="25"/>
      <c r="B58" s="186"/>
      <c r="C58" s="167"/>
      <c r="D58" s="167"/>
      <c r="E58" s="167"/>
      <c r="F58" s="167"/>
      <c r="G58" s="167"/>
      <c r="H58" s="167"/>
      <c r="I58" s="167"/>
      <c r="J58" s="167"/>
      <c r="K58" s="167"/>
      <c r="L58" s="167"/>
      <c r="M58" s="167"/>
      <c r="N58" s="167"/>
      <c r="O58" s="167"/>
      <c r="P58" s="167"/>
      <c r="Q58" s="167"/>
      <c r="R58" s="167"/>
      <c r="S58" s="387"/>
      <c r="T58" s="384"/>
      <c r="U58" s="384"/>
      <c r="V58" s="191"/>
      <c r="W58" s="191"/>
      <c r="X58" s="191"/>
      <c r="Y58" s="191"/>
      <c r="Z58" s="191"/>
      <c r="AA58" s="191"/>
      <c r="AB58" s="191"/>
      <c r="AC58" s="191"/>
      <c r="AD58" s="384"/>
      <c r="AE58" s="384"/>
      <c r="AF58" s="384"/>
      <c r="AG58" s="167"/>
      <c r="AH58" s="167"/>
      <c r="AI58" s="558"/>
      <c r="AJ58" s="196"/>
      <c r="AM58" s="10"/>
      <c r="AN58" s="10"/>
      <c r="AO58" s="10"/>
      <c r="AP58" s="10"/>
      <c r="AQ58" s="10"/>
      <c r="AR58" s="10"/>
      <c r="AS58" s="10"/>
      <c r="AT58" s="10"/>
      <c r="AU58" s="10"/>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row>
    <row r="59" spans="1:266" ht="30" customHeight="1">
      <c r="A59" s="25"/>
      <c r="B59" s="25"/>
      <c r="C59" s="157"/>
      <c r="D59" s="157"/>
      <c r="E59" s="157"/>
      <c r="F59" s="157"/>
      <c r="G59" s="157"/>
      <c r="H59" s="157"/>
      <c r="I59" s="157"/>
      <c r="J59" s="157"/>
      <c r="K59" s="157"/>
      <c r="L59" s="157"/>
      <c r="M59" s="157"/>
      <c r="N59" s="157"/>
      <c r="O59" s="157"/>
      <c r="P59" s="157"/>
      <c r="Q59" s="157"/>
      <c r="R59" s="157"/>
      <c r="S59" s="43"/>
      <c r="T59" s="43"/>
      <c r="U59" s="43"/>
      <c r="V59" s="168"/>
      <c r="W59" s="168"/>
      <c r="X59" s="168"/>
      <c r="Y59" s="168"/>
      <c r="Z59" s="168"/>
      <c r="AA59" s="168"/>
      <c r="AB59" s="168"/>
      <c r="AC59" s="168"/>
      <c r="AD59" s="43"/>
      <c r="AE59" s="43"/>
      <c r="AF59" s="43"/>
      <c r="AG59" s="157"/>
      <c r="AH59" s="157"/>
      <c r="AI59" s="43"/>
      <c r="AJ59" s="25"/>
      <c r="AK59" s="9"/>
      <c r="AL59" s="9"/>
      <c r="AM59" s="10"/>
      <c r="AN59" s="10"/>
      <c r="AO59" s="10"/>
      <c r="AP59" s="10"/>
      <c r="AQ59" s="10"/>
      <c r="AR59" s="10"/>
      <c r="AS59" s="10"/>
      <c r="AT59" s="10"/>
      <c r="AU59" s="1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687"/>
      <c r="CB59" s="687"/>
      <c r="CC59" s="687"/>
      <c r="CD59" s="687"/>
      <c r="CE59" s="687"/>
      <c r="CF59" s="687"/>
      <c r="CG59" s="687"/>
      <c r="CH59" s="687"/>
      <c r="CI59" s="687"/>
      <c r="CJ59" s="687"/>
      <c r="CK59" s="687"/>
      <c r="CL59" s="687"/>
      <c r="CM59" s="687"/>
      <c r="CN59" s="687"/>
      <c r="CO59" s="687"/>
      <c r="CP59" s="687"/>
      <c r="CQ59" s="687"/>
      <c r="CR59" s="687"/>
      <c r="CS59" s="687"/>
      <c r="CT59" s="687"/>
      <c r="CU59" s="687"/>
      <c r="CV59" s="687"/>
      <c r="CW59" s="687"/>
      <c r="CX59" s="687"/>
      <c r="CY59" s="687"/>
      <c r="CZ59" s="687"/>
      <c r="DA59" s="687"/>
      <c r="DB59" s="687"/>
      <c r="DC59" s="687"/>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row>
    <row r="60" spans="1:266" ht="12.75" customHeight="1">
      <c r="A60" s="25"/>
      <c r="B60" s="41" t="s">
        <v>2575</v>
      </c>
      <c r="C60" s="31"/>
      <c r="D60" s="31"/>
      <c r="E60" s="31"/>
      <c r="F60" s="31"/>
      <c r="G60" s="31"/>
      <c r="H60" s="31"/>
      <c r="I60" s="31"/>
      <c r="J60" s="31"/>
      <c r="K60" s="31"/>
      <c r="L60" s="31"/>
      <c r="M60" s="31"/>
      <c r="N60" s="31"/>
      <c r="O60" s="31"/>
      <c r="P60" s="31"/>
      <c r="Q60" s="31"/>
      <c r="R60" s="31"/>
      <c r="S60" s="31"/>
      <c r="T60" s="43"/>
      <c r="U60" s="31"/>
      <c r="V60" s="168"/>
      <c r="W60" s="168"/>
      <c r="X60" s="168"/>
      <c r="Y60" s="168"/>
      <c r="Z60" s="168"/>
      <c r="AA60" s="168"/>
      <c r="AB60" s="168"/>
      <c r="AC60" s="168"/>
      <c r="AD60" s="31"/>
      <c r="AE60" s="31"/>
      <c r="AF60" s="42"/>
      <c r="AG60" s="157"/>
      <c r="AH60" s="157"/>
      <c r="AI60" s="31"/>
      <c r="AJ60" s="197"/>
      <c r="AK60" s="9"/>
      <c r="AL60" s="9"/>
      <c r="AM60" s="847" t="s">
        <v>2481</v>
      </c>
      <c r="AN60" s="847"/>
      <c r="AO60" s="736" t="s">
        <v>2482</v>
      </c>
      <c r="AP60" s="736"/>
      <c r="AQ60" s="736"/>
      <c r="AR60" s="736"/>
      <c r="AS60" s="736"/>
      <c r="AT60" s="736"/>
      <c r="AU60" s="736"/>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row>
    <row r="61" spans="1:266" ht="15" customHeight="1">
      <c r="A61" s="25"/>
      <c r="B61" s="550"/>
      <c r="C61" s="176"/>
      <c r="D61" s="176"/>
      <c r="E61" s="176"/>
      <c r="F61" s="551"/>
      <c r="G61" s="551"/>
      <c r="H61" s="551"/>
      <c r="I61" s="552"/>
      <c r="J61" s="553"/>
      <c r="K61" s="553"/>
      <c r="L61" s="553"/>
      <c r="M61" s="192"/>
      <c r="N61" s="192"/>
      <c r="O61" s="192"/>
      <c r="P61" s="192"/>
      <c r="Q61" s="182"/>
      <c r="R61" s="182"/>
      <c r="S61" s="182"/>
      <c r="T61" s="182"/>
      <c r="U61" s="552"/>
      <c r="V61" s="193"/>
      <c r="W61" s="193"/>
      <c r="X61" s="193"/>
      <c r="Y61" s="193"/>
      <c r="Z61" s="193"/>
      <c r="AA61" s="193"/>
      <c r="AB61" s="193"/>
      <c r="AC61" s="193"/>
      <c r="AD61" s="176"/>
      <c r="AE61" s="552"/>
      <c r="AF61" s="356" t="s">
        <v>2483</v>
      </c>
      <c r="AG61" s="356"/>
      <c r="AH61" s="356"/>
      <c r="AI61" s="27"/>
      <c r="AJ61" s="30"/>
      <c r="AK61" s="9"/>
      <c r="AL61" s="9"/>
      <c r="AM61" s="10" t="s">
        <v>2484</v>
      </c>
      <c r="AN61" s="10" t="s">
        <v>2485</v>
      </c>
      <c r="AO61" s="10" t="s">
        <v>2486</v>
      </c>
      <c r="AP61" s="10" t="s">
        <v>2487</v>
      </c>
      <c r="AQ61" s="10" t="s">
        <v>2488</v>
      </c>
      <c r="AR61" s="10"/>
      <c r="AS61" s="10"/>
      <c r="AT61" s="10" t="s">
        <v>2532</v>
      </c>
      <c r="AU61" s="10" t="s">
        <v>2490</v>
      </c>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row>
    <row r="62" spans="1:266" s="5" customFormat="1" ht="12.75" customHeight="1">
      <c r="A62" s="25"/>
      <c r="B62" s="555"/>
      <c r="C62" s="157" t="s">
        <v>2576</v>
      </c>
      <c r="D62" s="157"/>
      <c r="E62" s="157"/>
      <c r="F62" s="333"/>
      <c r="G62" s="157"/>
      <c r="H62" s="370"/>
      <c r="I62" s="157"/>
      <c r="J62" s="333"/>
      <c r="K62" s="333"/>
      <c r="L62" s="333"/>
      <c r="M62" s="157"/>
      <c r="N62" s="31"/>
      <c r="O62" s="31"/>
      <c r="P62" s="31"/>
      <c r="Q62" s="43"/>
      <c r="R62" s="43"/>
      <c r="S62" s="43"/>
      <c r="T62" s="43"/>
      <c r="U62" s="185"/>
      <c r="V62" s="158" t="s">
        <v>2507</v>
      </c>
      <c r="W62" s="850"/>
      <c r="X62" s="851"/>
      <c r="Y62" s="159" t="s">
        <v>2508</v>
      </c>
      <c r="Z62" s="168"/>
      <c r="AA62" s="168"/>
      <c r="AB62" s="168"/>
      <c r="AC62" s="168"/>
      <c r="AD62" s="185" t="s">
        <v>2509</v>
      </c>
      <c r="AE62" s="371" t="s">
        <v>142</v>
      </c>
      <c r="AF62" s="855" t="str">
        <f>IF(AK62=FALSE,IF(W62="","","Chk Box"),IF(W62="",0,W62*0.05))</f>
        <v/>
      </c>
      <c r="AG62" s="855"/>
      <c r="AH62" s="855"/>
      <c r="AI62" s="181"/>
      <c r="AJ62" s="30"/>
      <c r="AK62" s="187" t="b">
        <v>0</v>
      </c>
      <c r="AL62" s="9"/>
      <c r="AM62" s="556">
        <f>IFERROR(IF($AQ62="",AO62,IF($AS62="",(VLOOKUP($AU62,StackingEffects,2,FALSE)*AT62),(VLOOKUP($AS62,StackingEffects,2,FALSE)*AR62))),0)</f>
        <v>0</v>
      </c>
      <c r="AN62" s="556">
        <f>IFERROR(IF($AQ62="",AP62,IF($AS62="",(VLOOKUP($AU62,StackingEffects,2,FALSE)*AP62),(VLOOKUP($AS62,StackingEffects,2,FALSE)*AP62))),0)</f>
        <v>0</v>
      </c>
      <c r="AO62" s="556">
        <f>IF(AF62="Chk Box",0,IF(AF62&gt;1,W62*0.116))</f>
        <v>0</v>
      </c>
      <c r="AP62" s="556">
        <f>IF(AF62="Chk Box",0,IF(AF62&gt;1,W62*0.000095,0))</f>
        <v>0</v>
      </c>
      <c r="AQ62" s="395" t="s">
        <v>2494</v>
      </c>
      <c r="AR62" s="400"/>
      <c r="AS62" s="400"/>
      <c r="AT62" s="395">
        <f>IF($AQ62="HVAC",$AO62,0)</f>
        <v>0</v>
      </c>
      <c r="AU62" s="395" t="str">
        <f>IF($AT62=0,"",_xlfn.RANK.EQ($AT62,$AT$34:$AT$84,0))</f>
        <v/>
      </c>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686"/>
      <c r="CB62" s="686"/>
      <c r="CC62" s="686"/>
      <c r="CD62" s="686"/>
      <c r="CE62" s="686"/>
      <c r="CF62" s="686"/>
      <c r="CG62" s="686"/>
      <c r="CH62" s="686"/>
      <c r="CI62" s="686"/>
      <c r="CJ62" s="686"/>
      <c r="CK62" s="686"/>
      <c r="CL62" s="686"/>
      <c r="CM62" s="686"/>
      <c r="CN62" s="686"/>
      <c r="CO62" s="686"/>
      <c r="CP62" s="686"/>
      <c r="CQ62" s="686"/>
      <c r="CR62" s="686"/>
      <c r="CS62" s="686"/>
      <c r="CT62" s="686"/>
      <c r="CU62" s="686"/>
      <c r="CV62" s="686"/>
      <c r="CW62" s="686"/>
      <c r="CX62" s="686"/>
      <c r="CY62" s="686"/>
      <c r="CZ62" s="686"/>
      <c r="DA62" s="686"/>
      <c r="DB62" s="686"/>
      <c r="DC62" s="686"/>
    </row>
    <row r="63" spans="1:266" ht="15" customHeight="1">
      <c r="A63" s="25"/>
      <c r="B63" s="186"/>
      <c r="C63" s="167"/>
      <c r="D63" s="167"/>
      <c r="E63" s="167"/>
      <c r="F63" s="557"/>
      <c r="G63" s="167"/>
      <c r="H63" s="167"/>
      <c r="I63" s="167"/>
      <c r="J63" s="167"/>
      <c r="K63" s="167"/>
      <c r="L63" s="167"/>
      <c r="M63" s="167"/>
      <c r="N63" s="167"/>
      <c r="O63" s="167"/>
      <c r="P63" s="167"/>
      <c r="Q63" s="167"/>
      <c r="R63" s="167"/>
      <c r="S63" s="167"/>
      <c r="T63" s="384"/>
      <c r="U63" s="384"/>
      <c r="V63" s="191"/>
      <c r="W63" s="191"/>
      <c r="X63" s="191"/>
      <c r="Y63" s="191"/>
      <c r="Z63" s="191"/>
      <c r="AA63" s="191"/>
      <c r="AB63" s="191"/>
      <c r="AC63" s="191"/>
      <c r="AD63" s="384"/>
      <c r="AE63" s="384"/>
      <c r="AF63" s="384"/>
      <c r="AG63" s="167"/>
      <c r="AH63" s="167"/>
      <c r="AI63" s="558"/>
      <c r="AJ63" s="30"/>
      <c r="AN63" s="8"/>
      <c r="AO63" s="279"/>
      <c r="AP63" s="279"/>
      <c r="AQ63" s="279"/>
      <c r="AR63" s="279"/>
      <c r="AS63" s="8"/>
      <c r="AT63" s="8"/>
      <c r="AU63" s="8"/>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row>
    <row r="64" spans="1:266" s="5" customFormat="1" ht="12.75" customHeight="1">
      <c r="A64" s="32"/>
      <c r="B64" s="25"/>
      <c r="C64" s="157"/>
      <c r="D64" s="157"/>
      <c r="E64" s="157"/>
      <c r="F64" s="157"/>
      <c r="G64" s="157"/>
      <c r="H64" s="157"/>
      <c r="I64" s="157"/>
      <c r="J64" s="157"/>
      <c r="K64" s="157"/>
      <c r="L64" s="157"/>
      <c r="M64" s="157"/>
      <c r="N64" s="157"/>
      <c r="O64" s="157"/>
      <c r="P64" s="157"/>
      <c r="Q64" s="157"/>
      <c r="R64" s="157"/>
      <c r="S64" s="157"/>
      <c r="T64" s="43"/>
      <c r="U64" s="43"/>
      <c r="V64" s="168"/>
      <c r="W64" s="168"/>
      <c r="X64" s="168"/>
      <c r="Y64" s="168"/>
      <c r="Z64" s="168"/>
      <c r="AA64" s="168"/>
      <c r="AB64" s="168"/>
      <c r="AC64" s="168"/>
      <c r="AD64" s="43"/>
      <c r="AE64" s="43"/>
      <c r="AF64" s="43"/>
      <c r="AG64" s="157"/>
      <c r="AH64" s="157"/>
      <c r="AI64" s="43"/>
      <c r="AJ64" s="30"/>
      <c r="AK64" s="1"/>
      <c r="AL64" s="1"/>
      <c r="AM64" s="1"/>
      <c r="AN64" s="1"/>
      <c r="AO64" s="9"/>
      <c r="AP64" s="9"/>
      <c r="AQ64" s="9"/>
      <c r="AR64" s="9"/>
      <c r="AS64" s="1"/>
      <c r="AT64" s="1"/>
      <c r="AU64" s="1"/>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686"/>
      <c r="CB64" s="686"/>
      <c r="CC64" s="686"/>
      <c r="CD64" s="686"/>
      <c r="CE64" s="686"/>
      <c r="CF64" s="686"/>
      <c r="CG64" s="686"/>
      <c r="CH64" s="686"/>
      <c r="CI64" s="686"/>
      <c r="CJ64" s="686"/>
      <c r="CK64" s="686"/>
      <c r="CL64" s="686"/>
      <c r="CM64" s="686"/>
      <c r="CN64" s="686"/>
      <c r="CO64" s="686"/>
      <c r="CP64" s="686"/>
      <c r="CQ64" s="686"/>
      <c r="CR64" s="686"/>
      <c r="CS64" s="686"/>
      <c r="CT64" s="686"/>
      <c r="CU64" s="686"/>
      <c r="CV64" s="686"/>
      <c r="CW64" s="686"/>
      <c r="CX64" s="686"/>
      <c r="CY64" s="686"/>
      <c r="CZ64" s="686"/>
      <c r="DA64" s="686"/>
      <c r="DB64" s="686"/>
      <c r="DC64" s="686"/>
    </row>
    <row r="65" spans="1:266" ht="15" hidden="1" customHeight="1">
      <c r="A65" s="25"/>
      <c r="B65" s="562" t="s">
        <v>2577</v>
      </c>
      <c r="C65" s="31"/>
      <c r="D65" s="31"/>
      <c r="E65" s="31"/>
      <c r="F65" s="31"/>
      <c r="G65" s="31"/>
      <c r="H65" s="31"/>
      <c r="I65" s="31"/>
      <c r="J65" s="31"/>
      <c r="K65" s="31"/>
      <c r="L65" s="31"/>
      <c r="M65" s="31"/>
      <c r="N65" s="31"/>
      <c r="O65" s="31"/>
      <c r="P65" s="31"/>
      <c r="Q65" s="31"/>
      <c r="R65" s="31"/>
      <c r="S65" s="31"/>
      <c r="T65" s="43"/>
      <c r="U65" s="31"/>
      <c r="V65" s="168"/>
      <c r="W65" s="168"/>
      <c r="X65" s="168"/>
      <c r="Y65" s="168"/>
      <c r="Z65" s="168"/>
      <c r="AA65" s="168"/>
      <c r="AB65" s="168"/>
      <c r="AC65" s="168"/>
      <c r="AD65" s="31"/>
      <c r="AE65" s="31"/>
      <c r="AF65" s="42"/>
      <c r="AG65" s="157"/>
      <c r="AH65" s="157"/>
      <c r="AI65" s="31"/>
      <c r="AJ65" s="200"/>
      <c r="AM65" s="847" t="s">
        <v>2481</v>
      </c>
      <c r="AN65" s="847"/>
      <c r="AO65" s="736" t="s">
        <v>2482</v>
      </c>
      <c r="AP65" s="736"/>
      <c r="AQ65" s="736"/>
      <c r="AR65" s="736"/>
      <c r="AS65" s="736"/>
      <c r="AT65" s="736"/>
      <c r="AU65" s="736"/>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row>
    <row r="66" spans="1:266" s="5" customFormat="1" ht="12.75" hidden="1" customHeight="1">
      <c r="A66" s="25"/>
      <c r="B66" s="179"/>
      <c r="C66" s="176"/>
      <c r="D66" s="176"/>
      <c r="E66" s="176"/>
      <c r="F66" s="176"/>
      <c r="G66" s="385"/>
      <c r="H66" s="385"/>
      <c r="I66" s="385"/>
      <c r="J66" s="176"/>
      <c r="K66" s="176"/>
      <c r="L66" s="176"/>
      <c r="M66" s="176"/>
      <c r="N66" s="192"/>
      <c r="O66" s="192"/>
      <c r="P66" s="26"/>
      <c r="Q66" s="176"/>
      <c r="R66" s="182"/>
      <c r="S66" s="182"/>
      <c r="T66" s="182"/>
      <c r="U66" s="552"/>
      <c r="V66" s="385"/>
      <c r="W66" s="193"/>
      <c r="X66" s="193"/>
      <c r="Y66" s="193"/>
      <c r="Z66" s="865" t="s">
        <v>2578</v>
      </c>
      <c r="AA66" s="865"/>
      <c r="AB66" s="865"/>
      <c r="AC66" s="865"/>
      <c r="AD66" s="865"/>
      <c r="AE66" s="552"/>
      <c r="AF66" s="356" t="s">
        <v>2483</v>
      </c>
      <c r="AG66" s="356"/>
      <c r="AH66" s="356"/>
      <c r="AI66" s="27"/>
      <c r="AJ66" s="200"/>
      <c r="AK66" s="1"/>
      <c r="AL66" s="1"/>
      <c r="AM66" s="10" t="s">
        <v>2484</v>
      </c>
      <c r="AN66" s="10" t="s">
        <v>2485</v>
      </c>
      <c r="AO66" s="10" t="s">
        <v>2486</v>
      </c>
      <c r="AP66" s="10" t="s">
        <v>2487</v>
      </c>
      <c r="AQ66" s="10" t="s">
        <v>2488</v>
      </c>
      <c r="AR66" s="10"/>
      <c r="AS66" s="10"/>
      <c r="AT66" s="10" t="s">
        <v>2532</v>
      </c>
      <c r="AU66" s="10" t="s">
        <v>2490</v>
      </c>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686"/>
      <c r="CB66" s="686"/>
      <c r="CC66" s="686"/>
      <c r="CD66" s="686"/>
      <c r="CE66" s="686"/>
      <c r="CF66" s="686"/>
      <c r="CG66" s="686"/>
      <c r="CH66" s="686"/>
      <c r="CI66" s="686"/>
      <c r="CJ66" s="686"/>
      <c r="CK66" s="686"/>
      <c r="CL66" s="686"/>
      <c r="CM66" s="686"/>
      <c r="CN66" s="686"/>
      <c r="CO66" s="686"/>
      <c r="CP66" s="686"/>
      <c r="CQ66" s="686"/>
      <c r="CR66" s="686"/>
      <c r="CS66" s="686"/>
      <c r="CT66" s="686"/>
      <c r="CU66" s="686"/>
      <c r="CV66" s="686"/>
      <c r="CW66" s="686"/>
      <c r="CX66" s="686"/>
      <c r="CY66" s="686"/>
      <c r="CZ66" s="686"/>
      <c r="DA66" s="686"/>
      <c r="DB66" s="686"/>
      <c r="DC66" s="686"/>
    </row>
    <row r="67" spans="1:266" ht="15" hidden="1" customHeight="1">
      <c r="A67" s="25"/>
      <c r="B67" s="555"/>
      <c r="C67" s="560" t="s">
        <v>2579</v>
      </c>
      <c r="D67" s="159"/>
      <c r="E67" s="159"/>
      <c r="F67" s="158"/>
      <c r="G67" s="158"/>
      <c r="H67" s="158"/>
      <c r="I67" s="158"/>
      <c r="J67" s="157"/>
      <c r="K67" s="157"/>
      <c r="L67" s="420"/>
      <c r="M67" s="521"/>
      <c r="N67" s="521"/>
      <c r="O67" s="521"/>
      <c r="P67" s="521"/>
      <c r="Q67" s="521"/>
      <c r="R67" s="355" t="s">
        <v>2580</v>
      </c>
      <c r="S67" s="43"/>
      <c r="T67" s="43"/>
      <c r="U67" s="185"/>
      <c r="V67" s="158"/>
      <c r="W67" s="867"/>
      <c r="X67" s="867"/>
      <c r="Y67" s="159"/>
      <c r="Z67" s="866"/>
      <c r="AA67" s="866"/>
      <c r="AB67" s="866"/>
      <c r="AC67" s="866"/>
      <c r="AD67" s="866"/>
      <c r="AE67" s="371" t="s">
        <v>142</v>
      </c>
      <c r="AF67" s="855"/>
      <c r="AG67" s="855"/>
      <c r="AH67" s="855"/>
      <c r="AI67" s="181"/>
      <c r="AJ67" s="197"/>
      <c r="AK67" s="187" t="b">
        <v>0</v>
      </c>
      <c r="AL67" s="9"/>
      <c r="AM67" s="187">
        <f>IFERROR(IF($AQ67="",AO67,IF($AS67="",(VLOOKUP($AU67,StackingEffects,2,FALSE)*AT67),(VLOOKUP($AS67,StackingEffects,2,FALSE)*AR67))),0)</f>
        <v>0</v>
      </c>
      <c r="AN67" s="187">
        <f t="shared" ref="AN67:AN73" si="17">IFERROR(IF($AQ67="",AP67,IF($AS67="",(VLOOKUP($AU67,StackingEffects,2,FALSE)*AP67),(VLOOKUP($AS67,StackingEffects,2,FALSE)*AP67))),0)</f>
        <v>0</v>
      </c>
      <c r="AO67" s="187">
        <f>IF(AF67="Chk Box",0,0)</f>
        <v>0</v>
      </c>
      <c r="AP67" s="187">
        <f>IF(AF67="Chk Box",0,0)</f>
        <v>0</v>
      </c>
      <c r="AQ67" s="396" t="s">
        <v>2494</v>
      </c>
      <c r="AR67" s="400"/>
      <c r="AS67" s="400"/>
      <c r="AT67" s="396">
        <f t="shared" ref="AT67:AT70" si="18">IF($AQ67="HVAC",$AO67,0)</f>
        <v>0</v>
      </c>
      <c r="AU67" s="395" t="str">
        <f>IF($AT67=0,"",_xlfn.RANK.EQ($AT67,$AT$34:$AT$84,0))</f>
        <v/>
      </c>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row>
    <row r="68" spans="1:266" s="5" customFormat="1" ht="15" hidden="1" customHeight="1">
      <c r="A68" s="25"/>
      <c r="B68" s="555"/>
      <c r="C68" s="561" t="s">
        <v>2581</v>
      </c>
      <c r="D68" s="157"/>
      <c r="E68" s="157"/>
      <c r="F68" s="158"/>
      <c r="G68" s="156"/>
      <c r="H68" s="156"/>
      <c r="I68" s="156"/>
      <c r="J68" s="156"/>
      <c r="K68" s="156"/>
      <c r="L68" s="420"/>
      <c r="M68" s="521"/>
      <c r="N68" s="521"/>
      <c r="O68" s="521"/>
      <c r="P68" s="521"/>
      <c r="Q68" s="521"/>
      <c r="R68" s="521"/>
      <c r="S68" s="43"/>
      <c r="T68" s="43"/>
      <c r="U68" s="185"/>
      <c r="V68" s="158" t="s">
        <v>2582</v>
      </c>
      <c r="W68" s="850"/>
      <c r="X68" s="851"/>
      <c r="Y68" s="29" t="s">
        <v>2583</v>
      </c>
      <c r="Z68" s="168"/>
      <c r="AA68" s="168"/>
      <c r="AB68" s="168"/>
      <c r="AC68" s="168"/>
      <c r="AD68" s="185" t="s">
        <v>2584</v>
      </c>
      <c r="AE68" s="371" t="s">
        <v>142</v>
      </c>
      <c r="AF68" s="856" t="str">
        <f>IF(AK68=FALSE,IF(W68="","","Chk Box"),IF(W68="",0,W68*50))</f>
        <v/>
      </c>
      <c r="AG68" s="856"/>
      <c r="AH68" s="856"/>
      <c r="AI68" s="181"/>
      <c r="AJ68" s="200"/>
      <c r="AK68" s="187" t="b">
        <v>0</v>
      </c>
      <c r="AL68" s="9"/>
      <c r="AM68" s="556">
        <f t="shared" ref="AM68:AM73" si="19">IFERROR(IF($AQ68="",AO68,IF($AS68="",(VLOOKUP($AU68,StackingEffects,2,FALSE)*AT68),(VLOOKUP($AS68,StackingEffects,2,FALSE)*AR68))),0)</f>
        <v>0</v>
      </c>
      <c r="AN68" s="556">
        <f t="shared" si="17"/>
        <v>0</v>
      </c>
      <c r="AO68" s="556">
        <f>IF(AF68="Chk Box",0,IF(AF68&gt;1,W68*550,0))</f>
        <v>0</v>
      </c>
      <c r="AP68" s="3" t="s">
        <v>2585</v>
      </c>
      <c r="AQ68" s="9" t="s">
        <v>2494</v>
      </c>
      <c r="AR68" s="9"/>
      <c r="AS68" s="3"/>
      <c r="AT68" s="3">
        <f t="shared" si="18"/>
        <v>0</v>
      </c>
      <c r="AU68" s="395" t="str">
        <f>IF($AT68=0,"",_xlfn.RANK.EQ($AT68,$AT$34:$AT$84,0))</f>
        <v/>
      </c>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686"/>
      <c r="CB68" s="686"/>
      <c r="CC68" s="686"/>
      <c r="CD68" s="686"/>
      <c r="CE68" s="686"/>
      <c r="CF68" s="686"/>
      <c r="CG68" s="686"/>
      <c r="CH68" s="686"/>
      <c r="CI68" s="686"/>
      <c r="CJ68" s="686"/>
      <c r="CK68" s="686"/>
      <c r="CL68" s="686"/>
      <c r="CM68" s="686"/>
      <c r="CN68" s="686"/>
      <c r="CO68" s="686"/>
      <c r="CP68" s="686"/>
      <c r="CQ68" s="686"/>
      <c r="CR68" s="686"/>
      <c r="CS68" s="686"/>
      <c r="CT68" s="686"/>
      <c r="CU68" s="686"/>
      <c r="CV68" s="686"/>
      <c r="CW68" s="686"/>
      <c r="CX68" s="686"/>
      <c r="CY68" s="686"/>
      <c r="CZ68" s="686"/>
      <c r="DA68" s="686"/>
      <c r="DB68" s="686"/>
      <c r="DC68" s="686"/>
    </row>
    <row r="69" spans="1:266" ht="12.75" hidden="1" customHeight="1">
      <c r="A69" s="25"/>
      <c r="B69" s="555"/>
      <c r="C69" s="560" t="s">
        <v>2586</v>
      </c>
      <c r="D69" s="159"/>
      <c r="E69" s="159"/>
      <c r="F69" s="158"/>
      <c r="G69" s="156"/>
      <c r="H69" s="156"/>
      <c r="I69" s="156"/>
      <c r="J69" s="156"/>
      <c r="K69" s="156"/>
      <c r="L69" s="521"/>
      <c r="M69" s="521"/>
      <c r="N69" s="521"/>
      <c r="O69" s="521"/>
      <c r="P69" s="521"/>
      <c r="Q69" s="521"/>
      <c r="R69" s="355" t="s">
        <v>2580</v>
      </c>
      <c r="S69" s="43"/>
      <c r="T69" s="43"/>
      <c r="U69" s="185"/>
      <c r="V69" s="158"/>
      <c r="W69" s="158"/>
      <c r="X69" s="158"/>
      <c r="Y69" s="29"/>
      <c r="Z69" s="168"/>
      <c r="AA69" s="168"/>
      <c r="AB69" s="168"/>
      <c r="AC69" s="168"/>
      <c r="AD69" s="185" t="s">
        <v>2587</v>
      </c>
      <c r="AE69" s="371" t="s">
        <v>142</v>
      </c>
      <c r="AF69" s="856"/>
      <c r="AG69" s="856"/>
      <c r="AH69" s="856"/>
      <c r="AI69" s="181"/>
      <c r="AJ69" s="200"/>
      <c r="AK69" s="187" t="b">
        <v>0</v>
      </c>
      <c r="AL69" s="13"/>
      <c r="AM69" s="187">
        <f t="shared" si="19"/>
        <v>0</v>
      </c>
      <c r="AN69" s="556">
        <f t="shared" si="17"/>
        <v>0</v>
      </c>
      <c r="AO69" s="187">
        <f>IF(AF69="Chk Box",0,0)</f>
        <v>0</v>
      </c>
      <c r="AP69" s="3" t="s">
        <v>2585</v>
      </c>
      <c r="AQ69" s="9" t="s">
        <v>2494</v>
      </c>
      <c r="AR69" s="9"/>
      <c r="AS69" s="3"/>
      <c r="AT69" s="3">
        <f t="shared" si="18"/>
        <v>0</v>
      </c>
      <c r="AU69" s="395" t="str">
        <f>IF($AT69=0,"",_xlfn.RANK.EQ($AT69,$AT$34:$AT$84,0))</f>
        <v/>
      </c>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row>
    <row r="70" spans="1:266" ht="12.75" hidden="1" customHeight="1">
      <c r="A70" s="25"/>
      <c r="B70" s="555"/>
      <c r="C70" s="560" t="s">
        <v>2588</v>
      </c>
      <c r="D70" s="159"/>
      <c r="E70" s="159"/>
      <c r="F70" s="158"/>
      <c r="G70" s="156"/>
      <c r="H70" s="156"/>
      <c r="I70" s="156"/>
      <c r="J70" s="156"/>
      <c r="K70" s="156"/>
      <c r="L70" s="521"/>
      <c r="M70" s="521"/>
      <c r="N70" s="521"/>
      <c r="O70" s="521"/>
      <c r="P70" s="521"/>
      <c r="Q70" s="521"/>
      <c r="R70" s="355"/>
      <c r="S70" s="43"/>
      <c r="T70" s="43"/>
      <c r="U70" s="185"/>
      <c r="V70" s="158" t="s">
        <v>2561</v>
      </c>
      <c r="W70" s="850"/>
      <c r="X70" s="851"/>
      <c r="Y70" s="159" t="s">
        <v>2589</v>
      </c>
      <c r="Z70" s="168"/>
      <c r="AA70" s="168"/>
      <c r="AB70" s="168"/>
      <c r="AC70" s="168"/>
      <c r="AD70" s="185" t="s">
        <v>2590</v>
      </c>
      <c r="AE70" s="371" t="s">
        <v>142</v>
      </c>
      <c r="AF70" s="856" t="str">
        <f>IF(AK70=FALSE,IF(W70="","","Chk Box"),IF(W70="",0,W70*250))</f>
        <v/>
      </c>
      <c r="AG70" s="856"/>
      <c r="AH70" s="856"/>
      <c r="AI70" s="181"/>
      <c r="AJ70" s="200"/>
      <c r="AK70" s="187" t="b">
        <v>0</v>
      </c>
      <c r="AL70" s="13"/>
      <c r="AM70" s="556">
        <f t="shared" si="19"/>
        <v>0</v>
      </c>
      <c r="AN70" s="556">
        <f t="shared" si="17"/>
        <v>0</v>
      </c>
      <c r="AO70" s="556">
        <f>IF(AF70="Chk Box",0,IF(AF70&gt;1,W70*4590,0))</f>
        <v>0</v>
      </c>
      <c r="AP70" s="556">
        <f>IF(AF70="Chk Box",0,IF(AF70&gt;1,W70*0.39,0))</f>
        <v>0</v>
      </c>
      <c r="AQ70" s="395" t="s">
        <v>2494</v>
      </c>
      <c r="AR70" s="400"/>
      <c r="AS70" s="400"/>
      <c r="AT70" s="395">
        <f t="shared" si="18"/>
        <v>0</v>
      </c>
      <c r="AU70" s="395" t="str">
        <f>IF($AT70=0,"",_xlfn.RANK.EQ($AT70,$AT$34:$AT$84,0))</f>
        <v/>
      </c>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row>
    <row r="71" spans="1:266" hidden="1">
      <c r="A71" s="25"/>
      <c r="B71" s="555"/>
      <c r="C71" s="560" t="s">
        <v>2591</v>
      </c>
      <c r="D71" s="159"/>
      <c r="E71" s="159"/>
      <c r="F71" s="158"/>
      <c r="G71" s="156"/>
      <c r="H71" s="156"/>
      <c r="I71" s="156"/>
      <c r="J71" s="156"/>
      <c r="K71" s="156"/>
      <c r="L71" s="521"/>
      <c r="M71" s="521"/>
      <c r="N71" s="521"/>
      <c r="O71" s="521"/>
      <c r="P71" s="521"/>
      <c r="Q71" s="521"/>
      <c r="R71" s="355"/>
      <c r="S71" s="43"/>
      <c r="T71" s="43"/>
      <c r="U71" s="185"/>
      <c r="V71" s="158" t="s">
        <v>2561</v>
      </c>
      <c r="W71" s="850"/>
      <c r="X71" s="851"/>
      <c r="Y71" s="159" t="s">
        <v>2589</v>
      </c>
      <c r="Z71" s="168"/>
      <c r="AA71" s="168"/>
      <c r="AB71" s="168"/>
      <c r="AC71" s="168"/>
      <c r="AD71" s="185" t="s">
        <v>2590</v>
      </c>
      <c r="AE71" s="371" t="s">
        <v>142</v>
      </c>
      <c r="AF71" s="856" t="str">
        <f>IF(AK71=FALSE,IF(W71="","","Chk Box"),IF(W71="",0,W71*250))</f>
        <v/>
      </c>
      <c r="AG71" s="856"/>
      <c r="AH71" s="856"/>
      <c r="AI71" s="181"/>
      <c r="AJ71" s="200"/>
      <c r="AK71" s="187" t="b">
        <v>0</v>
      </c>
      <c r="AL71" s="13"/>
      <c r="AM71" s="556">
        <f t="shared" si="19"/>
        <v>0</v>
      </c>
      <c r="AN71" s="556">
        <f t="shared" si="17"/>
        <v>0</v>
      </c>
      <c r="AO71" s="556">
        <f>IF(AF71="Chk Box",0,IF(AF71&gt;1,W71*1193,0))</f>
        <v>0</v>
      </c>
      <c r="AP71" s="556">
        <f>IF(AF71="Chk Box",0,IF(AF71&gt;1,W71*0.144,0))</f>
        <v>0</v>
      </c>
      <c r="AQ71" s="400"/>
      <c r="AR71" s="400"/>
      <c r="AS71" s="400"/>
      <c r="AT71" s="400"/>
      <c r="AU71" s="400"/>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row>
    <row r="72" spans="1:266" hidden="1">
      <c r="A72" s="25"/>
      <c r="B72" s="555"/>
      <c r="C72" s="560" t="s">
        <v>2592</v>
      </c>
      <c r="D72" s="159"/>
      <c r="E72" s="159"/>
      <c r="F72" s="158"/>
      <c r="G72" s="156"/>
      <c r="H72" s="156"/>
      <c r="I72" s="156"/>
      <c r="J72" s="156"/>
      <c r="K72" s="156"/>
      <c r="L72" s="521"/>
      <c r="M72" s="521"/>
      <c r="N72" s="521"/>
      <c r="O72" s="521"/>
      <c r="P72" s="521"/>
      <c r="Q72" s="521"/>
      <c r="R72" s="355"/>
      <c r="S72" s="43"/>
      <c r="T72" s="43"/>
      <c r="U72" s="185"/>
      <c r="V72" s="158" t="s">
        <v>2561</v>
      </c>
      <c r="W72" s="850"/>
      <c r="X72" s="851"/>
      <c r="Y72" s="159" t="s">
        <v>2589</v>
      </c>
      <c r="Z72" s="168"/>
      <c r="AA72" s="168"/>
      <c r="AB72" s="168"/>
      <c r="AC72" s="168"/>
      <c r="AD72" s="185" t="s">
        <v>2593</v>
      </c>
      <c r="AE72" s="371" t="s">
        <v>142</v>
      </c>
      <c r="AF72" s="856" t="str">
        <f>IF(AK72=FALSE,IF(W72="","",IF($AO$1="OR","ID Only","Chk Box")),IF($AO$1="OR","ID Only",IF(W72="",0,W72*170)))</f>
        <v/>
      </c>
      <c r="AG72" s="856"/>
      <c r="AH72" s="856"/>
      <c r="AI72" s="181"/>
      <c r="AJ72" s="200"/>
      <c r="AK72" s="187" t="b">
        <v>0</v>
      </c>
      <c r="AL72" s="13"/>
      <c r="AM72" s="556">
        <f t="shared" si="19"/>
        <v>0</v>
      </c>
      <c r="AN72" s="556">
        <f t="shared" si="17"/>
        <v>0</v>
      </c>
      <c r="AO72" s="556">
        <f>IF(OR(AF72="Chk Box",AF72="ID Only"),0,IF(AF72&gt;1,W72*548,0))</f>
        <v>0</v>
      </c>
      <c r="AP72" s="556">
        <f>IF(AF72="Chk Box",0,IF(AF72&gt;1,W72*0.21,0))</f>
        <v>0</v>
      </c>
      <c r="AQ72" s="400"/>
      <c r="AR72" s="400"/>
      <c r="AS72" s="400"/>
      <c r="AT72" s="400"/>
      <c r="AU72" s="400"/>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row>
    <row r="73" spans="1:266" ht="12.75" hidden="1" customHeight="1">
      <c r="A73" s="25"/>
      <c r="B73" s="555"/>
      <c r="C73" s="560" t="s">
        <v>2594</v>
      </c>
      <c r="D73" s="159"/>
      <c r="E73" s="159"/>
      <c r="F73" s="158"/>
      <c r="G73" s="156"/>
      <c r="H73" s="156"/>
      <c r="I73" s="156"/>
      <c r="J73" s="156"/>
      <c r="K73" s="156"/>
      <c r="L73" s="521"/>
      <c r="M73" s="521"/>
      <c r="N73" s="521"/>
      <c r="O73" s="521"/>
      <c r="P73" s="521"/>
      <c r="Q73" s="521"/>
      <c r="R73" s="355"/>
      <c r="S73" s="43"/>
      <c r="T73" s="43"/>
      <c r="U73" s="185"/>
      <c r="V73" s="158" t="s">
        <v>2547</v>
      </c>
      <c r="W73" s="850"/>
      <c r="X73" s="851"/>
      <c r="Y73" s="159" t="s">
        <v>2583</v>
      </c>
      <c r="Z73" s="168"/>
      <c r="AA73" s="168"/>
      <c r="AB73" s="168"/>
      <c r="AC73" s="168"/>
      <c r="AD73" s="185" t="s">
        <v>2595</v>
      </c>
      <c r="AE73" s="371" t="s">
        <v>142</v>
      </c>
      <c r="AF73" s="856" t="str">
        <f>IF(AK73=FALSE,IF(W73="","","Chk Box"),IF(W73="",0,W73*1500))</f>
        <v/>
      </c>
      <c r="AG73" s="856"/>
      <c r="AH73" s="856"/>
      <c r="AI73" s="181"/>
      <c r="AJ73" s="197"/>
      <c r="AK73" s="187" t="b">
        <v>0</v>
      </c>
      <c r="AL73" s="13"/>
      <c r="AM73" s="556">
        <f t="shared" si="19"/>
        <v>0</v>
      </c>
      <c r="AN73" s="556">
        <f t="shared" si="17"/>
        <v>0</v>
      </c>
      <c r="AO73" s="556">
        <f>IF(AF73="Chk Box",0,IF(AF73&gt;1,W73*7687,0))</f>
        <v>0</v>
      </c>
      <c r="AP73" s="556">
        <f>IF(AF73="Chk Box",0,IF(AF73&gt;1,W73*2.73,0))</f>
        <v>0</v>
      </c>
      <c r="AQ73" s="400"/>
      <c r="AR73" s="400"/>
      <c r="AS73" s="400"/>
      <c r="AT73" s="400"/>
      <c r="AU73" s="400"/>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row>
    <row r="74" spans="1:266" ht="15" hidden="1" customHeight="1">
      <c r="A74" s="25"/>
      <c r="B74" s="186"/>
      <c r="C74" s="167"/>
      <c r="D74" s="167"/>
      <c r="E74" s="167"/>
      <c r="F74" s="167"/>
      <c r="G74" s="167"/>
      <c r="H74" s="167"/>
      <c r="I74" s="167"/>
      <c r="J74" s="167"/>
      <c r="K74" s="167"/>
      <c r="L74" s="167"/>
      <c r="M74" s="167"/>
      <c r="N74" s="167"/>
      <c r="O74" s="167"/>
      <c r="P74" s="167"/>
      <c r="Q74" s="167"/>
      <c r="R74" s="167"/>
      <c r="S74" s="167"/>
      <c r="T74" s="384"/>
      <c r="U74" s="384"/>
      <c r="V74" s="386"/>
      <c r="W74" s="191"/>
      <c r="X74" s="191"/>
      <c r="Y74" s="387"/>
      <c r="Z74" s="191"/>
      <c r="AA74" s="191"/>
      <c r="AB74" s="191"/>
      <c r="AC74" s="191"/>
      <c r="AD74" s="384"/>
      <c r="AE74" s="384"/>
      <c r="AF74" s="188"/>
      <c r="AG74" s="167"/>
      <c r="AH74" s="167"/>
      <c r="AI74" s="558"/>
      <c r="AJ74" s="200"/>
      <c r="AK74" s="9"/>
      <c r="AL74" s="9"/>
      <c r="AQ74" s="9"/>
      <c r="AR74" s="9"/>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row>
    <row r="75" spans="1:266" ht="12.75" hidden="1" customHeight="1">
      <c r="A75" s="25"/>
      <c r="B75" s="25"/>
      <c r="C75" s="157"/>
      <c r="D75" s="157"/>
      <c r="E75" s="157"/>
      <c r="F75" s="157"/>
      <c r="G75" s="157"/>
      <c r="H75" s="157"/>
      <c r="I75" s="157"/>
      <c r="J75" s="157"/>
      <c r="K75" s="157"/>
      <c r="L75" s="157"/>
      <c r="M75" s="157"/>
      <c r="N75" s="157"/>
      <c r="O75" s="157"/>
      <c r="P75" s="157"/>
      <c r="Q75" s="157"/>
      <c r="R75" s="157"/>
      <c r="S75" s="157"/>
      <c r="T75" s="43"/>
      <c r="U75" s="43"/>
      <c r="V75" s="168"/>
      <c r="W75" s="168"/>
      <c r="X75" s="168"/>
      <c r="Y75" s="168"/>
      <c r="Z75" s="168"/>
      <c r="AA75" s="168"/>
      <c r="AB75" s="168"/>
      <c r="AC75" s="168"/>
      <c r="AD75" s="43"/>
      <c r="AE75" s="43"/>
      <c r="AF75" s="43"/>
      <c r="AG75" s="157"/>
      <c r="AH75" s="157"/>
      <c r="AI75" s="43"/>
      <c r="AJ75" s="200"/>
      <c r="AQ75" s="9"/>
      <c r="AR75" s="9"/>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row>
    <row r="76" spans="1:266" ht="15" customHeight="1">
      <c r="A76" s="25"/>
      <c r="B76" s="41" t="s">
        <v>2596</v>
      </c>
      <c r="C76" s="31"/>
      <c r="D76" s="31"/>
      <c r="E76" s="31"/>
      <c r="F76" s="31"/>
      <c r="G76" s="31"/>
      <c r="H76" s="31"/>
      <c r="I76" s="31"/>
      <c r="J76" s="31"/>
      <c r="K76" s="31"/>
      <c r="L76" s="31"/>
      <c r="M76" s="31"/>
      <c r="N76" s="31"/>
      <c r="O76" s="31"/>
      <c r="P76" s="31"/>
      <c r="Q76" s="31"/>
      <c r="R76" s="31"/>
      <c r="S76" s="31"/>
      <c r="T76" s="43"/>
      <c r="U76" s="31"/>
      <c r="V76" s="168"/>
      <c r="W76" s="168"/>
      <c r="X76" s="168"/>
      <c r="Y76" s="168"/>
      <c r="Z76" s="168"/>
      <c r="AA76" s="168"/>
      <c r="AB76" s="168"/>
      <c r="AC76" s="168"/>
      <c r="AD76" s="31"/>
      <c r="AE76" s="31"/>
      <c r="AF76" s="42"/>
      <c r="AG76" s="157"/>
      <c r="AH76" s="157"/>
      <c r="AI76" s="31"/>
      <c r="AJ76" s="200"/>
      <c r="AM76" s="847" t="s">
        <v>2481</v>
      </c>
      <c r="AN76" s="847"/>
      <c r="AO76" s="736" t="s">
        <v>2482</v>
      </c>
      <c r="AP76" s="736"/>
      <c r="AQ76" s="736"/>
      <c r="AR76" s="736"/>
      <c r="AS76" s="736"/>
      <c r="AT76" s="736"/>
      <c r="AU76" s="736"/>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row>
    <row r="77" spans="1:266" ht="12.75" customHeight="1">
      <c r="A77" s="25"/>
      <c r="B77" s="179"/>
      <c r="C77" s="176"/>
      <c r="D77" s="176"/>
      <c r="E77" s="176"/>
      <c r="F77" s="176"/>
      <c r="G77" s="385"/>
      <c r="H77" s="385"/>
      <c r="I77" s="385"/>
      <c r="J77" s="176"/>
      <c r="K77" s="176"/>
      <c r="L77" s="176"/>
      <c r="M77" s="176"/>
      <c r="N77" s="192"/>
      <c r="O77" s="192"/>
      <c r="P77" s="26"/>
      <c r="Q77" s="176"/>
      <c r="R77" s="176"/>
      <c r="S77" s="182"/>
      <c r="T77" s="182"/>
      <c r="U77" s="552"/>
      <c r="V77" s="385"/>
      <c r="W77" s="193"/>
      <c r="X77" s="193"/>
      <c r="Y77" s="193"/>
      <c r="Z77" s="388"/>
      <c r="AA77" s="388"/>
      <c r="AB77" s="388"/>
      <c r="AC77" s="388"/>
      <c r="AD77" s="388"/>
      <c r="AE77" s="552"/>
      <c r="AF77" s="356" t="s">
        <v>2483</v>
      </c>
      <c r="AG77" s="356"/>
      <c r="AH77" s="356"/>
      <c r="AI77" s="27"/>
      <c r="AJ77" s="200"/>
      <c r="AM77" s="10" t="s">
        <v>2484</v>
      </c>
      <c r="AN77" s="10" t="s">
        <v>2485</v>
      </c>
      <c r="AO77" s="10" t="s">
        <v>2486</v>
      </c>
      <c r="AP77" s="10" t="s">
        <v>2487</v>
      </c>
      <c r="AQ77" s="10" t="s">
        <v>2488</v>
      </c>
      <c r="AR77" s="10" t="s">
        <v>2597</v>
      </c>
      <c r="AS77" s="10" t="s">
        <v>2598</v>
      </c>
      <c r="AT77" s="10" t="s">
        <v>2532</v>
      </c>
      <c r="AU77" s="10" t="s">
        <v>2490</v>
      </c>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row>
    <row r="78" spans="1:266">
      <c r="A78" s="25"/>
      <c r="B78" s="555"/>
      <c r="C78" s="159" t="s">
        <v>2599</v>
      </c>
      <c r="D78" s="159"/>
      <c r="E78" s="159"/>
      <c r="F78" s="158"/>
      <c r="G78" s="158"/>
      <c r="H78" s="158"/>
      <c r="I78" s="158"/>
      <c r="J78" s="157"/>
      <c r="K78" s="157"/>
      <c r="L78" s="420"/>
      <c r="M78" s="521"/>
      <c r="N78" s="521"/>
      <c r="O78" s="521"/>
      <c r="P78" s="521"/>
      <c r="Q78" s="157"/>
      <c r="R78" s="157"/>
      <c r="S78" s="43"/>
      <c r="T78" s="43"/>
      <c r="U78" s="185"/>
      <c r="V78" s="158" t="s">
        <v>2547</v>
      </c>
      <c r="W78" s="850"/>
      <c r="X78" s="851"/>
      <c r="Y78" s="159"/>
      <c r="Z78" s="185"/>
      <c r="AA78" s="185"/>
      <c r="AB78" s="185"/>
      <c r="AC78" s="185"/>
      <c r="AD78" s="185" t="s">
        <v>2600</v>
      </c>
      <c r="AE78" s="371" t="s">
        <v>142</v>
      </c>
      <c r="AF78" s="855" t="str">
        <f>IF(AK78=FALSE,IF(W78="","","Chk Box"),IF(W78="",0,W78*200))</f>
        <v/>
      </c>
      <c r="AG78" s="855"/>
      <c r="AH78" s="855"/>
      <c r="AI78" s="181"/>
      <c r="AJ78" s="200"/>
      <c r="AK78" s="187" t="b">
        <v>0</v>
      </c>
      <c r="AL78" s="9"/>
      <c r="AM78" s="556">
        <f t="shared" ref="AM78:AM84" si="20">IFERROR(IF($AQ78="",AO78,IF($AS78="",(VLOOKUP($AU78,StackingEffects,2,FALSE)*AT78),(VLOOKUP($AS78,StackingEffects,2,FALSE)*AR78))),0)</f>
        <v>0</v>
      </c>
      <c r="AN78" s="556">
        <f t="shared" ref="AN78:AN84" si="21">IFERROR(IF($AQ78="",AP78,IF($AS78="",(VLOOKUP($AU78,StackingEffects,2,FALSE)*AP78),(VLOOKUP($AS78,StackingEffects,2,FALSE)*AP78))),0)</f>
        <v>0</v>
      </c>
      <c r="AO78" s="556">
        <f>IF(AF78="Chk Box",0,IF(AF78&gt;1,W78*814.5,0))</f>
        <v>0</v>
      </c>
      <c r="AP78" s="556">
        <f>IF(AF78="Chk Box",0,IF(AF78&gt;1,W78*0.405,0))</f>
        <v>0</v>
      </c>
      <c r="AQ78" s="395" t="s">
        <v>2601</v>
      </c>
      <c r="AR78" s="395">
        <f>IF($AQ78="WATER HEATER",$AO78,0)</f>
        <v>0</v>
      </c>
      <c r="AS78" s="395" t="str">
        <f t="shared" ref="AS78:AS84" si="22">IF($AR78=0,"",_xlfn.RANK.EQ($AR78,$AR$78:$AR$87,0))</f>
        <v/>
      </c>
      <c r="AT78" s="400"/>
      <c r="AU78" s="400"/>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688"/>
      <c r="CB78" s="688"/>
      <c r="CC78" s="688"/>
      <c r="CD78" s="688"/>
      <c r="CE78" s="688"/>
      <c r="CF78" s="688"/>
      <c r="CG78" s="688"/>
      <c r="CH78" s="688"/>
      <c r="CI78" s="688"/>
      <c r="CJ78" s="688"/>
      <c r="CK78" s="688"/>
      <c r="CL78" s="688"/>
      <c r="CM78" s="688"/>
      <c r="CN78" s="688"/>
      <c r="CO78" s="688"/>
      <c r="CP78" s="688"/>
      <c r="CQ78" s="688"/>
      <c r="CR78" s="688"/>
      <c r="CS78" s="688"/>
      <c r="CT78" s="688"/>
      <c r="CU78" s="688"/>
      <c r="CV78" s="688"/>
      <c r="CW78" s="688"/>
      <c r="CX78" s="688"/>
      <c r="CY78" s="688"/>
      <c r="CZ78" s="688"/>
      <c r="DA78" s="688"/>
      <c r="DB78" s="688"/>
      <c r="DC78" s="68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row>
    <row r="79" spans="1:266" ht="12.75" hidden="1" customHeight="1">
      <c r="A79" s="25"/>
      <c r="B79" s="564"/>
      <c r="C79" s="561" t="s">
        <v>2602</v>
      </c>
      <c r="D79" s="157"/>
      <c r="E79" s="157"/>
      <c r="F79" s="158"/>
      <c r="G79" s="156"/>
      <c r="H79" s="156"/>
      <c r="I79" s="156"/>
      <c r="J79" s="156"/>
      <c r="K79" s="156"/>
      <c r="L79" s="420"/>
      <c r="M79" s="521"/>
      <c r="N79" s="521"/>
      <c r="O79" s="521"/>
      <c r="P79" s="521"/>
      <c r="Q79" s="157"/>
      <c r="R79" s="157"/>
      <c r="S79" s="43"/>
      <c r="T79" s="43"/>
      <c r="U79" s="185"/>
      <c r="V79" s="158" t="s">
        <v>2547</v>
      </c>
      <c r="W79" s="850"/>
      <c r="X79" s="851"/>
      <c r="Y79" s="29"/>
      <c r="Z79" s="168"/>
      <c r="AA79" s="168"/>
      <c r="AB79" s="168"/>
      <c r="AC79" s="168"/>
      <c r="AD79" s="185" t="s">
        <v>2603</v>
      </c>
      <c r="AE79" s="371" t="s">
        <v>142</v>
      </c>
      <c r="AF79" s="856" t="str">
        <f>IF(AK79=FALSE,IF(W79="","",IF($AO$1="OR","ID Only","Chk Box")),IF($AO$1="OR","ID Only",IF(W79="",0,W79*100)))</f>
        <v/>
      </c>
      <c r="AG79" s="856"/>
      <c r="AH79" s="856"/>
      <c r="AI79" s="181"/>
      <c r="AJ79" s="200"/>
      <c r="AK79" s="187" t="b">
        <v>0</v>
      </c>
      <c r="AL79" s="9"/>
      <c r="AM79" s="556">
        <f t="shared" si="20"/>
        <v>0</v>
      </c>
      <c r="AN79" s="556">
        <f t="shared" si="21"/>
        <v>0</v>
      </c>
      <c r="AO79" s="556">
        <f>IF(OR(AF79="Chk Box",AF79="ID Only"),0,IF(AF79&gt;1,W79*285,0))</f>
        <v>0</v>
      </c>
      <c r="AP79" s="556">
        <f>IF(AF79="Chk Box",0,IF(AF79&gt;1,W79*0.05,0))</f>
        <v>0</v>
      </c>
      <c r="AQ79" s="395"/>
      <c r="AR79" s="395">
        <f t="shared" ref="AR79:AR87" si="23">IF($AQ79="WATER HEATER",$AO79,0)</f>
        <v>0</v>
      </c>
      <c r="AS79" s="395" t="str">
        <f t="shared" si="22"/>
        <v/>
      </c>
      <c r="AT79" s="400"/>
      <c r="AU79" s="4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687"/>
      <c r="CB79" s="687"/>
      <c r="CC79" s="687"/>
      <c r="CD79" s="687"/>
      <c r="CE79" s="687"/>
      <c r="CF79" s="687"/>
      <c r="CG79" s="687"/>
      <c r="CH79" s="687"/>
      <c r="CI79" s="687"/>
      <c r="CJ79" s="687"/>
      <c r="CK79" s="687"/>
      <c r="CL79" s="687"/>
      <c r="CM79" s="687"/>
      <c r="CN79" s="687"/>
      <c r="CO79" s="687"/>
      <c r="CP79" s="687"/>
      <c r="CQ79" s="687"/>
      <c r="CR79" s="687"/>
      <c r="CS79" s="687"/>
      <c r="CT79" s="687"/>
      <c r="CU79" s="687"/>
      <c r="CV79" s="687"/>
      <c r="CW79" s="687"/>
      <c r="CX79" s="687"/>
      <c r="CY79" s="687"/>
      <c r="CZ79" s="687"/>
      <c r="DA79" s="687"/>
      <c r="DB79" s="687"/>
      <c r="DC79" s="687"/>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row>
    <row r="80" spans="1:266" ht="15" hidden="1" customHeight="1">
      <c r="A80" s="25"/>
      <c r="B80" s="564"/>
      <c r="C80" s="561" t="s">
        <v>2604</v>
      </c>
      <c r="D80" s="157"/>
      <c r="E80" s="157"/>
      <c r="F80" s="158"/>
      <c r="G80" s="156"/>
      <c r="H80" s="156"/>
      <c r="I80" s="156"/>
      <c r="J80" s="156"/>
      <c r="K80" s="156"/>
      <c r="L80" s="420"/>
      <c r="M80" s="521"/>
      <c r="N80" s="521"/>
      <c r="O80" s="521"/>
      <c r="P80" s="521"/>
      <c r="Q80" s="157"/>
      <c r="R80" s="157"/>
      <c r="S80" s="43"/>
      <c r="T80" s="43"/>
      <c r="U80" s="185"/>
      <c r="V80" s="158" t="s">
        <v>2547</v>
      </c>
      <c r="W80" s="850"/>
      <c r="X80" s="851"/>
      <c r="Y80" s="29"/>
      <c r="Z80" s="168"/>
      <c r="AA80" s="168"/>
      <c r="AB80" s="168"/>
      <c r="AC80" s="168"/>
      <c r="AD80" s="185" t="s">
        <v>2605</v>
      </c>
      <c r="AE80" s="371" t="s">
        <v>142</v>
      </c>
      <c r="AF80" s="855" t="str">
        <f>IF(AK80=FALSE,IF(W80="","","Chk Box"),IF(W80="",0,W80*300))</f>
        <v/>
      </c>
      <c r="AG80" s="855"/>
      <c r="AH80" s="855"/>
      <c r="AI80" s="181"/>
      <c r="AJ80" s="197"/>
      <c r="AK80" s="187" t="b">
        <v>0</v>
      </c>
      <c r="AL80" s="9"/>
      <c r="AM80" s="556">
        <f t="shared" si="20"/>
        <v>0</v>
      </c>
      <c r="AN80" s="556">
        <f t="shared" si="21"/>
        <v>0</v>
      </c>
      <c r="AO80" s="556">
        <f>IF(AF80="Chk Box",0,IF(AF80&gt;1,W80*2608,0))</f>
        <v>0</v>
      </c>
      <c r="AP80" s="556">
        <f>IF(AF80="Chk Box",0,IF(AF80&gt;1,W80*0.49,0))</f>
        <v>0</v>
      </c>
      <c r="AQ80" s="395"/>
      <c r="AR80" s="395">
        <f t="shared" si="23"/>
        <v>0</v>
      </c>
      <c r="AS80" s="395" t="str">
        <f t="shared" si="22"/>
        <v/>
      </c>
      <c r="AT80" s="400"/>
      <c r="AU80" s="4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687"/>
      <c r="CB80" s="687"/>
      <c r="CC80" s="687"/>
      <c r="CD80" s="687"/>
      <c r="CE80" s="687"/>
      <c r="CF80" s="687"/>
      <c r="CG80" s="687"/>
      <c r="CH80" s="687"/>
      <c r="CI80" s="687"/>
      <c r="CJ80" s="687"/>
      <c r="CK80" s="687"/>
      <c r="CL80" s="687"/>
      <c r="CM80" s="687"/>
      <c r="CN80" s="687"/>
      <c r="CO80" s="687"/>
      <c r="CP80" s="687"/>
      <c r="CQ80" s="687"/>
      <c r="CR80" s="687"/>
      <c r="CS80" s="687"/>
      <c r="CT80" s="687"/>
      <c r="CU80" s="687"/>
      <c r="CV80" s="687"/>
      <c r="CW80" s="687"/>
      <c r="CX80" s="687"/>
      <c r="CY80" s="687"/>
      <c r="CZ80" s="687"/>
      <c r="DA80" s="687"/>
      <c r="DB80" s="687"/>
      <c r="DC80" s="687"/>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row>
    <row r="81" spans="1:266" ht="12.75" hidden="1" customHeight="1">
      <c r="A81" s="25"/>
      <c r="B81" s="564"/>
      <c r="C81" s="561" t="s">
        <v>2606</v>
      </c>
      <c r="D81" s="157"/>
      <c r="E81" s="157"/>
      <c r="F81" s="158"/>
      <c r="G81" s="156"/>
      <c r="H81" s="156"/>
      <c r="I81" s="156"/>
      <c r="J81" s="156"/>
      <c r="K81" s="156"/>
      <c r="L81" s="420"/>
      <c r="M81" s="521"/>
      <c r="N81" s="521"/>
      <c r="O81" s="521"/>
      <c r="P81" s="521"/>
      <c r="Q81" s="157"/>
      <c r="R81" s="157"/>
      <c r="S81" s="43"/>
      <c r="T81" s="43"/>
      <c r="U81" s="185"/>
      <c r="V81" s="158" t="s">
        <v>2547</v>
      </c>
      <c r="W81" s="850"/>
      <c r="X81" s="851"/>
      <c r="Y81" s="29"/>
      <c r="Z81" s="168"/>
      <c r="AA81" s="168"/>
      <c r="AB81" s="168"/>
      <c r="AC81" s="168"/>
      <c r="AD81" s="185" t="s">
        <v>2600</v>
      </c>
      <c r="AE81" s="371" t="s">
        <v>142</v>
      </c>
      <c r="AF81" s="855" t="str">
        <f>IF(AK81=FALSE,IF(W81="","","Chk Box"),IF(W81="",0,W81*200))</f>
        <v/>
      </c>
      <c r="AG81" s="855"/>
      <c r="AH81" s="855"/>
      <c r="AI81" s="181"/>
      <c r="AJ81" s="200"/>
      <c r="AK81" s="187" t="b">
        <v>0</v>
      </c>
      <c r="AL81" s="9"/>
      <c r="AM81" s="556">
        <f t="shared" si="20"/>
        <v>0</v>
      </c>
      <c r="AN81" s="556">
        <f t="shared" si="21"/>
        <v>0</v>
      </c>
      <c r="AO81" s="556">
        <f>IF(AF81="Chk Box",0,IF(AF81&gt;1,W81*1106,0))</f>
        <v>0</v>
      </c>
      <c r="AP81" s="556">
        <f>IF(AF81="Chk Box",0,IF(AF81&gt;1,W81*0.14,0))</f>
        <v>0</v>
      </c>
      <c r="AQ81" s="395"/>
      <c r="AR81" s="395">
        <f t="shared" si="23"/>
        <v>0</v>
      </c>
      <c r="AS81" s="395" t="str">
        <f t="shared" si="22"/>
        <v/>
      </c>
      <c r="AT81" s="400"/>
      <c r="AU81" s="400"/>
      <c r="AV81" s="100"/>
      <c r="AW81" s="100"/>
      <c r="AX81" s="94"/>
      <c r="AY81" s="94"/>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687"/>
      <c r="CB81" s="687"/>
      <c r="CC81" s="687"/>
      <c r="CD81" s="687"/>
      <c r="CE81" s="687"/>
      <c r="CF81" s="687"/>
      <c r="CG81" s="687"/>
      <c r="CH81" s="687"/>
      <c r="CI81" s="687"/>
      <c r="CJ81" s="687"/>
      <c r="CK81" s="687"/>
      <c r="CL81" s="687"/>
      <c r="CM81" s="687"/>
      <c r="CN81" s="687"/>
      <c r="CO81" s="687"/>
      <c r="CP81" s="687"/>
      <c r="CQ81" s="687"/>
      <c r="CR81" s="687"/>
      <c r="CS81" s="687"/>
      <c r="CT81" s="687"/>
      <c r="CU81" s="687"/>
      <c r="CV81" s="687"/>
      <c r="CW81" s="687"/>
      <c r="CX81" s="687"/>
      <c r="CY81" s="687"/>
      <c r="CZ81" s="687"/>
      <c r="DA81" s="687"/>
      <c r="DB81" s="687"/>
      <c r="DC81" s="687"/>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c r="IV81" s="10"/>
      <c r="IW81" s="10"/>
      <c r="IX81" s="10"/>
      <c r="IY81" s="10"/>
      <c r="IZ81" s="10"/>
      <c r="JA81" s="10"/>
      <c r="JB81" s="10"/>
      <c r="JC81" s="10"/>
      <c r="JD81" s="10"/>
      <c r="JE81" s="10"/>
      <c r="JF81" s="10"/>
    </row>
    <row r="82" spans="1:266" ht="12.75" hidden="1" customHeight="1">
      <c r="A82" s="25"/>
      <c r="B82" s="564"/>
      <c r="C82" s="561" t="s">
        <v>2607</v>
      </c>
      <c r="D82" s="157"/>
      <c r="E82" s="157"/>
      <c r="F82" s="158"/>
      <c r="G82" s="156"/>
      <c r="H82" s="156"/>
      <c r="I82" s="156"/>
      <c r="J82" s="156"/>
      <c r="K82" s="156"/>
      <c r="L82" s="420"/>
      <c r="M82" s="521"/>
      <c r="N82" s="521"/>
      <c r="O82" s="521"/>
      <c r="P82" s="521"/>
      <c r="Q82" s="157"/>
      <c r="R82" s="157"/>
      <c r="S82" s="43"/>
      <c r="T82" s="43"/>
      <c r="U82" s="185"/>
      <c r="V82" s="158" t="s">
        <v>2547</v>
      </c>
      <c r="W82" s="850"/>
      <c r="X82" s="851"/>
      <c r="Y82" s="29"/>
      <c r="Z82" s="168"/>
      <c r="AA82" s="168"/>
      <c r="AB82" s="168"/>
      <c r="AC82" s="168"/>
      <c r="AD82" s="185" t="s">
        <v>2608</v>
      </c>
      <c r="AE82" s="371" t="s">
        <v>142</v>
      </c>
      <c r="AF82" s="855" t="str">
        <f>IF(AK82=FALSE,IF(W82="","","Chk Box"),IF(W82="",0,W82*350))</f>
        <v/>
      </c>
      <c r="AG82" s="855"/>
      <c r="AH82" s="855"/>
      <c r="AI82" s="181"/>
      <c r="AJ82" s="32"/>
      <c r="AK82" s="187" t="b">
        <v>0</v>
      </c>
      <c r="AL82" s="9"/>
      <c r="AM82" s="556">
        <f t="shared" si="20"/>
        <v>0</v>
      </c>
      <c r="AN82" s="556">
        <f t="shared" si="21"/>
        <v>0</v>
      </c>
      <c r="AO82" s="556">
        <f>IF(AF82="Chk Box",0,IF(AF82&gt;1,W82*2493,0))</f>
        <v>0</v>
      </c>
      <c r="AP82" s="556">
        <f>IF(AF82="Chk Box",0,IF(AF82&gt;1,W82*0.31,0))</f>
        <v>0</v>
      </c>
      <c r="AQ82" s="395"/>
      <c r="AR82" s="395">
        <f t="shared" si="23"/>
        <v>0</v>
      </c>
      <c r="AS82" s="395" t="str">
        <f t="shared" si="22"/>
        <v/>
      </c>
      <c r="AT82" s="400"/>
      <c r="AU82" s="400"/>
      <c r="AV82" s="100"/>
      <c r="AW82" s="100"/>
      <c r="AX82" s="94"/>
      <c r="AY82" s="94"/>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687"/>
      <c r="CB82" s="687"/>
      <c r="CC82" s="687"/>
      <c r="CD82" s="687"/>
      <c r="CE82" s="687"/>
      <c r="CF82" s="687"/>
      <c r="CG82" s="687"/>
      <c r="CH82" s="687"/>
      <c r="CI82" s="687"/>
      <c r="CJ82" s="687"/>
      <c r="CK82" s="687"/>
      <c r="CL82" s="687"/>
      <c r="CM82" s="687"/>
      <c r="CN82" s="687"/>
      <c r="CO82" s="687"/>
      <c r="CP82" s="687"/>
      <c r="CQ82" s="687"/>
      <c r="CR82" s="687"/>
      <c r="CS82" s="687"/>
      <c r="CT82" s="687"/>
      <c r="CU82" s="687"/>
      <c r="CV82" s="687"/>
      <c r="CW82" s="687"/>
      <c r="CX82" s="687"/>
      <c r="CY82" s="687"/>
      <c r="CZ82" s="687"/>
      <c r="DA82" s="687"/>
      <c r="DB82" s="687"/>
      <c r="DC82" s="687"/>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c r="IC82" s="10"/>
      <c r="ID82" s="10"/>
      <c r="IE82" s="10"/>
      <c r="IF82" s="10"/>
      <c r="IG82" s="10"/>
      <c r="IH82" s="10"/>
      <c r="II82" s="10"/>
      <c r="IJ82" s="10"/>
      <c r="IK82" s="10"/>
      <c r="IL82" s="10"/>
      <c r="IM82" s="10"/>
      <c r="IN82" s="10"/>
      <c r="IO82" s="10"/>
      <c r="IP82" s="10"/>
      <c r="IQ82" s="10"/>
      <c r="IR82" s="10"/>
      <c r="IS82" s="10"/>
      <c r="IT82" s="10"/>
      <c r="IU82" s="10"/>
      <c r="IV82" s="10"/>
      <c r="IW82" s="10"/>
      <c r="IX82" s="10"/>
      <c r="IY82" s="10"/>
      <c r="IZ82" s="10"/>
      <c r="JA82" s="10"/>
      <c r="JB82" s="10"/>
      <c r="JC82" s="10"/>
      <c r="JD82" s="10"/>
      <c r="JE82" s="10"/>
      <c r="JF82" s="10"/>
    </row>
    <row r="83" spans="1:266" ht="15.75" hidden="1" customHeight="1">
      <c r="A83" s="25"/>
      <c r="B83" s="564"/>
      <c r="C83" s="560" t="s">
        <v>2609</v>
      </c>
      <c r="D83" s="159"/>
      <c r="E83" s="159"/>
      <c r="F83" s="158"/>
      <c r="G83" s="156"/>
      <c r="H83" s="156"/>
      <c r="I83" s="156"/>
      <c r="J83" s="156"/>
      <c r="K83" s="156"/>
      <c r="L83" s="521"/>
      <c r="M83" s="521"/>
      <c r="N83" s="521"/>
      <c r="O83" s="521"/>
      <c r="P83" s="521"/>
      <c r="Q83" s="521"/>
      <c r="R83" s="521"/>
      <c r="S83" s="43"/>
      <c r="T83" s="43"/>
      <c r="U83" s="185"/>
      <c r="V83" s="158" t="s">
        <v>2547</v>
      </c>
      <c r="W83" s="850"/>
      <c r="X83" s="851"/>
      <c r="Y83" s="29"/>
      <c r="Z83" s="168"/>
      <c r="AA83" s="168"/>
      <c r="AB83" s="168"/>
      <c r="AC83" s="168"/>
      <c r="AD83" s="185" t="s">
        <v>2610</v>
      </c>
      <c r="AE83" s="371" t="s">
        <v>142</v>
      </c>
      <c r="AF83" s="855" t="str">
        <f>IF(AK83=FALSE,IF(W83="","","Chk Box"),IF(W83="",0,W83*500))</f>
        <v/>
      </c>
      <c r="AG83" s="855"/>
      <c r="AH83" s="855"/>
      <c r="AI83" s="181"/>
      <c r="AJ83" s="32"/>
      <c r="AK83" s="187" t="b">
        <v>0</v>
      </c>
      <c r="AL83" s="13"/>
      <c r="AM83" s="556">
        <f t="shared" si="20"/>
        <v>0</v>
      </c>
      <c r="AN83" s="556">
        <f t="shared" si="21"/>
        <v>0</v>
      </c>
      <c r="AO83" s="556">
        <f>IF(AF83="Chk Box",0,IF(AF83&gt;1,W83*4385,0))</f>
        <v>0</v>
      </c>
      <c r="AP83" s="556">
        <f>IF(AF83="Chk Box",0,IF(AF83&gt;1,W83*0.55,0))</f>
        <v>0</v>
      </c>
      <c r="AQ83" s="395"/>
      <c r="AR83" s="395">
        <f t="shared" si="23"/>
        <v>0</v>
      </c>
      <c r="AS83" s="395" t="str">
        <f t="shared" si="22"/>
        <v/>
      </c>
      <c r="AT83" s="400"/>
      <c r="AU83" s="400"/>
      <c r="AV83" s="100"/>
      <c r="AW83" s="100"/>
      <c r="AX83" s="94"/>
      <c r="AY83" s="94"/>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687"/>
      <c r="CB83" s="687"/>
      <c r="CC83" s="687"/>
      <c r="CD83" s="687"/>
      <c r="CE83" s="687"/>
      <c r="CF83" s="687"/>
      <c r="CG83" s="687"/>
      <c r="CH83" s="687"/>
      <c r="CI83" s="687"/>
      <c r="CJ83" s="687"/>
      <c r="CK83" s="687"/>
      <c r="CL83" s="687"/>
      <c r="CM83" s="687"/>
      <c r="CN83" s="687"/>
      <c r="CO83" s="687"/>
      <c r="CP83" s="687"/>
      <c r="CQ83" s="687"/>
      <c r="CR83" s="687"/>
      <c r="CS83" s="687"/>
      <c r="CT83" s="687"/>
      <c r="CU83" s="687"/>
      <c r="CV83" s="687"/>
      <c r="CW83" s="687"/>
      <c r="CX83" s="687"/>
      <c r="CY83" s="687"/>
      <c r="CZ83" s="687"/>
      <c r="DA83" s="687"/>
      <c r="DB83" s="687"/>
      <c r="DC83" s="687"/>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row>
    <row r="84" spans="1:266" ht="15.75" hidden="1" customHeight="1">
      <c r="A84" s="25"/>
      <c r="B84" s="564"/>
      <c r="C84" s="560" t="s">
        <v>2611</v>
      </c>
      <c r="D84" s="159"/>
      <c r="E84" s="159"/>
      <c r="F84" s="158"/>
      <c r="G84" s="156"/>
      <c r="H84" s="156"/>
      <c r="I84" s="156"/>
      <c r="J84" s="156"/>
      <c r="K84" s="156"/>
      <c r="L84" s="521"/>
      <c r="M84" s="521"/>
      <c r="N84" s="521"/>
      <c r="O84" s="521"/>
      <c r="P84" s="158" t="s">
        <v>2612</v>
      </c>
      <c r="Q84" s="850"/>
      <c r="R84" s="851"/>
      <c r="S84" s="43"/>
      <c r="T84" s="43"/>
      <c r="U84" s="185"/>
      <c r="V84" s="158" t="s">
        <v>2613</v>
      </c>
      <c r="W84" s="850"/>
      <c r="X84" s="851"/>
      <c r="Y84" s="29"/>
      <c r="Z84" s="168"/>
      <c r="AA84" s="168"/>
      <c r="AB84" s="168"/>
      <c r="AC84" s="168"/>
      <c r="AD84" s="185" t="s">
        <v>2600</v>
      </c>
      <c r="AE84" s="371" t="s">
        <v>142</v>
      </c>
      <c r="AF84" s="855" t="str">
        <f>IF(AK84=FALSE,IF(AND(W84="",Q84=""),"","Chk Box"),IF(AND(Q84="",W84=""),0,(Q84+W84)*200))</f>
        <v/>
      </c>
      <c r="AG84" s="855"/>
      <c r="AH84" s="855"/>
      <c r="AI84" s="181"/>
      <c r="AJ84" s="32"/>
      <c r="AK84" s="187" t="b">
        <v>0</v>
      </c>
      <c r="AL84" s="13"/>
      <c r="AM84" s="556">
        <f t="shared" si="20"/>
        <v>0</v>
      </c>
      <c r="AN84" s="556">
        <f t="shared" si="21"/>
        <v>0</v>
      </c>
      <c r="AO84" s="556">
        <f>IF(AF84="Chk Box",0,IF(AF84&gt;1,(Q84*1111)+(W84*5563),0))</f>
        <v>0</v>
      </c>
      <c r="AP84" s="556">
        <f>IF(AF84="Chk Box",0,IF(AF84&gt;1,(Q84*0.02)+(W84*0.63),0))</f>
        <v>0</v>
      </c>
      <c r="AQ84" s="395" t="s">
        <v>2494</v>
      </c>
      <c r="AR84" s="395">
        <f t="shared" si="23"/>
        <v>0</v>
      </c>
      <c r="AS84" s="395" t="str">
        <f t="shared" si="22"/>
        <v/>
      </c>
      <c r="AT84" s="395">
        <f>IF($AQ84="HVAC",$AO84,0)</f>
        <v>0</v>
      </c>
      <c r="AU84" s="395" t="str">
        <f>IF($AT84=0,"",_xlfn.RANK.EQ($AT84,$AT$34:$AT$84,0))</f>
        <v/>
      </c>
      <c r="AV84" s="100"/>
      <c r="AW84" s="100"/>
      <c r="AX84" s="94"/>
      <c r="AY84" s="94"/>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687"/>
      <c r="CB84" s="687"/>
      <c r="CC84" s="687"/>
      <c r="CD84" s="687"/>
      <c r="CE84" s="687"/>
      <c r="CF84" s="687"/>
      <c r="CG84" s="687"/>
      <c r="CH84" s="687"/>
      <c r="CI84" s="687"/>
      <c r="CJ84" s="687"/>
      <c r="CK84" s="687"/>
      <c r="CL84" s="687"/>
      <c r="CM84" s="687"/>
      <c r="CN84" s="687"/>
      <c r="CO84" s="687"/>
      <c r="CP84" s="687"/>
      <c r="CQ84" s="687"/>
      <c r="CR84" s="687"/>
      <c r="CS84" s="687"/>
      <c r="CT84" s="687"/>
      <c r="CU84" s="687"/>
      <c r="CV84" s="687"/>
      <c r="CW84" s="687"/>
      <c r="CX84" s="687"/>
      <c r="CY84" s="687"/>
      <c r="CZ84" s="687"/>
      <c r="DA84" s="687"/>
      <c r="DB84" s="687"/>
      <c r="DC84" s="687"/>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row>
    <row r="85" spans="1:266" ht="15.75" hidden="1" customHeight="1">
      <c r="A85" s="25"/>
      <c r="B85" s="564"/>
      <c r="C85" s="560"/>
      <c r="D85" s="408" t="s">
        <v>2614</v>
      </c>
      <c r="E85" s="159"/>
      <c r="F85" s="158"/>
      <c r="G85" s="156"/>
      <c r="H85" s="156"/>
      <c r="I85" s="156"/>
      <c r="J85" s="156"/>
      <c r="K85" s="156"/>
      <c r="L85" s="521"/>
      <c r="M85" s="521"/>
      <c r="N85" s="521"/>
      <c r="O85" s="521"/>
      <c r="P85" s="521"/>
      <c r="Q85" s="521"/>
      <c r="R85" s="521"/>
      <c r="S85" s="43"/>
      <c r="T85" s="43"/>
      <c r="U85" s="185"/>
      <c r="V85" s="185"/>
      <c r="W85" s="185"/>
      <c r="X85" s="185"/>
      <c r="Y85" s="185"/>
      <c r="Z85" s="185"/>
      <c r="AA85" s="168"/>
      <c r="AB85" s="168"/>
      <c r="AC85" s="168"/>
      <c r="AD85" s="185"/>
      <c r="AE85" s="185"/>
      <c r="AF85" s="185"/>
      <c r="AG85" s="185"/>
      <c r="AH85" s="185"/>
      <c r="AI85" s="181"/>
      <c r="AJ85" s="32"/>
      <c r="AK85" s="13"/>
      <c r="AL85" s="13"/>
      <c r="AM85" s="556"/>
      <c r="AN85" s="556"/>
      <c r="AO85" s="556"/>
      <c r="AP85" s="556"/>
      <c r="AQ85" s="395"/>
      <c r="AR85" s="395"/>
      <c r="AS85" s="395"/>
      <c r="AT85" s="400"/>
      <c r="AU85" s="400"/>
      <c r="AV85" s="100"/>
      <c r="AW85" s="100"/>
      <c r="AX85" s="94"/>
      <c r="AY85" s="94"/>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687"/>
      <c r="CB85" s="687"/>
      <c r="CC85" s="687"/>
      <c r="CD85" s="687"/>
      <c r="CE85" s="687"/>
      <c r="CF85" s="687"/>
      <c r="CG85" s="687"/>
      <c r="CH85" s="687"/>
      <c r="CI85" s="687"/>
      <c r="CJ85" s="687"/>
      <c r="CK85" s="687"/>
      <c r="CL85" s="687"/>
      <c r="CM85" s="687"/>
      <c r="CN85" s="687"/>
      <c r="CO85" s="687"/>
      <c r="CP85" s="687"/>
      <c r="CQ85" s="687"/>
      <c r="CR85" s="687"/>
      <c r="CS85" s="687"/>
      <c r="CT85" s="687"/>
      <c r="CU85" s="687"/>
      <c r="CV85" s="687"/>
      <c r="CW85" s="687"/>
      <c r="CX85" s="687"/>
      <c r="CY85" s="687"/>
      <c r="CZ85" s="687"/>
      <c r="DA85" s="687"/>
      <c r="DB85" s="687"/>
      <c r="DC85" s="687"/>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row>
    <row r="86" spans="1:266" ht="15.75" hidden="1" customHeight="1">
      <c r="A86" s="25"/>
      <c r="B86" s="564"/>
      <c r="C86" s="560" t="s">
        <v>2615</v>
      </c>
      <c r="D86" s="159"/>
      <c r="E86" s="159"/>
      <c r="F86" s="158"/>
      <c r="G86" s="156"/>
      <c r="H86" s="156"/>
      <c r="I86" s="156"/>
      <c r="J86" s="156"/>
      <c r="K86" s="156"/>
      <c r="L86" s="521"/>
      <c r="M86" s="521"/>
      <c r="N86" s="521"/>
      <c r="O86" s="521"/>
      <c r="P86" s="521"/>
      <c r="Q86" s="521"/>
      <c r="R86" s="521"/>
      <c r="S86" s="43"/>
      <c r="T86" s="43"/>
      <c r="U86" s="185"/>
      <c r="V86" s="158" t="s">
        <v>2561</v>
      </c>
      <c r="W86" s="850"/>
      <c r="X86" s="851"/>
      <c r="Y86" s="29" t="s">
        <v>2583</v>
      </c>
      <c r="Z86" s="168"/>
      <c r="AA86" s="168"/>
      <c r="AB86" s="168"/>
      <c r="AC86" s="168"/>
      <c r="AD86" s="185" t="s">
        <v>2584</v>
      </c>
      <c r="AE86" s="371" t="s">
        <v>142</v>
      </c>
      <c r="AF86" s="855" t="str">
        <f>IF(AK86=FALSE,IF(W86="","","Chk Box"),IF(W86="",0,W86*50))</f>
        <v/>
      </c>
      <c r="AG86" s="855"/>
      <c r="AH86" s="855"/>
      <c r="AI86" s="181"/>
      <c r="AJ86" s="32"/>
      <c r="AK86" s="187" t="b">
        <v>0</v>
      </c>
      <c r="AL86" s="13"/>
      <c r="AM86" s="556">
        <f>IFERROR(IF($AQ86="",AO86,IF($AS86="",(VLOOKUP($AU86,StackingEffects,2,FALSE)*AT86),(VLOOKUP($AS86,StackingEffects,2,FALSE)*AR86))),0)</f>
        <v>0</v>
      </c>
      <c r="AN86" s="556">
        <f>IFERROR(IF($AQ86="",AP86,IF($AS86="",(VLOOKUP($AU86,StackingEffects,2,FALSE)*AP86),(VLOOKUP($AS86,StackingEffects,2,FALSE)*AP86))),0)</f>
        <v>0</v>
      </c>
      <c r="AO86" s="556">
        <f>IF(AF86="Chk Box",0,IF(AF86&gt;1,W86*2738,0))</f>
        <v>0</v>
      </c>
      <c r="AP86" s="556">
        <f>IF(AF86="Chk Box",0,IF(AF86&gt;1,W86*0,0))</f>
        <v>0</v>
      </c>
      <c r="AQ86" s="395"/>
      <c r="AR86" s="395">
        <f t="shared" si="23"/>
        <v>0</v>
      </c>
      <c r="AS86" s="395" t="str">
        <f>IF($AR86=0,"",_xlfn.RANK.EQ($AR86,$AR$78:$AR$87,0))</f>
        <v/>
      </c>
      <c r="AT86" s="400"/>
      <c r="AU86" s="400"/>
      <c r="AV86" s="100"/>
      <c r="AW86" s="100"/>
      <c r="AX86" s="94"/>
      <c r="AY86" s="94"/>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A86" s="687"/>
      <c r="CB86" s="687"/>
      <c r="CC86" s="687"/>
      <c r="CD86" s="687"/>
      <c r="CE86" s="687"/>
      <c r="CF86" s="687"/>
      <c r="CG86" s="687"/>
      <c r="CH86" s="687"/>
      <c r="CI86" s="687"/>
      <c r="CJ86" s="687"/>
      <c r="CK86" s="687"/>
      <c r="CL86" s="687"/>
      <c r="CM86" s="687"/>
      <c r="CN86" s="687"/>
      <c r="CO86" s="687"/>
      <c r="CP86" s="687"/>
      <c r="CQ86" s="687"/>
      <c r="CR86" s="687"/>
      <c r="CS86" s="687"/>
      <c r="CT86" s="687"/>
      <c r="CU86" s="687"/>
      <c r="CV86" s="687"/>
      <c r="CW86" s="687"/>
      <c r="CX86" s="687"/>
      <c r="CY86" s="687"/>
      <c r="CZ86" s="687"/>
      <c r="DA86" s="687"/>
      <c r="DB86" s="687"/>
      <c r="DC86" s="687"/>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row>
    <row r="87" spans="1:266" ht="22.5" hidden="1" customHeight="1">
      <c r="A87" s="25"/>
      <c r="B87" s="564"/>
      <c r="C87" s="560" t="s">
        <v>2616</v>
      </c>
      <c r="D87" s="159"/>
      <c r="E87" s="159"/>
      <c r="F87" s="158"/>
      <c r="G87" s="156"/>
      <c r="H87" s="156"/>
      <c r="I87" s="156"/>
      <c r="J87" s="156"/>
      <c r="K87" s="156"/>
      <c r="L87" s="521"/>
      <c r="M87" s="521"/>
      <c r="N87" s="521"/>
      <c r="O87" s="521"/>
      <c r="P87" s="521"/>
      <c r="Q87" s="521"/>
      <c r="R87" s="521"/>
      <c r="S87" s="43"/>
      <c r="T87" s="43"/>
      <c r="U87" s="185"/>
      <c r="V87" s="158" t="s">
        <v>2561</v>
      </c>
      <c r="W87" s="850"/>
      <c r="X87" s="851"/>
      <c r="Y87" s="29" t="s">
        <v>2583</v>
      </c>
      <c r="Z87" s="168"/>
      <c r="AA87" s="168"/>
      <c r="AB87" s="168"/>
      <c r="AC87" s="168"/>
      <c r="AD87" s="185" t="s">
        <v>2603</v>
      </c>
      <c r="AE87" s="371" t="s">
        <v>142</v>
      </c>
      <c r="AF87" s="855" t="str">
        <f>IF(AK87=FALSE,IF(W87="","","Chk Box"),IF(W87="",0,W87*100))</f>
        <v/>
      </c>
      <c r="AG87" s="855"/>
      <c r="AH87" s="855"/>
      <c r="AI87" s="181"/>
      <c r="AJ87" s="32"/>
      <c r="AK87" s="187" t="b">
        <v>0</v>
      </c>
      <c r="AL87" s="13"/>
      <c r="AM87" s="556">
        <f>IFERROR(IF($AQ87="",AO87,IF($AS87="",(VLOOKUP($AU87,StackingEffects,2,FALSE)*AT87),(VLOOKUP($AS87,StackingEffects,2,FALSE)*AR87))),0)</f>
        <v>0</v>
      </c>
      <c r="AN87" s="556">
        <f>IFERROR(IF($AQ87="",AP87,IF($AS87="",(VLOOKUP($AU87,StackingEffects,2,FALSE)*AP87),(VLOOKUP($AS87,StackingEffects,2,FALSE)*AP87))),0)</f>
        <v>0</v>
      </c>
      <c r="AO87" s="556">
        <f>IF(AF87="Chk Box",0,IF(AF87&gt;1,W87*2352,0))</f>
        <v>0</v>
      </c>
      <c r="AP87" s="556">
        <f>IF(AF87="Chk Box",0,IF(AF87&gt;1,W87*0,0))</f>
        <v>0</v>
      </c>
      <c r="AQ87" s="395"/>
      <c r="AR87" s="395">
        <f t="shared" si="23"/>
        <v>0</v>
      </c>
      <c r="AS87" s="395" t="str">
        <f>IF($AR87=0,"",_xlfn.RANK.EQ($AR87,$AR$78:$AR$87,0))</f>
        <v/>
      </c>
      <c r="AT87" s="400"/>
      <c r="AU87" s="400"/>
      <c r="AV87" s="100"/>
      <c r="AW87" s="100"/>
      <c r="AX87" s="94"/>
      <c r="AY87" s="94"/>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687"/>
      <c r="CB87" s="687"/>
      <c r="CC87" s="687"/>
      <c r="CD87" s="687"/>
      <c r="CE87" s="687"/>
      <c r="CF87" s="687"/>
      <c r="CG87" s="687"/>
      <c r="CH87" s="687"/>
      <c r="CI87" s="687"/>
      <c r="CJ87" s="687"/>
      <c r="CK87" s="687"/>
      <c r="CL87" s="687"/>
      <c r="CM87" s="687"/>
      <c r="CN87" s="687"/>
      <c r="CO87" s="687"/>
      <c r="CP87" s="687"/>
      <c r="CQ87" s="687"/>
      <c r="CR87" s="687"/>
      <c r="CS87" s="687"/>
      <c r="CT87" s="687"/>
      <c r="CU87" s="687"/>
      <c r="CV87" s="687"/>
      <c r="CW87" s="687"/>
      <c r="CX87" s="687"/>
      <c r="CY87" s="687"/>
      <c r="CZ87" s="687"/>
      <c r="DA87" s="687"/>
      <c r="DB87" s="687"/>
      <c r="DC87" s="687"/>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c r="IV87" s="10"/>
      <c r="IW87" s="10"/>
      <c r="IX87" s="10"/>
      <c r="IY87" s="10"/>
      <c r="IZ87" s="10"/>
      <c r="JA87" s="10"/>
      <c r="JB87" s="10"/>
      <c r="JC87" s="10"/>
      <c r="JD87" s="10"/>
      <c r="JE87" s="10"/>
      <c r="JF87" s="10"/>
    </row>
    <row r="88" spans="1:266" ht="12.75" hidden="1" customHeight="1">
      <c r="A88" s="25"/>
      <c r="B88" s="565"/>
      <c r="C88" s="566"/>
      <c r="D88" s="167"/>
      <c r="E88" s="167"/>
      <c r="F88" s="167"/>
      <c r="G88" s="167"/>
      <c r="H88" s="167"/>
      <c r="I88" s="167"/>
      <c r="J88" s="167"/>
      <c r="K88" s="167"/>
      <c r="L88" s="167"/>
      <c r="M88" s="167"/>
      <c r="N88" s="167"/>
      <c r="O88" s="167"/>
      <c r="P88" s="167"/>
      <c r="Q88" s="167"/>
      <c r="R88" s="167"/>
      <c r="S88" s="167"/>
      <c r="T88" s="384"/>
      <c r="U88" s="384"/>
      <c r="V88" s="191"/>
      <c r="W88" s="191"/>
      <c r="X88" s="191"/>
      <c r="Y88" s="191"/>
      <c r="Z88" s="191"/>
      <c r="AA88" s="191"/>
      <c r="AB88" s="191"/>
      <c r="AC88" s="191"/>
      <c r="AD88" s="384"/>
      <c r="AE88" s="384"/>
      <c r="AF88" s="188"/>
      <c r="AG88" s="167"/>
      <c r="AH88" s="167"/>
      <c r="AI88" s="558"/>
      <c r="AJ88" s="32"/>
      <c r="AK88" s="9"/>
      <c r="AL88" s="9"/>
      <c r="AQ88" s="9"/>
      <c r="AR88" s="9"/>
      <c r="AV88" s="100"/>
      <c r="AW88" s="100"/>
      <c r="AX88" s="94"/>
      <c r="AY88" s="94"/>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687"/>
      <c r="CB88" s="687"/>
      <c r="CC88" s="687"/>
      <c r="CD88" s="687"/>
      <c r="CE88" s="687"/>
      <c r="CF88" s="687"/>
      <c r="CG88" s="687"/>
      <c r="CH88" s="687"/>
      <c r="CI88" s="687"/>
      <c r="CJ88" s="687"/>
      <c r="CK88" s="687"/>
      <c r="CL88" s="687"/>
      <c r="CM88" s="687"/>
      <c r="CN88" s="687"/>
      <c r="CO88" s="687"/>
      <c r="CP88" s="687"/>
      <c r="CQ88" s="687"/>
      <c r="CR88" s="687"/>
      <c r="CS88" s="687"/>
      <c r="CT88" s="687"/>
      <c r="CU88" s="687"/>
      <c r="CV88" s="687"/>
      <c r="CW88" s="687"/>
      <c r="CX88" s="687"/>
      <c r="CY88" s="687"/>
      <c r="CZ88" s="687"/>
      <c r="DA88" s="687"/>
      <c r="DB88" s="687"/>
      <c r="DC88" s="687"/>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row>
    <row r="89" spans="1:266" s="2" customFormat="1" ht="12.75" hidden="1" customHeight="1">
      <c r="A89" s="25"/>
      <c r="B89" s="567"/>
      <c r="C89" s="561"/>
      <c r="D89" s="157"/>
      <c r="E89" s="157"/>
      <c r="F89" s="157"/>
      <c r="G89" s="157"/>
      <c r="H89" s="157"/>
      <c r="I89" s="157"/>
      <c r="J89" s="157"/>
      <c r="K89" s="157"/>
      <c r="L89" s="157"/>
      <c r="M89" s="157"/>
      <c r="N89" s="157"/>
      <c r="O89" s="157"/>
      <c r="P89" s="157"/>
      <c r="Q89" s="157"/>
      <c r="R89" s="157"/>
      <c r="S89" s="157"/>
      <c r="T89" s="43"/>
      <c r="U89" s="43"/>
      <c r="V89" s="168"/>
      <c r="W89" s="168"/>
      <c r="X89" s="168"/>
      <c r="Y89" s="168"/>
      <c r="Z89" s="168"/>
      <c r="AA89" s="168"/>
      <c r="AB89" s="168"/>
      <c r="AC89" s="168"/>
      <c r="AD89" s="43"/>
      <c r="AE89" s="43"/>
      <c r="AF89" s="43"/>
      <c r="AG89" s="157"/>
      <c r="AH89" s="157"/>
      <c r="AI89" s="43"/>
      <c r="AJ89" s="32"/>
      <c r="AK89" s="1"/>
      <c r="AL89" s="1"/>
      <c r="AM89" s="1"/>
      <c r="AN89" s="1"/>
      <c r="AO89" s="9"/>
      <c r="AP89" s="9"/>
      <c r="AQ89" s="9"/>
      <c r="AR89" s="9"/>
      <c r="AS89" s="1"/>
      <c r="AT89" s="1"/>
      <c r="AU89" s="1"/>
      <c r="AV89" s="100"/>
      <c r="AW89" s="100"/>
      <c r="AX89" s="96"/>
      <c r="AY89" s="96"/>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687"/>
      <c r="CB89" s="687"/>
      <c r="CC89" s="687"/>
      <c r="CD89" s="687"/>
      <c r="CE89" s="687"/>
      <c r="CF89" s="687"/>
      <c r="CG89" s="687"/>
      <c r="CH89" s="687"/>
      <c r="CI89" s="687"/>
      <c r="CJ89" s="687"/>
      <c r="CK89" s="687"/>
      <c r="CL89" s="687"/>
      <c r="CM89" s="687"/>
      <c r="CN89" s="687"/>
      <c r="CO89" s="687"/>
      <c r="CP89" s="687"/>
      <c r="CQ89" s="687"/>
      <c r="CR89" s="687"/>
      <c r="CS89" s="687"/>
      <c r="CT89" s="687"/>
      <c r="CU89" s="687"/>
      <c r="CV89" s="687"/>
      <c r="CW89" s="687"/>
      <c r="CX89" s="687"/>
      <c r="CY89" s="687"/>
      <c r="CZ89" s="687"/>
      <c r="DA89" s="687"/>
      <c r="DB89" s="687"/>
      <c r="DC89" s="687"/>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row>
    <row r="90" spans="1:266" ht="14.25" hidden="1">
      <c r="A90" s="25"/>
      <c r="B90" s="562" t="s">
        <v>2617</v>
      </c>
      <c r="C90" s="568"/>
      <c r="D90" s="31"/>
      <c r="E90" s="31"/>
      <c r="F90" s="31"/>
      <c r="G90" s="31"/>
      <c r="H90" s="31"/>
      <c r="I90" s="31"/>
      <c r="J90" s="31"/>
      <c r="K90" s="31"/>
      <c r="L90" s="31"/>
      <c r="M90" s="31"/>
      <c r="N90" s="31"/>
      <c r="O90" s="31"/>
      <c r="P90" s="31"/>
      <c r="Q90" s="31"/>
      <c r="R90" s="31"/>
      <c r="S90" s="31"/>
      <c r="T90" s="43"/>
      <c r="U90" s="31"/>
      <c r="V90" s="168"/>
      <c r="W90" s="168"/>
      <c r="X90" s="168"/>
      <c r="Y90" s="168"/>
      <c r="Z90" s="168"/>
      <c r="AA90" s="168"/>
      <c r="AB90" s="168"/>
      <c r="AC90" s="168"/>
      <c r="AD90" s="31"/>
      <c r="AE90" s="31"/>
      <c r="AF90" s="42"/>
      <c r="AG90" s="157"/>
      <c r="AH90" s="157"/>
      <c r="AI90" s="31"/>
      <c r="AJ90" s="25"/>
      <c r="AM90" s="847" t="s">
        <v>2481</v>
      </c>
      <c r="AN90" s="847"/>
      <c r="AO90" s="736" t="s">
        <v>2482</v>
      </c>
      <c r="AP90" s="736"/>
      <c r="AQ90" s="736"/>
      <c r="AR90" s="736"/>
      <c r="AS90" s="736"/>
      <c r="AT90" s="736"/>
      <c r="AU90" s="736"/>
      <c r="AV90" s="99"/>
      <c r="AW90" s="99"/>
      <c r="AX90" s="94"/>
      <c r="AY90" s="94"/>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688"/>
      <c r="CB90" s="688"/>
      <c r="CC90" s="688"/>
      <c r="CD90" s="688"/>
      <c r="CE90" s="688"/>
      <c r="CF90" s="688"/>
      <c r="CG90" s="688"/>
      <c r="CH90" s="688"/>
      <c r="CI90" s="688"/>
      <c r="CJ90" s="688"/>
      <c r="CK90" s="688"/>
      <c r="CL90" s="688"/>
      <c r="CM90" s="688"/>
      <c r="CN90" s="688"/>
      <c r="CO90" s="688"/>
      <c r="CP90" s="688"/>
      <c r="CQ90" s="688"/>
      <c r="CR90" s="688"/>
      <c r="CS90" s="688"/>
      <c r="CT90" s="688"/>
      <c r="CU90" s="688"/>
      <c r="CV90" s="688"/>
      <c r="CW90" s="688"/>
      <c r="CX90" s="688"/>
      <c r="CY90" s="688"/>
      <c r="CZ90" s="688"/>
      <c r="DA90" s="688"/>
      <c r="DB90" s="688"/>
      <c r="DC90" s="68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row>
    <row r="91" spans="1:266" hidden="1">
      <c r="A91" s="25"/>
      <c r="B91" s="569"/>
      <c r="C91" s="570"/>
      <c r="D91" s="176"/>
      <c r="E91" s="176"/>
      <c r="F91" s="176"/>
      <c r="G91" s="385"/>
      <c r="H91" s="385"/>
      <c r="I91" s="385"/>
      <c r="J91" s="176"/>
      <c r="K91" s="176"/>
      <c r="L91" s="176"/>
      <c r="M91" s="176"/>
      <c r="N91" s="192"/>
      <c r="O91" s="192"/>
      <c r="P91" s="26"/>
      <c r="Q91" s="176"/>
      <c r="R91" s="176"/>
      <c r="S91" s="182"/>
      <c r="T91" s="182"/>
      <c r="U91" s="552"/>
      <c r="V91" s="385"/>
      <c r="W91" s="193"/>
      <c r="X91" s="193"/>
      <c r="Y91" s="193"/>
      <c r="Z91" s="388"/>
      <c r="AA91" s="388"/>
      <c r="AB91" s="388"/>
      <c r="AC91" s="388"/>
      <c r="AD91" s="388"/>
      <c r="AE91" s="552"/>
      <c r="AF91" s="356" t="s">
        <v>2483</v>
      </c>
      <c r="AG91" s="356"/>
      <c r="AH91" s="356"/>
      <c r="AI91" s="27"/>
      <c r="AJ91" s="31"/>
      <c r="AM91" s="10" t="s">
        <v>2484</v>
      </c>
      <c r="AN91" s="10" t="s">
        <v>2485</v>
      </c>
      <c r="AO91" s="10" t="s">
        <v>2486</v>
      </c>
      <c r="AP91" s="10" t="s">
        <v>2487</v>
      </c>
      <c r="AQ91" s="10" t="s">
        <v>2488</v>
      </c>
      <c r="AR91" s="10" t="s">
        <v>2618</v>
      </c>
      <c r="AS91" s="10" t="s">
        <v>2619</v>
      </c>
      <c r="AT91" s="10"/>
      <c r="AU91" s="10"/>
      <c r="AV91" s="100"/>
      <c r="AW91" s="100"/>
      <c r="AX91" s="94"/>
      <c r="AY91" s="94"/>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687"/>
      <c r="CB91" s="687"/>
      <c r="CC91" s="687"/>
      <c r="CD91" s="687"/>
      <c r="CE91" s="687"/>
      <c r="CF91" s="687"/>
      <c r="CG91" s="687"/>
      <c r="CH91" s="687"/>
      <c r="CI91" s="687"/>
      <c r="CJ91" s="687"/>
      <c r="CK91" s="687"/>
      <c r="CL91" s="687"/>
      <c r="CM91" s="687"/>
      <c r="CN91" s="687"/>
      <c r="CO91" s="687"/>
      <c r="CP91" s="687"/>
      <c r="CQ91" s="687"/>
      <c r="CR91" s="687"/>
      <c r="CS91" s="687"/>
      <c r="CT91" s="687"/>
      <c r="CU91" s="687"/>
      <c r="CV91" s="687"/>
      <c r="CW91" s="687"/>
      <c r="CX91" s="687"/>
      <c r="CY91" s="687"/>
      <c r="CZ91" s="687"/>
      <c r="DA91" s="687"/>
      <c r="DB91" s="687"/>
      <c r="DC91" s="687"/>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c r="IV91" s="10"/>
      <c r="IW91" s="10"/>
      <c r="IX91" s="10"/>
      <c r="IY91" s="10"/>
      <c r="IZ91" s="10"/>
      <c r="JA91" s="10"/>
      <c r="JB91" s="10"/>
      <c r="JC91" s="10"/>
      <c r="JD91" s="10"/>
      <c r="JE91" s="10"/>
      <c r="JF91" s="10"/>
    </row>
    <row r="92" spans="1:266" ht="12.75" hidden="1" customHeight="1">
      <c r="A92" s="25"/>
      <c r="B92" s="564"/>
      <c r="C92" s="561" t="s">
        <v>2620</v>
      </c>
      <c r="D92" s="159"/>
      <c r="E92" s="159"/>
      <c r="F92" s="158"/>
      <c r="G92" s="156"/>
      <c r="H92" s="156"/>
      <c r="I92" s="156"/>
      <c r="J92" s="156"/>
      <c r="K92" s="156"/>
      <c r="L92" s="521"/>
      <c r="M92" s="521"/>
      <c r="N92" s="521"/>
      <c r="O92" s="521"/>
      <c r="P92" s="521"/>
      <c r="Q92" s="521"/>
      <c r="R92" s="521"/>
      <c r="S92" s="43"/>
      <c r="T92" s="43"/>
      <c r="U92" s="185"/>
      <c r="V92" s="158" t="s">
        <v>2561</v>
      </c>
      <c r="W92" s="850"/>
      <c r="X92" s="851"/>
      <c r="Y92" s="159" t="s">
        <v>2621</v>
      </c>
      <c r="Z92" s="168"/>
      <c r="AA92" s="168"/>
      <c r="AB92" s="168"/>
      <c r="AC92" s="168"/>
      <c r="AD92" s="185" t="s">
        <v>2622</v>
      </c>
      <c r="AE92" s="371" t="s">
        <v>142</v>
      </c>
      <c r="AF92" s="855" t="str">
        <f>IF(AK92=FALSE,IF(W92="","",IF($AO$1="OR","ID Only","Chk Box")),IF($AO$1="OR","ID Only",IF(W92="",0,W92*20)))</f>
        <v/>
      </c>
      <c r="AG92" s="855"/>
      <c r="AH92" s="855"/>
      <c r="AI92" s="181"/>
      <c r="AJ92" s="157"/>
      <c r="AK92" s="187" t="b">
        <v>0</v>
      </c>
      <c r="AL92" s="13"/>
      <c r="AM92" s="556">
        <f t="shared" ref="AM92:AM96" si="24">IFERROR(IF($AQ92="",AO92,IF($AS92="",(VLOOKUP($AU92,StackingEffects,2,FALSE)*AT92),(VLOOKUP($AS92,StackingEffects,2,FALSE)*AR92))),0)</f>
        <v>0</v>
      </c>
      <c r="AN92" s="556">
        <f t="shared" ref="AN92:AN96" si="25">IFERROR(IF($AQ92="",AP92,IF($AS92="",(VLOOKUP($AU92,StackingEffects,2,FALSE)*AP92),(VLOOKUP($AS92,StackingEffects,2,FALSE)*AP92))),0)</f>
        <v>0</v>
      </c>
      <c r="AO92" s="556">
        <f>IF(OR(AF92="Chk Box",AF92="ID Only"),0,IF(AF92&gt;1,W92*114,0))</f>
        <v>0</v>
      </c>
      <c r="AP92" s="556">
        <f>IF(AF92="Chk Box",0,IF(AF92&gt;1,W92*0.112,0))</f>
        <v>0</v>
      </c>
      <c r="AQ92" s="395" t="s">
        <v>2623</v>
      </c>
      <c r="AR92" s="395">
        <f t="shared" ref="AR92:AR96" si="26">IF($AQ92="REFRIGERATION",$AO92,0)</f>
        <v>0</v>
      </c>
      <c r="AS92" s="395" t="str">
        <f>IF($AR92=0,"",_xlfn.RANK.EQ($AR92,$AR$92:$AR$96,0))</f>
        <v/>
      </c>
      <c r="AT92" s="10"/>
      <c r="AU92" s="400"/>
      <c r="AV92" s="100"/>
      <c r="AW92" s="100"/>
      <c r="AX92" s="94"/>
      <c r="AY92" s="94"/>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687"/>
      <c r="CB92" s="687"/>
      <c r="CC92" s="687"/>
      <c r="CD92" s="687"/>
      <c r="CE92" s="687"/>
      <c r="CF92" s="687"/>
      <c r="CG92" s="687"/>
      <c r="CH92" s="687"/>
      <c r="CI92" s="687"/>
      <c r="CJ92" s="687"/>
      <c r="CK92" s="687"/>
      <c r="CL92" s="687"/>
      <c r="CM92" s="687"/>
      <c r="CN92" s="687"/>
      <c r="CO92" s="687"/>
      <c r="CP92" s="687"/>
      <c r="CQ92" s="687"/>
      <c r="CR92" s="687"/>
      <c r="CS92" s="687"/>
      <c r="CT92" s="687"/>
      <c r="CU92" s="687"/>
      <c r="CV92" s="687"/>
      <c r="CW92" s="687"/>
      <c r="CX92" s="687"/>
      <c r="CY92" s="687"/>
      <c r="CZ92" s="687"/>
      <c r="DA92" s="687"/>
      <c r="DB92" s="687"/>
      <c r="DC92" s="687"/>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row>
    <row r="93" spans="1:266" ht="15.75" hidden="1" customHeight="1">
      <c r="A93" s="25"/>
      <c r="B93" s="564"/>
      <c r="C93" s="560" t="s">
        <v>2624</v>
      </c>
      <c r="D93" s="159"/>
      <c r="E93" s="159"/>
      <c r="F93" s="158"/>
      <c r="G93" s="156"/>
      <c r="H93" s="156"/>
      <c r="I93" s="156"/>
      <c r="J93" s="156"/>
      <c r="K93" s="156"/>
      <c r="L93" s="521"/>
      <c r="M93" s="521"/>
      <c r="N93" s="521"/>
      <c r="O93" s="521"/>
      <c r="P93" s="521"/>
      <c r="Q93" s="521"/>
      <c r="R93" s="521"/>
      <c r="S93" s="43"/>
      <c r="T93" s="43"/>
      <c r="U93" s="185"/>
      <c r="V93" s="158" t="s">
        <v>2547</v>
      </c>
      <c r="W93" s="850"/>
      <c r="X93" s="851"/>
      <c r="Y93" s="159" t="s">
        <v>2508</v>
      </c>
      <c r="Z93" s="168"/>
      <c r="AA93" s="168"/>
      <c r="AB93" s="168"/>
      <c r="AC93" s="168"/>
      <c r="AD93" s="185" t="s">
        <v>2625</v>
      </c>
      <c r="AE93" s="371" t="s">
        <v>142</v>
      </c>
      <c r="AF93" s="855" t="str">
        <f>IF(AK93=FALSE,IF(W93="","","Chk Box"),IF(W93="",0,W93*25))</f>
        <v/>
      </c>
      <c r="AG93" s="855"/>
      <c r="AH93" s="855"/>
      <c r="AI93" s="181"/>
      <c r="AJ93" s="157"/>
      <c r="AK93" s="187" t="b">
        <v>0</v>
      </c>
      <c r="AL93" s="13"/>
      <c r="AM93" s="556">
        <f t="shared" si="24"/>
        <v>0</v>
      </c>
      <c r="AN93" s="556">
        <f t="shared" si="25"/>
        <v>0</v>
      </c>
      <c r="AO93" s="556">
        <f>IF(AF93="Chk Box",0,IF(AF93&gt;1,W93*360,0))</f>
        <v>0</v>
      </c>
      <c r="AP93" s="556">
        <f>IF(AF93="Chk Box",0,IF(AF93&gt;1,W93*0.33,0))</f>
        <v>0</v>
      </c>
      <c r="AQ93" s="395" t="s">
        <v>2623</v>
      </c>
      <c r="AR93" s="395">
        <f t="shared" si="26"/>
        <v>0</v>
      </c>
      <c r="AS93" s="395" t="str">
        <f>IF($AR93=0,"",_xlfn.RANK.EQ($AR93,$AR$92:$AR$96,0))</f>
        <v/>
      </c>
      <c r="AT93" s="10"/>
      <c r="AU93" s="400"/>
      <c r="AV93" s="100"/>
      <c r="AW93" s="100"/>
      <c r="AX93" s="94"/>
      <c r="AY93" s="94"/>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687"/>
      <c r="CB93" s="687"/>
      <c r="CC93" s="687"/>
      <c r="CD93" s="687"/>
      <c r="CE93" s="687"/>
      <c r="CF93" s="687"/>
      <c r="CG93" s="687"/>
      <c r="CH93" s="687"/>
      <c r="CI93" s="687"/>
      <c r="CJ93" s="687"/>
      <c r="CK93" s="687"/>
      <c r="CL93" s="687"/>
      <c r="CM93" s="687"/>
      <c r="CN93" s="687"/>
      <c r="CO93" s="687"/>
      <c r="CP93" s="687"/>
      <c r="CQ93" s="687"/>
      <c r="CR93" s="687"/>
      <c r="CS93" s="687"/>
      <c r="CT93" s="687"/>
      <c r="CU93" s="687"/>
      <c r="CV93" s="687"/>
      <c r="CW93" s="687"/>
      <c r="CX93" s="687"/>
      <c r="CY93" s="687"/>
      <c r="CZ93" s="687"/>
      <c r="DA93" s="687"/>
      <c r="DB93" s="687"/>
      <c r="DC93" s="687"/>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row>
    <row r="94" spans="1:266" ht="15.75" hidden="1" customHeight="1">
      <c r="A94" s="25"/>
      <c r="B94" s="564"/>
      <c r="C94" s="560" t="s">
        <v>2626</v>
      </c>
      <c r="D94" s="159"/>
      <c r="E94" s="159"/>
      <c r="F94" s="158"/>
      <c r="G94" s="156"/>
      <c r="H94" s="156"/>
      <c r="I94" s="156"/>
      <c r="J94" s="156"/>
      <c r="K94" s="156"/>
      <c r="L94" s="521"/>
      <c r="M94" s="521"/>
      <c r="N94" s="521"/>
      <c r="O94" s="521"/>
      <c r="P94" s="521"/>
      <c r="Q94" s="521"/>
      <c r="R94" s="521"/>
      <c r="S94" s="43"/>
      <c r="T94" s="43"/>
      <c r="U94" s="185"/>
      <c r="V94" s="158" t="s">
        <v>2547</v>
      </c>
      <c r="W94" s="850"/>
      <c r="X94" s="851"/>
      <c r="Y94" s="159" t="s">
        <v>2508</v>
      </c>
      <c r="Z94" s="168"/>
      <c r="AA94" s="168"/>
      <c r="AB94" s="168"/>
      <c r="AC94" s="168"/>
      <c r="AD94" s="185" t="s">
        <v>2627</v>
      </c>
      <c r="AE94" s="371" t="s">
        <v>142</v>
      </c>
      <c r="AF94" s="855" t="str">
        <f>IF(AK94=FALSE,IF(W94="","","Chk Box"),IF(W94="",0,W94*50))</f>
        <v/>
      </c>
      <c r="AG94" s="855"/>
      <c r="AH94" s="855"/>
      <c r="AI94" s="181"/>
      <c r="AJ94" s="157"/>
      <c r="AK94" s="187" t="b">
        <v>0</v>
      </c>
      <c r="AL94" s="13"/>
      <c r="AM94" s="556">
        <f t="shared" si="24"/>
        <v>0</v>
      </c>
      <c r="AN94" s="556">
        <f t="shared" si="25"/>
        <v>0</v>
      </c>
      <c r="AO94" s="556">
        <f>IF(AF94="Chk Box",0,IF(AF94&gt;1,W94*1829,0))</f>
        <v>0</v>
      </c>
      <c r="AP94" s="556">
        <f>IF(AF94="Chk Box",0,IF(AF94&gt;1,W94*1.67,0))</f>
        <v>0</v>
      </c>
      <c r="AQ94" s="395" t="s">
        <v>2623</v>
      </c>
      <c r="AR94" s="395">
        <f t="shared" si="26"/>
        <v>0</v>
      </c>
      <c r="AS94" s="395" t="str">
        <f>IF($AR94=0,"",_xlfn.RANK.EQ($AR94,$AR$92:$AR$96,0))</f>
        <v/>
      </c>
      <c r="AT94" s="10"/>
      <c r="AU94" s="400"/>
      <c r="AV94" s="100"/>
      <c r="AW94" s="100"/>
      <c r="AX94" s="94"/>
      <c r="AY94" s="94"/>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687"/>
      <c r="CB94" s="687"/>
      <c r="CC94" s="687"/>
      <c r="CD94" s="687"/>
      <c r="CE94" s="687"/>
      <c r="CF94" s="687"/>
      <c r="CG94" s="687"/>
      <c r="CH94" s="687"/>
      <c r="CI94" s="687"/>
      <c r="CJ94" s="687"/>
      <c r="CK94" s="687"/>
      <c r="CL94" s="687"/>
      <c r="CM94" s="687"/>
      <c r="CN94" s="687"/>
      <c r="CO94" s="687"/>
      <c r="CP94" s="687"/>
      <c r="CQ94" s="687"/>
      <c r="CR94" s="687"/>
      <c r="CS94" s="687"/>
      <c r="CT94" s="687"/>
      <c r="CU94" s="687"/>
      <c r="CV94" s="687"/>
      <c r="CW94" s="687"/>
      <c r="CX94" s="687"/>
      <c r="CY94" s="687"/>
      <c r="CZ94" s="687"/>
      <c r="DA94" s="687"/>
      <c r="DB94" s="687"/>
      <c r="DC94" s="687"/>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c r="IV94" s="10"/>
      <c r="IW94" s="10"/>
      <c r="IX94" s="10"/>
      <c r="IY94" s="10"/>
      <c r="IZ94" s="10"/>
      <c r="JA94" s="10"/>
      <c r="JB94" s="10"/>
      <c r="JC94" s="10"/>
      <c r="JD94" s="10"/>
      <c r="JE94" s="10"/>
      <c r="JF94" s="10"/>
    </row>
    <row r="95" spans="1:266" ht="15.75" hidden="1" customHeight="1">
      <c r="A95" s="25"/>
      <c r="B95" s="564"/>
      <c r="C95" s="560" t="s">
        <v>2628</v>
      </c>
      <c r="D95" s="159"/>
      <c r="E95" s="159"/>
      <c r="F95" s="158"/>
      <c r="G95" s="156"/>
      <c r="H95" s="156"/>
      <c r="I95" s="156"/>
      <c r="J95" s="156"/>
      <c r="K95" s="156"/>
      <c r="L95" s="521"/>
      <c r="M95" s="521"/>
      <c r="N95" s="521"/>
      <c r="O95" s="521"/>
      <c r="P95" s="521"/>
      <c r="Q95" s="521"/>
      <c r="R95" s="521"/>
      <c r="S95" s="43"/>
      <c r="T95" s="43"/>
      <c r="U95" s="185"/>
      <c r="V95" s="158" t="s">
        <v>2547</v>
      </c>
      <c r="W95" s="850"/>
      <c r="X95" s="851"/>
      <c r="Y95" s="159" t="s">
        <v>2508</v>
      </c>
      <c r="Z95" s="168"/>
      <c r="AA95" s="168"/>
      <c r="AB95" s="168"/>
      <c r="AC95" s="168"/>
      <c r="AD95" s="185" t="s">
        <v>2629</v>
      </c>
      <c r="AE95" s="371" t="s">
        <v>142</v>
      </c>
      <c r="AF95" s="855" t="str">
        <f>IF(AK95=FALSE,IF(W95="","","Chk Box"),IF(W95="",0,W95*100))</f>
        <v/>
      </c>
      <c r="AG95" s="855"/>
      <c r="AH95" s="855"/>
      <c r="AI95" s="181"/>
      <c r="AJ95" s="157"/>
      <c r="AK95" s="187" t="b">
        <v>0</v>
      </c>
      <c r="AL95" s="13"/>
      <c r="AM95" s="556">
        <f t="shared" si="24"/>
        <v>0</v>
      </c>
      <c r="AN95" s="556">
        <f t="shared" si="25"/>
        <v>0</v>
      </c>
      <c r="AO95" s="556">
        <f>IF(AF95="Chk Box",0,IF(AF95&gt;1,W95*2531,0))</f>
        <v>0</v>
      </c>
      <c r="AP95" s="556">
        <f>IF(AF95="Chk Box",0,IF(AF95&gt;1,W95*2.31,0))</f>
        <v>0</v>
      </c>
      <c r="AQ95" s="395" t="s">
        <v>2623</v>
      </c>
      <c r="AR95" s="395">
        <f t="shared" si="26"/>
        <v>0</v>
      </c>
      <c r="AS95" s="395" t="str">
        <f>IF($AR95=0,"",_xlfn.RANK.EQ($AR95,$AR$92:$AR$96,0))</f>
        <v/>
      </c>
      <c r="AT95" s="10"/>
      <c r="AU95" s="400"/>
      <c r="AV95" s="94"/>
      <c r="AW95" s="94"/>
      <c r="AX95" s="94"/>
      <c r="AY95" s="94"/>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687"/>
      <c r="CB95" s="687"/>
      <c r="CC95" s="687"/>
      <c r="CD95" s="687"/>
      <c r="CE95" s="687"/>
      <c r="CF95" s="687"/>
      <c r="CG95" s="687"/>
      <c r="CH95" s="687"/>
      <c r="CI95" s="687"/>
      <c r="CJ95" s="687"/>
      <c r="CK95" s="687"/>
      <c r="CL95" s="687"/>
      <c r="CM95" s="687"/>
      <c r="CN95" s="687"/>
      <c r="CO95" s="687"/>
      <c r="CP95" s="687"/>
      <c r="CQ95" s="687"/>
      <c r="CR95" s="687"/>
      <c r="CS95" s="687"/>
      <c r="CT95" s="687"/>
      <c r="CU95" s="687"/>
      <c r="CV95" s="687"/>
      <c r="CW95" s="687"/>
      <c r="CX95" s="687"/>
      <c r="CY95" s="687"/>
      <c r="CZ95" s="687"/>
      <c r="DA95" s="687"/>
      <c r="DB95" s="687"/>
      <c r="DC95" s="687"/>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c r="IV95" s="10"/>
      <c r="IW95" s="10"/>
      <c r="IX95" s="10"/>
      <c r="IY95" s="10"/>
      <c r="IZ95" s="10"/>
      <c r="JA95" s="10"/>
      <c r="JB95" s="10"/>
      <c r="JC95" s="10"/>
      <c r="JD95" s="10"/>
      <c r="JE95" s="10"/>
      <c r="JF95" s="10"/>
    </row>
    <row r="96" spans="1:266" ht="15.75" hidden="1" customHeight="1">
      <c r="A96" s="25"/>
      <c r="B96" s="564"/>
      <c r="C96" s="561" t="s">
        <v>2630</v>
      </c>
      <c r="D96" s="159"/>
      <c r="E96" s="159"/>
      <c r="F96" s="158"/>
      <c r="G96" s="156"/>
      <c r="H96" s="156"/>
      <c r="I96" s="156"/>
      <c r="J96" s="156"/>
      <c r="K96" s="156"/>
      <c r="L96" s="521"/>
      <c r="M96" s="521"/>
      <c r="N96" s="521"/>
      <c r="O96" s="521"/>
      <c r="P96" s="521"/>
      <c r="Q96" s="521"/>
      <c r="R96" s="521"/>
      <c r="S96" s="43"/>
      <c r="T96" s="43"/>
      <c r="U96" s="185"/>
      <c r="V96" s="158" t="s">
        <v>2561</v>
      </c>
      <c r="W96" s="850"/>
      <c r="X96" s="851"/>
      <c r="Y96" s="159" t="s">
        <v>2562</v>
      </c>
      <c r="Z96" s="168"/>
      <c r="AA96" s="168"/>
      <c r="AB96" s="168"/>
      <c r="AC96" s="168"/>
      <c r="AD96" s="185" t="s">
        <v>2574</v>
      </c>
      <c r="AE96" s="371" t="s">
        <v>142</v>
      </c>
      <c r="AF96" s="856" t="str">
        <f>IF(AK96=FALSE,IF(W96="","",IF($AO$1="OR","ID Only","Chk Box")),IF($AO$1="OR","ID Only",IF(W96="",0,W96*30)))</f>
        <v/>
      </c>
      <c r="AG96" s="856"/>
      <c r="AH96" s="856"/>
      <c r="AI96" s="181"/>
      <c r="AJ96" s="157"/>
      <c r="AK96" s="187" t="b">
        <v>0</v>
      </c>
      <c r="AL96" s="13"/>
      <c r="AM96" s="556">
        <f t="shared" si="24"/>
        <v>0</v>
      </c>
      <c r="AN96" s="556">
        <f t="shared" si="25"/>
        <v>0</v>
      </c>
      <c r="AO96" s="556">
        <f>IF(OR(AF96="Chk Box",AF96="ID Only"),0,IF(AF96&gt;1,W96*110,0))</f>
        <v>0</v>
      </c>
      <c r="AP96" s="556">
        <f>IF(AF96="Chk Box",0,IF(AF96&gt;1,W96*0.05,0))</f>
        <v>0</v>
      </c>
      <c r="AQ96" s="395" t="s">
        <v>2623</v>
      </c>
      <c r="AR96" s="395">
        <f t="shared" si="26"/>
        <v>0</v>
      </c>
      <c r="AS96" s="395" t="str">
        <f>IF($AR96=0,"",_xlfn.RANK.EQ($AR96,$AR$92:$AR$96,0))</f>
        <v/>
      </c>
      <c r="AT96" s="10"/>
      <c r="AU96" s="400"/>
      <c r="AV96" s="94"/>
      <c r="AW96" s="94"/>
      <c r="AX96" s="94"/>
      <c r="AY96" s="94"/>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687"/>
      <c r="CB96" s="687"/>
      <c r="CC96" s="687"/>
      <c r="CD96" s="687"/>
      <c r="CE96" s="687"/>
      <c r="CF96" s="687"/>
      <c r="CG96" s="687"/>
      <c r="CH96" s="687"/>
      <c r="CI96" s="687"/>
      <c r="CJ96" s="687"/>
      <c r="CK96" s="687"/>
      <c r="CL96" s="687"/>
      <c r="CM96" s="687"/>
      <c r="CN96" s="687"/>
      <c r="CO96" s="687"/>
      <c r="CP96" s="687"/>
      <c r="CQ96" s="687"/>
      <c r="CR96" s="687"/>
      <c r="CS96" s="687"/>
      <c r="CT96" s="687"/>
      <c r="CU96" s="687"/>
      <c r="CV96" s="687"/>
      <c r="CW96" s="687"/>
      <c r="CX96" s="687"/>
      <c r="CY96" s="687"/>
      <c r="CZ96" s="687"/>
      <c r="DA96" s="687"/>
      <c r="DB96" s="687"/>
      <c r="DC96" s="687"/>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row>
    <row r="97" spans="1:266" ht="15.75" hidden="1" customHeight="1">
      <c r="A97" s="25"/>
      <c r="B97" s="565"/>
      <c r="C97" s="566"/>
      <c r="D97" s="167"/>
      <c r="E97" s="167"/>
      <c r="F97" s="167"/>
      <c r="G97" s="167"/>
      <c r="H97" s="167"/>
      <c r="I97" s="167"/>
      <c r="J97" s="167"/>
      <c r="K97" s="167"/>
      <c r="L97" s="167"/>
      <c r="M97" s="167"/>
      <c r="N97" s="167"/>
      <c r="O97" s="167"/>
      <c r="P97" s="167"/>
      <c r="Q97" s="167"/>
      <c r="R97" s="167"/>
      <c r="S97" s="167"/>
      <c r="T97" s="384"/>
      <c r="U97" s="384"/>
      <c r="V97" s="191"/>
      <c r="W97" s="191"/>
      <c r="X97" s="191"/>
      <c r="Y97" s="191"/>
      <c r="Z97" s="191"/>
      <c r="AA97" s="191"/>
      <c r="AB97" s="191"/>
      <c r="AC97" s="191"/>
      <c r="AD97" s="384"/>
      <c r="AE97" s="384"/>
      <c r="AF97" s="188"/>
      <c r="AG97" s="167"/>
      <c r="AH97" s="167"/>
      <c r="AI97" s="558"/>
      <c r="AJ97" s="157"/>
      <c r="AK97" s="9"/>
      <c r="AL97" s="9"/>
      <c r="AM97" s="295"/>
      <c r="AQ97" s="9"/>
      <c r="AR97" s="9"/>
      <c r="AV97" s="94"/>
      <c r="AW97" s="94"/>
      <c r="AX97" s="94"/>
      <c r="AY97" s="94"/>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687"/>
      <c r="CB97" s="687"/>
      <c r="CC97" s="687"/>
      <c r="CD97" s="687"/>
      <c r="CE97" s="687"/>
      <c r="CF97" s="687"/>
      <c r="CG97" s="687"/>
      <c r="CH97" s="687"/>
      <c r="CI97" s="687"/>
      <c r="CJ97" s="687"/>
      <c r="CK97" s="687"/>
      <c r="CL97" s="687"/>
      <c r="CM97" s="687"/>
      <c r="CN97" s="687"/>
      <c r="CO97" s="687"/>
      <c r="CP97" s="687"/>
      <c r="CQ97" s="687"/>
      <c r="CR97" s="687"/>
      <c r="CS97" s="687"/>
      <c r="CT97" s="687"/>
      <c r="CU97" s="687"/>
      <c r="CV97" s="687"/>
      <c r="CW97" s="687"/>
      <c r="CX97" s="687"/>
      <c r="CY97" s="687"/>
      <c r="CZ97" s="687"/>
      <c r="DA97" s="687"/>
      <c r="DB97" s="687"/>
      <c r="DC97" s="687"/>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c r="IP97" s="10"/>
      <c r="IQ97" s="10"/>
      <c r="IR97" s="10"/>
      <c r="IS97" s="10"/>
      <c r="IT97" s="10"/>
      <c r="IU97" s="10"/>
      <c r="IV97" s="10"/>
      <c r="IW97" s="10"/>
      <c r="IX97" s="10"/>
      <c r="IY97" s="10"/>
      <c r="IZ97" s="10"/>
      <c r="JA97" s="10"/>
      <c r="JB97" s="10"/>
      <c r="JC97" s="10"/>
      <c r="JD97" s="10"/>
      <c r="JE97" s="10"/>
      <c r="JF97" s="10"/>
    </row>
    <row r="98" spans="1:266" ht="15.75" hidden="1" customHeight="1">
      <c r="A98" s="25"/>
      <c r="B98" s="567"/>
      <c r="C98" s="561"/>
      <c r="D98" s="157"/>
      <c r="E98" s="157"/>
      <c r="F98" s="157"/>
      <c r="G98" s="157"/>
      <c r="H98" s="157"/>
      <c r="I98" s="157"/>
      <c r="J98" s="157"/>
      <c r="K98" s="157"/>
      <c r="L98" s="157"/>
      <c r="M98" s="157"/>
      <c r="N98" s="157"/>
      <c r="O98" s="157"/>
      <c r="P98" s="157"/>
      <c r="Q98" s="157"/>
      <c r="R98" s="157"/>
      <c r="S98" s="43"/>
      <c r="T98" s="43"/>
      <c r="U98" s="43"/>
      <c r="V98" s="168"/>
      <c r="W98" s="168"/>
      <c r="X98" s="168"/>
      <c r="Y98" s="168"/>
      <c r="Z98" s="168"/>
      <c r="AA98" s="168"/>
      <c r="AB98" s="168"/>
      <c r="AC98" s="168"/>
      <c r="AD98" s="43"/>
      <c r="AE98" s="43"/>
      <c r="AF98" s="43"/>
      <c r="AG98" s="157"/>
      <c r="AH98" s="157"/>
      <c r="AI98" s="43"/>
      <c r="AJ98" s="157"/>
      <c r="AK98" s="9"/>
      <c r="AL98" s="9"/>
      <c r="AM98" s="10"/>
      <c r="AN98" s="10"/>
      <c r="AO98" s="10"/>
      <c r="AP98" s="10"/>
      <c r="AQ98" s="10"/>
      <c r="AR98" s="10"/>
      <c r="AS98" s="10"/>
      <c r="AT98" s="10"/>
      <c r="AU98" s="10"/>
      <c r="AV98" s="94"/>
      <c r="AW98" s="94"/>
      <c r="AX98" s="94"/>
      <c r="AY98" s="94"/>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687"/>
      <c r="CB98" s="687"/>
      <c r="CC98" s="687"/>
      <c r="CD98" s="687"/>
      <c r="CE98" s="687"/>
      <c r="CF98" s="687"/>
      <c r="CG98" s="687"/>
      <c r="CH98" s="687"/>
      <c r="CI98" s="687"/>
      <c r="CJ98" s="687"/>
      <c r="CK98" s="687"/>
      <c r="CL98" s="687"/>
      <c r="CM98" s="687"/>
      <c r="CN98" s="687"/>
      <c r="CO98" s="687"/>
      <c r="CP98" s="687"/>
      <c r="CQ98" s="687"/>
      <c r="CR98" s="687"/>
      <c r="CS98" s="687"/>
      <c r="CT98" s="687"/>
      <c r="CU98" s="687"/>
      <c r="CV98" s="687"/>
      <c r="CW98" s="687"/>
      <c r="CX98" s="687"/>
      <c r="CY98" s="687"/>
      <c r="CZ98" s="687"/>
      <c r="DA98" s="687"/>
      <c r="DB98" s="687"/>
      <c r="DC98" s="687"/>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c r="IV98" s="10"/>
      <c r="IW98" s="10"/>
      <c r="IX98" s="10"/>
      <c r="IY98" s="10"/>
      <c r="IZ98" s="10"/>
      <c r="JA98" s="10"/>
      <c r="JB98" s="10"/>
      <c r="JC98" s="10"/>
      <c r="JD98" s="10"/>
      <c r="JE98" s="10"/>
      <c r="JF98" s="10"/>
    </row>
    <row r="99" spans="1:266" ht="15.75" hidden="1" customHeight="1">
      <c r="A99" s="25"/>
      <c r="B99" s="562" t="s">
        <v>2631</v>
      </c>
      <c r="C99" s="567"/>
      <c r="D99" s="549"/>
      <c r="E99" s="549"/>
      <c r="F99" s="549"/>
      <c r="G99" s="549"/>
      <c r="H99" s="549"/>
      <c r="I99" s="549"/>
      <c r="J99" s="549"/>
      <c r="K99" s="549"/>
      <c r="L99" s="549"/>
      <c r="M99" s="549"/>
      <c r="N99" s="549"/>
      <c r="O99" s="549"/>
      <c r="P99" s="549"/>
      <c r="Q99" s="549"/>
      <c r="R99" s="549"/>
      <c r="S99" s="549"/>
      <c r="T99" s="43"/>
      <c r="U99" s="549"/>
      <c r="V99" s="168"/>
      <c r="W99" s="168"/>
      <c r="X99" s="168"/>
      <c r="Y99" s="168"/>
      <c r="Z99" s="168"/>
      <c r="AA99" s="168"/>
      <c r="AB99" s="168"/>
      <c r="AC99" s="168"/>
      <c r="AD99" s="549"/>
      <c r="AE99" s="549"/>
      <c r="AF99" s="189"/>
      <c r="AG99" s="157"/>
      <c r="AH99" s="157"/>
      <c r="AI99" s="549"/>
      <c r="AJ99" s="157"/>
      <c r="AM99" s="847" t="s">
        <v>2481</v>
      </c>
      <c r="AN99" s="847"/>
      <c r="AO99" s="736" t="s">
        <v>2482</v>
      </c>
      <c r="AP99" s="736"/>
      <c r="AQ99" s="736"/>
      <c r="AR99" s="736"/>
      <c r="AS99" s="736"/>
      <c r="AT99" s="736"/>
      <c r="AU99" s="736"/>
      <c r="AV99" s="94"/>
      <c r="AW99" s="94"/>
      <c r="AX99" s="94"/>
      <c r="AY99" s="94"/>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687"/>
      <c r="CB99" s="687"/>
      <c r="CC99" s="687"/>
      <c r="CD99" s="687"/>
      <c r="CE99" s="687"/>
      <c r="CF99" s="687"/>
      <c r="CG99" s="687"/>
      <c r="CH99" s="687"/>
      <c r="CI99" s="687"/>
      <c r="CJ99" s="687"/>
      <c r="CK99" s="687"/>
      <c r="CL99" s="687"/>
      <c r="CM99" s="687"/>
      <c r="CN99" s="687"/>
      <c r="CO99" s="687"/>
      <c r="CP99" s="687"/>
      <c r="CQ99" s="687"/>
      <c r="CR99" s="687"/>
      <c r="CS99" s="687"/>
      <c r="CT99" s="687"/>
      <c r="CU99" s="687"/>
      <c r="CV99" s="687"/>
      <c r="CW99" s="687"/>
      <c r="CX99" s="687"/>
      <c r="CY99" s="687"/>
      <c r="CZ99" s="687"/>
      <c r="DA99" s="687"/>
      <c r="DB99" s="687"/>
      <c r="DC99" s="687"/>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row>
    <row r="100" spans="1:266" ht="15.75" hidden="1" customHeight="1">
      <c r="A100" s="25"/>
      <c r="B100" s="569"/>
      <c r="C100" s="570"/>
      <c r="D100" s="176"/>
      <c r="E100" s="176"/>
      <c r="F100" s="176"/>
      <c r="G100" s="385"/>
      <c r="H100" s="385"/>
      <c r="I100" s="385"/>
      <c r="J100" s="176"/>
      <c r="K100" s="176"/>
      <c r="L100" s="176"/>
      <c r="M100" s="176"/>
      <c r="N100" s="192"/>
      <c r="O100" s="192"/>
      <c r="P100" s="26"/>
      <c r="Q100" s="176"/>
      <c r="R100" s="176"/>
      <c r="S100" s="182"/>
      <c r="T100" s="182"/>
      <c r="U100" s="552"/>
      <c r="V100" s="385"/>
      <c r="W100" s="193"/>
      <c r="X100" s="193"/>
      <c r="Y100" s="193"/>
      <c r="Z100" s="388"/>
      <c r="AA100" s="388"/>
      <c r="AB100" s="388"/>
      <c r="AC100" s="388"/>
      <c r="AD100" s="388"/>
      <c r="AE100" s="552"/>
      <c r="AF100" s="356" t="s">
        <v>2483</v>
      </c>
      <c r="AG100" s="356"/>
      <c r="AH100" s="356"/>
      <c r="AI100" s="27"/>
      <c r="AJ100" s="157"/>
      <c r="AM100" s="10" t="s">
        <v>2484</v>
      </c>
      <c r="AN100" s="10" t="s">
        <v>2485</v>
      </c>
      <c r="AO100" s="10" t="s">
        <v>2486</v>
      </c>
      <c r="AP100" s="10" t="s">
        <v>2487</v>
      </c>
      <c r="AQ100" s="10" t="s">
        <v>2488</v>
      </c>
      <c r="AR100" s="10" t="s">
        <v>2632</v>
      </c>
      <c r="AS100" s="10" t="s">
        <v>2633</v>
      </c>
      <c r="AT100" s="10"/>
      <c r="AU100" s="10"/>
      <c r="AV100" s="94"/>
      <c r="AW100" s="94"/>
      <c r="AX100" s="94"/>
      <c r="AY100" s="94"/>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687"/>
      <c r="CB100" s="687"/>
      <c r="CC100" s="687"/>
      <c r="CD100" s="687"/>
      <c r="CE100" s="687"/>
      <c r="CF100" s="687"/>
      <c r="CG100" s="687"/>
      <c r="CH100" s="687"/>
      <c r="CI100" s="687"/>
      <c r="CJ100" s="687"/>
      <c r="CK100" s="687"/>
      <c r="CL100" s="687"/>
      <c r="CM100" s="687"/>
      <c r="CN100" s="687"/>
      <c r="CO100" s="687"/>
      <c r="CP100" s="687"/>
      <c r="CQ100" s="687"/>
      <c r="CR100" s="687"/>
      <c r="CS100" s="687"/>
      <c r="CT100" s="687"/>
      <c r="CU100" s="687"/>
      <c r="CV100" s="687"/>
      <c r="CW100" s="687"/>
      <c r="CX100" s="687"/>
      <c r="CY100" s="687"/>
      <c r="CZ100" s="687"/>
      <c r="DA100" s="687"/>
      <c r="DB100" s="687"/>
      <c r="DC100" s="687"/>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c r="IV100" s="10"/>
      <c r="IW100" s="10"/>
      <c r="IX100" s="10"/>
      <c r="IY100" s="10"/>
      <c r="IZ100" s="10"/>
      <c r="JA100" s="10"/>
      <c r="JB100" s="10"/>
      <c r="JC100" s="10"/>
      <c r="JD100" s="10"/>
      <c r="JE100" s="10"/>
      <c r="JF100" s="10"/>
    </row>
    <row r="101" spans="1:266" ht="15.75" hidden="1" customHeight="1">
      <c r="A101" s="25"/>
      <c r="B101" s="564"/>
      <c r="C101" s="560" t="s">
        <v>2634</v>
      </c>
      <c r="D101" s="159"/>
      <c r="E101" s="159"/>
      <c r="F101" s="158"/>
      <c r="G101" s="158"/>
      <c r="H101" s="158"/>
      <c r="I101" s="158"/>
      <c r="J101" s="157"/>
      <c r="K101" s="157"/>
      <c r="L101" s="420"/>
      <c r="M101" s="521"/>
      <c r="N101" s="521"/>
      <c r="O101" s="521"/>
      <c r="P101" s="521"/>
      <c r="Q101" s="157"/>
      <c r="R101" s="157"/>
      <c r="S101" s="43"/>
      <c r="T101" s="43"/>
      <c r="U101" s="185"/>
      <c r="V101" s="158" t="s">
        <v>2547</v>
      </c>
      <c r="W101" s="850"/>
      <c r="X101" s="851"/>
      <c r="Y101" s="159" t="s">
        <v>2589</v>
      </c>
      <c r="Z101" s="185"/>
      <c r="AA101" s="185"/>
      <c r="AB101" s="185"/>
      <c r="AC101" s="185"/>
      <c r="AD101" s="185" t="s">
        <v>2635</v>
      </c>
      <c r="AE101" s="371" t="s">
        <v>142</v>
      </c>
      <c r="AF101" s="855" t="str">
        <f>IF(AK101=FALSE,IF(W101="","","Chk Box"),IF(W101="",0,W101*200))</f>
        <v/>
      </c>
      <c r="AG101" s="855"/>
      <c r="AH101" s="855"/>
      <c r="AI101" s="181"/>
      <c r="AJ101" s="157"/>
      <c r="AK101" s="187" t="b">
        <v>0</v>
      </c>
      <c r="AL101" s="9"/>
      <c r="AM101" s="556">
        <f t="shared" ref="AM101:AM105" si="27">IFERROR(IF($AQ101="",AO101,IF($AS101="",(VLOOKUP($AU101,StackingEffects,2,FALSE)*AT101),(VLOOKUP($AS101,StackingEffects,2,FALSE)*AR101))),0)</f>
        <v>0</v>
      </c>
      <c r="AN101" s="556">
        <f t="shared" ref="AN101:AN105" si="28">IFERROR(IF($AQ101="",AP101,IF($AS101="",(VLOOKUP($AU101,StackingEffects,2,FALSE)*AP101),(VLOOKUP($AS101,StackingEffects,2,FALSE)*AP101))),0)</f>
        <v>0</v>
      </c>
      <c r="AO101" s="556">
        <f>IF(AF101="Chk Box",0,IF(AF101&gt;1,W101*949,0))</f>
        <v>0</v>
      </c>
      <c r="AP101" s="556">
        <f>IF(AF101="Chk Box",0,IF(AF101&gt;1,W101*0.16,0))</f>
        <v>0</v>
      </c>
      <c r="AQ101" s="395" t="s">
        <v>2636</v>
      </c>
      <c r="AR101" s="395">
        <f>IF($AQ101="COMPRESSED AIR",$AO101,0)</f>
        <v>0</v>
      </c>
      <c r="AS101" s="395" t="str">
        <f>IF($AR101=0,"",_xlfn.RANK.EQ($AR101,$AR$101:$AR$105,0))</f>
        <v/>
      </c>
      <c r="AT101" s="10"/>
      <c r="AV101" s="94"/>
      <c r="AW101" s="94"/>
      <c r="AX101" s="94"/>
      <c r="AY101" s="94"/>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688"/>
      <c r="CB101" s="688"/>
      <c r="CC101" s="688"/>
      <c r="CD101" s="688"/>
      <c r="CE101" s="688"/>
      <c r="CF101" s="688"/>
      <c r="CG101" s="688"/>
      <c r="CH101" s="688"/>
      <c r="CI101" s="688"/>
      <c r="CJ101" s="688"/>
      <c r="CK101" s="688"/>
      <c r="CL101" s="688"/>
      <c r="CM101" s="688"/>
      <c r="CN101" s="688"/>
      <c r="CO101" s="688"/>
      <c r="CP101" s="688"/>
      <c r="CQ101" s="688"/>
      <c r="CR101" s="688"/>
      <c r="CS101" s="688"/>
      <c r="CT101" s="688"/>
      <c r="CU101" s="688"/>
      <c r="CV101" s="688"/>
      <c r="CW101" s="688"/>
      <c r="CX101" s="688"/>
      <c r="CY101" s="688"/>
      <c r="CZ101" s="688"/>
      <c r="DA101" s="688"/>
      <c r="DB101" s="688"/>
      <c r="DC101" s="68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row>
    <row r="102" spans="1:266" ht="15.75" hidden="1" customHeight="1">
      <c r="A102" s="25"/>
      <c r="B102" s="564"/>
      <c r="C102" s="561" t="s">
        <v>2637</v>
      </c>
      <c r="D102" s="157"/>
      <c r="E102" s="157"/>
      <c r="F102" s="158"/>
      <c r="G102" s="156"/>
      <c r="H102" s="156"/>
      <c r="I102" s="156"/>
      <c r="J102" s="156"/>
      <c r="K102" s="156"/>
      <c r="L102" s="420"/>
      <c r="M102" s="521"/>
      <c r="N102" s="521"/>
      <c r="O102" s="521"/>
      <c r="P102" s="521"/>
      <c r="Q102" s="157"/>
      <c r="R102" s="157"/>
      <c r="S102" s="43"/>
      <c r="T102" s="43"/>
      <c r="U102" s="185"/>
      <c r="V102" s="158" t="s">
        <v>2547</v>
      </c>
      <c r="W102" s="850"/>
      <c r="X102" s="851"/>
      <c r="Y102" s="29" t="s">
        <v>2638</v>
      </c>
      <c r="Z102" s="168"/>
      <c r="AA102" s="168"/>
      <c r="AB102" s="168"/>
      <c r="AC102" s="168"/>
      <c r="AD102" s="185" t="s">
        <v>2600</v>
      </c>
      <c r="AE102" s="371" t="s">
        <v>142</v>
      </c>
      <c r="AF102" s="855" t="str">
        <f>IF(AK102=FALSE,IF(W102="","","Chk Box"),IF(W102="",0,W102*200))</f>
        <v/>
      </c>
      <c r="AG102" s="855"/>
      <c r="AH102" s="855"/>
      <c r="AI102" s="181"/>
      <c r="AJ102" s="157"/>
      <c r="AK102" s="187" t="b">
        <v>0</v>
      </c>
      <c r="AL102" s="9"/>
      <c r="AM102" s="556">
        <f t="shared" si="27"/>
        <v>0</v>
      </c>
      <c r="AN102" s="556">
        <f t="shared" si="28"/>
        <v>0</v>
      </c>
      <c r="AO102" s="556">
        <f>IF(AF102="Chk Box",0,IF(AF102&gt;1,W102*1970,0))</f>
        <v>0</v>
      </c>
      <c r="AP102" s="556">
        <f>IF(AF102="Chk Box",0,IF(AF102&gt;1,W102*0.3,0))</f>
        <v>0</v>
      </c>
      <c r="AQ102" s="395" t="s">
        <v>2636</v>
      </c>
      <c r="AR102" s="395">
        <f t="shared" ref="AR102:AR105" si="29">IF($AQ102="COMPRESSED AIR",$AO102,0)</f>
        <v>0</v>
      </c>
      <c r="AS102" s="395" t="str">
        <f t="shared" ref="AS102:AS105" si="30">IF($AR102=0,"",_xlfn.RANK.EQ($AR102,$AR$101:$AR$105,0))</f>
        <v/>
      </c>
      <c r="AT102" s="10"/>
      <c r="AV102" s="94"/>
      <c r="AW102" s="94"/>
      <c r="AX102" s="94"/>
      <c r="AY102" s="94"/>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687"/>
      <c r="CB102" s="687"/>
      <c r="CC102" s="687"/>
      <c r="CD102" s="687"/>
      <c r="CE102" s="687"/>
      <c r="CF102" s="687"/>
      <c r="CG102" s="687"/>
      <c r="CH102" s="687"/>
      <c r="CI102" s="687"/>
      <c r="CJ102" s="687"/>
      <c r="CK102" s="687"/>
      <c r="CL102" s="687"/>
      <c r="CM102" s="687"/>
      <c r="CN102" s="687"/>
      <c r="CO102" s="687"/>
      <c r="CP102" s="687"/>
      <c r="CQ102" s="687"/>
      <c r="CR102" s="687"/>
      <c r="CS102" s="687"/>
      <c r="CT102" s="687"/>
      <c r="CU102" s="687"/>
      <c r="CV102" s="687"/>
      <c r="CW102" s="687"/>
      <c r="CX102" s="687"/>
      <c r="CY102" s="687"/>
      <c r="CZ102" s="687"/>
      <c r="DA102" s="687"/>
      <c r="DB102" s="687"/>
      <c r="DC102" s="687"/>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c r="HX102" s="10"/>
      <c r="HY102" s="10"/>
      <c r="HZ102" s="10"/>
      <c r="IA102" s="10"/>
      <c r="IB102" s="10"/>
      <c r="IC102" s="10"/>
      <c r="ID102" s="10"/>
      <c r="IE102" s="10"/>
      <c r="IF102" s="10"/>
      <c r="IG102" s="10"/>
      <c r="IH102" s="10"/>
      <c r="II102" s="10"/>
      <c r="IJ102" s="10"/>
      <c r="IK102" s="10"/>
      <c r="IL102" s="10"/>
      <c r="IM102" s="10"/>
      <c r="IN102" s="10"/>
      <c r="IO102" s="10"/>
      <c r="IP102" s="10"/>
      <c r="IQ102" s="10"/>
      <c r="IR102" s="10"/>
      <c r="IS102" s="10"/>
      <c r="IT102" s="10"/>
      <c r="IU102" s="10"/>
      <c r="IV102" s="10"/>
      <c r="IW102" s="10"/>
      <c r="IX102" s="10"/>
      <c r="IY102" s="10"/>
      <c r="IZ102" s="10"/>
      <c r="JA102" s="10"/>
      <c r="JB102" s="10"/>
      <c r="JC102" s="10"/>
      <c r="JD102" s="10"/>
      <c r="JE102" s="10"/>
      <c r="JF102" s="10"/>
    </row>
    <row r="103" spans="1:266" ht="15.75" hidden="1" customHeight="1">
      <c r="A103" s="25"/>
      <c r="B103" s="564"/>
      <c r="C103" s="560" t="s">
        <v>2639</v>
      </c>
      <c r="D103" s="159"/>
      <c r="E103" s="159"/>
      <c r="F103" s="158"/>
      <c r="G103" s="156"/>
      <c r="H103" s="156"/>
      <c r="I103" s="156"/>
      <c r="J103" s="156"/>
      <c r="K103" s="156"/>
      <c r="L103" s="521"/>
      <c r="M103" s="521"/>
      <c r="N103" s="521"/>
      <c r="O103" s="521"/>
      <c r="P103" s="521"/>
      <c r="Q103" s="521"/>
      <c r="R103" s="521"/>
      <c r="S103" s="43"/>
      <c r="T103" s="43"/>
      <c r="U103" s="185"/>
      <c r="V103" s="158" t="s">
        <v>2547</v>
      </c>
      <c r="W103" s="850"/>
      <c r="X103" s="851"/>
      <c r="Y103" s="29" t="s">
        <v>2589</v>
      </c>
      <c r="Z103" s="168"/>
      <c r="AA103" s="168"/>
      <c r="AB103" s="168"/>
      <c r="AC103" s="168"/>
      <c r="AD103" s="185" t="s">
        <v>2640</v>
      </c>
      <c r="AE103" s="371" t="s">
        <v>142</v>
      </c>
      <c r="AF103" s="855" t="str">
        <f>IF(AK103=FALSE,IF(W103="","","Chk Box"),IF(W103="",0,W103*10))</f>
        <v/>
      </c>
      <c r="AG103" s="855"/>
      <c r="AH103" s="855"/>
      <c r="AI103" s="181"/>
      <c r="AJ103" s="157"/>
      <c r="AK103" s="187" t="b">
        <v>0</v>
      </c>
      <c r="AL103" s="13"/>
      <c r="AM103" s="556">
        <f t="shared" si="27"/>
        <v>0</v>
      </c>
      <c r="AN103" s="556">
        <f t="shared" si="28"/>
        <v>0</v>
      </c>
      <c r="AO103" s="556">
        <f>IF(AF103="Chk Box",0,IF(AF103&gt;1,W103*44,0))</f>
        <v>0</v>
      </c>
      <c r="AP103" s="556">
        <f>IF(AF103="Chk Box",0,IF(AF103&gt;1,W103*0.01,0))</f>
        <v>0</v>
      </c>
      <c r="AQ103" s="395" t="s">
        <v>2636</v>
      </c>
      <c r="AR103" s="395">
        <f t="shared" si="29"/>
        <v>0</v>
      </c>
      <c r="AS103" s="395" t="str">
        <f t="shared" si="30"/>
        <v/>
      </c>
      <c r="AT103" s="10"/>
      <c r="AV103" s="94"/>
      <c r="AW103" s="94"/>
      <c r="AX103" s="94"/>
      <c r="AY103" s="94"/>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687"/>
      <c r="CB103" s="687"/>
      <c r="CC103" s="687"/>
      <c r="CD103" s="687"/>
      <c r="CE103" s="687"/>
      <c r="CF103" s="687"/>
      <c r="CG103" s="687"/>
      <c r="CH103" s="687"/>
      <c r="CI103" s="687"/>
      <c r="CJ103" s="687"/>
      <c r="CK103" s="687"/>
      <c r="CL103" s="687"/>
      <c r="CM103" s="687"/>
      <c r="CN103" s="687"/>
      <c r="CO103" s="687"/>
      <c r="CP103" s="687"/>
      <c r="CQ103" s="687"/>
      <c r="CR103" s="687"/>
      <c r="CS103" s="687"/>
      <c r="CT103" s="687"/>
      <c r="CU103" s="687"/>
      <c r="CV103" s="687"/>
      <c r="CW103" s="687"/>
      <c r="CX103" s="687"/>
      <c r="CY103" s="687"/>
      <c r="CZ103" s="687"/>
      <c r="DA103" s="687"/>
      <c r="DB103" s="687"/>
      <c r="DC103" s="687"/>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row>
    <row r="104" spans="1:266" ht="17.25" hidden="1" customHeight="1">
      <c r="A104" s="25"/>
      <c r="B104" s="564"/>
      <c r="C104" s="561" t="s">
        <v>2641</v>
      </c>
      <c r="D104" s="157"/>
      <c r="E104" s="159"/>
      <c r="F104" s="158"/>
      <c r="G104" s="156"/>
      <c r="H104" s="156"/>
      <c r="I104" s="156"/>
      <c r="J104" s="156"/>
      <c r="K104" s="156"/>
      <c r="L104" s="521"/>
      <c r="M104" s="521"/>
      <c r="N104" s="521"/>
      <c r="O104" s="521"/>
      <c r="P104" s="521"/>
      <c r="Q104" s="521"/>
      <c r="R104" s="521"/>
      <c r="S104" s="43"/>
      <c r="T104" s="43"/>
      <c r="U104" s="185"/>
      <c r="V104" s="158" t="s">
        <v>2547</v>
      </c>
      <c r="W104" s="850"/>
      <c r="X104" s="851"/>
      <c r="Y104" s="159" t="s">
        <v>2642</v>
      </c>
      <c r="Z104" s="168"/>
      <c r="AA104" s="168"/>
      <c r="AB104" s="168"/>
      <c r="AC104" s="168"/>
      <c r="AD104" s="185" t="s">
        <v>2643</v>
      </c>
      <c r="AE104" s="371" t="s">
        <v>142</v>
      </c>
      <c r="AF104" s="856" t="str">
        <f>IF(AK104=FALSE,IF(W104="","",IF($AO$1="OR","ID Only","Chk Box")),IF($AO$1="OR","ID Only",IF(W104="",0,W104*3)))</f>
        <v/>
      </c>
      <c r="AG104" s="856"/>
      <c r="AH104" s="856"/>
      <c r="AI104" s="181"/>
      <c r="AJ104" s="157"/>
      <c r="AK104" s="187" t="b">
        <v>0</v>
      </c>
      <c r="AL104" s="13"/>
      <c r="AM104" s="556">
        <f t="shared" si="27"/>
        <v>0</v>
      </c>
      <c r="AN104" s="556">
        <f t="shared" si="28"/>
        <v>0</v>
      </c>
      <c r="AO104" s="556">
        <f>IF(OR(AF104="Chk Box",AF104="ID Only"),0,IF(AF104&gt;1,W104*10.62,0))</f>
        <v>0</v>
      </c>
      <c r="AP104" s="556">
        <f>IF(AF104="Chk Box",0,IF(AF104&gt;1,W104*0.00177,0))</f>
        <v>0</v>
      </c>
      <c r="AQ104" s="395" t="s">
        <v>2636</v>
      </c>
      <c r="AR104" s="395">
        <f t="shared" si="29"/>
        <v>0</v>
      </c>
      <c r="AS104" s="395" t="str">
        <f t="shared" si="30"/>
        <v/>
      </c>
      <c r="AT104" s="10"/>
      <c r="AV104" s="94"/>
      <c r="AW104" s="94"/>
      <c r="AX104" s="94"/>
      <c r="AY104" s="94"/>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687"/>
      <c r="CB104" s="687"/>
      <c r="CC104" s="687"/>
      <c r="CD104" s="687"/>
      <c r="CE104" s="687"/>
      <c r="CF104" s="687"/>
      <c r="CG104" s="687"/>
      <c r="CH104" s="687"/>
      <c r="CI104" s="687"/>
      <c r="CJ104" s="687"/>
      <c r="CK104" s="687"/>
      <c r="CL104" s="687"/>
      <c r="CM104" s="687"/>
      <c r="CN104" s="687"/>
      <c r="CO104" s="687"/>
      <c r="CP104" s="687"/>
      <c r="CQ104" s="687"/>
      <c r="CR104" s="687"/>
      <c r="CS104" s="687"/>
      <c r="CT104" s="687"/>
      <c r="CU104" s="687"/>
      <c r="CV104" s="687"/>
      <c r="CW104" s="687"/>
      <c r="CX104" s="687"/>
      <c r="CY104" s="687"/>
      <c r="CZ104" s="687"/>
      <c r="DA104" s="687"/>
      <c r="DB104" s="687"/>
      <c r="DC104" s="687"/>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c r="HU104" s="10"/>
      <c r="HV104" s="10"/>
      <c r="HW104" s="10"/>
      <c r="HX104" s="10"/>
      <c r="HY104" s="10"/>
      <c r="HZ104" s="10"/>
      <c r="IA104" s="10"/>
      <c r="IB104" s="10"/>
      <c r="IC104" s="10"/>
      <c r="ID104" s="10"/>
      <c r="IE104" s="10"/>
      <c r="IF104" s="10"/>
      <c r="IG104" s="10"/>
      <c r="IH104" s="10"/>
      <c r="II104" s="10"/>
      <c r="IJ104" s="10"/>
      <c r="IK104" s="10"/>
      <c r="IL104" s="10"/>
      <c r="IM104" s="10"/>
      <c r="IN104" s="10"/>
      <c r="IO104" s="10"/>
      <c r="IP104" s="10"/>
      <c r="IQ104" s="10"/>
      <c r="IR104" s="10"/>
      <c r="IS104" s="10"/>
      <c r="IT104" s="10"/>
      <c r="IU104" s="10"/>
      <c r="IV104" s="10"/>
      <c r="IW104" s="10"/>
      <c r="IX104" s="10"/>
      <c r="IY104" s="10"/>
      <c r="IZ104" s="10"/>
      <c r="JA104" s="10"/>
      <c r="JB104" s="10"/>
      <c r="JC104" s="10"/>
      <c r="JD104" s="10"/>
      <c r="JE104" s="10"/>
      <c r="JF104" s="10"/>
    </row>
    <row r="105" spans="1:266" ht="17.25" hidden="1" customHeight="1">
      <c r="A105" s="25"/>
      <c r="B105" s="564"/>
      <c r="C105" s="560" t="s">
        <v>2644</v>
      </c>
      <c r="D105" s="159"/>
      <c r="E105" s="159"/>
      <c r="F105" s="158"/>
      <c r="G105" s="156"/>
      <c r="H105" s="156"/>
      <c r="I105" s="156"/>
      <c r="J105" s="156"/>
      <c r="K105" s="156"/>
      <c r="L105" s="521"/>
      <c r="M105" s="521"/>
      <c r="N105" s="521"/>
      <c r="O105" s="521"/>
      <c r="P105" s="521"/>
      <c r="Q105" s="521"/>
      <c r="R105" s="521"/>
      <c r="S105" s="43"/>
      <c r="T105" s="43"/>
      <c r="U105" s="185"/>
      <c r="V105" s="158" t="s">
        <v>2547</v>
      </c>
      <c r="W105" s="850"/>
      <c r="X105" s="851"/>
      <c r="Y105" s="29" t="s">
        <v>2645</v>
      </c>
      <c r="Z105" s="168"/>
      <c r="AA105" s="168"/>
      <c r="AB105" s="168"/>
      <c r="AC105" s="168"/>
      <c r="AD105" s="185" t="s">
        <v>2646</v>
      </c>
      <c r="AE105" s="371" t="s">
        <v>142</v>
      </c>
      <c r="AF105" s="855" t="str">
        <f>IF(AK105=FALSE,IF(W105="","","Chk Box"),IF(W105="",0,W105*80))</f>
        <v/>
      </c>
      <c r="AG105" s="855"/>
      <c r="AH105" s="855"/>
      <c r="AI105" s="181"/>
      <c r="AJ105" s="157"/>
      <c r="AK105" s="187" t="b">
        <v>0</v>
      </c>
      <c r="AL105" s="13"/>
      <c r="AM105" s="556">
        <f t="shared" si="27"/>
        <v>0</v>
      </c>
      <c r="AN105" s="556">
        <f t="shared" si="28"/>
        <v>0</v>
      </c>
      <c r="AO105" s="556">
        <f>IF(AF105="Chk Box",0,IF(AF105&gt;1,W105*2223,0))</f>
        <v>0</v>
      </c>
      <c r="AP105" s="556">
        <f>IF(AF105="Chk Box",0,IF(AF105&gt;1,W105*0.19,0))</f>
        <v>0</v>
      </c>
      <c r="AQ105" s="395" t="s">
        <v>2636</v>
      </c>
      <c r="AR105" s="395">
        <f t="shared" si="29"/>
        <v>0</v>
      </c>
      <c r="AS105" s="395" t="str">
        <f t="shared" si="30"/>
        <v/>
      </c>
      <c r="AT105" s="10"/>
      <c r="AV105" s="94"/>
      <c r="AW105" s="94"/>
      <c r="AX105" s="94"/>
      <c r="AY105" s="94"/>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687"/>
      <c r="CB105" s="687"/>
      <c r="CC105" s="687"/>
      <c r="CD105" s="687"/>
      <c r="CE105" s="687"/>
      <c r="CF105" s="687"/>
      <c r="CG105" s="687"/>
      <c r="CH105" s="687"/>
      <c r="CI105" s="687"/>
      <c r="CJ105" s="687"/>
      <c r="CK105" s="687"/>
      <c r="CL105" s="687"/>
      <c r="CM105" s="687"/>
      <c r="CN105" s="687"/>
      <c r="CO105" s="687"/>
      <c r="CP105" s="687"/>
      <c r="CQ105" s="687"/>
      <c r="CR105" s="687"/>
      <c r="CS105" s="687"/>
      <c r="CT105" s="687"/>
      <c r="CU105" s="687"/>
      <c r="CV105" s="687"/>
      <c r="CW105" s="687"/>
      <c r="CX105" s="687"/>
      <c r="CY105" s="687"/>
      <c r="CZ105" s="687"/>
      <c r="DA105" s="687"/>
      <c r="DB105" s="687"/>
      <c r="DC105" s="687"/>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c r="HL105" s="10"/>
      <c r="HM105" s="10"/>
      <c r="HN105" s="10"/>
      <c r="HO105" s="10"/>
      <c r="HP105" s="10"/>
      <c r="HQ105" s="10"/>
      <c r="HR105" s="10"/>
      <c r="HS105" s="10"/>
      <c r="HT105" s="10"/>
      <c r="HU105" s="10"/>
      <c r="HV105" s="10"/>
      <c r="HW105" s="10"/>
      <c r="HX105" s="10"/>
      <c r="HY105" s="10"/>
      <c r="HZ105" s="10"/>
      <c r="IA105" s="10"/>
      <c r="IB105" s="10"/>
      <c r="IC105" s="10"/>
      <c r="ID105" s="10"/>
      <c r="IE105" s="10"/>
      <c r="IF105" s="10"/>
      <c r="IG105" s="10"/>
      <c r="IH105" s="10"/>
      <c r="II105" s="10"/>
      <c r="IJ105" s="10"/>
      <c r="IK105" s="10"/>
      <c r="IL105" s="10"/>
      <c r="IM105" s="10"/>
      <c r="IN105" s="10"/>
      <c r="IO105" s="10"/>
      <c r="IP105" s="10"/>
      <c r="IQ105" s="10"/>
      <c r="IR105" s="10"/>
      <c r="IS105" s="10"/>
      <c r="IT105" s="10"/>
      <c r="IU105" s="10"/>
      <c r="IV105" s="10"/>
      <c r="IW105" s="10"/>
      <c r="IX105" s="10"/>
      <c r="IY105" s="10"/>
      <c r="IZ105" s="10"/>
      <c r="JA105" s="10"/>
      <c r="JB105" s="10"/>
      <c r="JC105" s="10"/>
      <c r="JD105" s="10"/>
      <c r="JE105" s="10"/>
      <c r="JF105" s="10"/>
    </row>
    <row r="106" spans="1:266" ht="15.75" hidden="1" customHeight="1">
      <c r="A106" s="25"/>
      <c r="B106" s="564"/>
      <c r="C106" s="560"/>
      <c r="D106" s="159"/>
      <c r="E106" s="159"/>
      <c r="F106" s="158"/>
      <c r="G106" s="156"/>
      <c r="H106" s="156"/>
      <c r="I106" s="156"/>
      <c r="J106" s="156"/>
      <c r="K106" s="156"/>
      <c r="L106" s="521"/>
      <c r="M106" s="521"/>
      <c r="N106" s="521"/>
      <c r="O106" s="521"/>
      <c r="P106" s="521"/>
      <c r="Q106" s="521"/>
      <c r="R106" s="521"/>
      <c r="S106" s="43"/>
      <c r="T106" s="43"/>
      <c r="U106" s="43"/>
      <c r="V106" s="43"/>
      <c r="W106" s="43"/>
      <c r="X106" s="43"/>
      <c r="Y106" s="43"/>
      <c r="Z106" s="43"/>
      <c r="AA106" s="43"/>
      <c r="AB106" s="43"/>
      <c r="AC106" s="43"/>
      <c r="AD106" s="43"/>
      <c r="AE106" s="43"/>
      <c r="AF106" s="43"/>
      <c r="AG106" s="43"/>
      <c r="AH106" s="43"/>
      <c r="AI106" s="181"/>
      <c r="AJ106" s="157"/>
      <c r="AK106" s="10"/>
      <c r="AL106" s="10"/>
      <c r="AM106" s="10"/>
      <c r="AN106" s="10"/>
      <c r="AO106" s="10"/>
      <c r="AP106" s="10"/>
      <c r="AQ106" s="10"/>
      <c r="AR106" s="10"/>
      <c r="AS106" s="10"/>
      <c r="AT106" s="10"/>
      <c r="AV106" s="94"/>
      <c r="AW106" s="94"/>
      <c r="AX106" s="94"/>
      <c r="AY106" s="94"/>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687"/>
      <c r="CB106" s="687"/>
      <c r="CC106" s="687"/>
      <c r="CD106" s="687"/>
      <c r="CE106" s="687"/>
      <c r="CF106" s="687"/>
      <c r="CG106" s="687"/>
      <c r="CH106" s="687"/>
      <c r="CI106" s="687"/>
      <c r="CJ106" s="687"/>
      <c r="CK106" s="687"/>
      <c r="CL106" s="687"/>
      <c r="CM106" s="687"/>
      <c r="CN106" s="687"/>
      <c r="CO106" s="687"/>
      <c r="CP106" s="687"/>
      <c r="CQ106" s="687"/>
      <c r="CR106" s="687"/>
      <c r="CS106" s="687"/>
      <c r="CT106" s="687"/>
      <c r="CU106" s="687"/>
      <c r="CV106" s="687"/>
      <c r="CW106" s="687"/>
      <c r="CX106" s="687"/>
      <c r="CY106" s="687"/>
      <c r="CZ106" s="687"/>
      <c r="DA106" s="687"/>
      <c r="DB106" s="687"/>
      <c r="DC106" s="687"/>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row>
    <row r="107" spans="1:266" hidden="1">
      <c r="A107" s="25"/>
      <c r="B107" s="565"/>
      <c r="C107" s="571"/>
      <c r="D107" s="578"/>
      <c r="E107" s="578"/>
      <c r="F107" s="578"/>
      <c r="G107" s="578"/>
      <c r="H107" s="578"/>
      <c r="I107" s="578"/>
      <c r="J107" s="578"/>
      <c r="K107" s="578"/>
      <c r="L107" s="578"/>
      <c r="M107" s="578"/>
      <c r="N107" s="578"/>
      <c r="O107" s="578"/>
      <c r="P107" s="578"/>
      <c r="Q107" s="578"/>
      <c r="R107" s="578"/>
      <c r="S107" s="578"/>
      <c r="T107" s="384"/>
      <c r="U107" s="578"/>
      <c r="V107" s="191"/>
      <c r="W107" s="191"/>
      <c r="X107" s="191"/>
      <c r="Y107" s="191"/>
      <c r="Z107" s="191"/>
      <c r="AA107" s="191"/>
      <c r="AB107" s="191"/>
      <c r="AC107" s="191"/>
      <c r="AD107" s="578"/>
      <c r="AE107" s="578"/>
      <c r="AF107" s="389"/>
      <c r="AG107" s="167"/>
      <c r="AH107" s="167"/>
      <c r="AI107" s="579"/>
      <c r="AJ107" s="31"/>
      <c r="AM107" s="295"/>
      <c r="AN107" s="295"/>
      <c r="AO107" s="397"/>
      <c r="AP107" s="397"/>
      <c r="AQ107" s="397"/>
      <c r="AR107" s="397"/>
      <c r="AS107" s="397"/>
      <c r="AT107" s="295"/>
      <c r="AV107" s="94"/>
      <c r="AW107" s="94"/>
      <c r="AX107" s="94"/>
      <c r="AY107" s="94"/>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100"/>
      <c r="BV107" s="100"/>
      <c r="BW107" s="100"/>
      <c r="BX107" s="100"/>
      <c r="BY107" s="100"/>
      <c r="BZ107" s="100"/>
      <c r="CA107" s="687"/>
      <c r="CB107" s="687"/>
      <c r="CC107" s="687"/>
      <c r="CD107" s="687"/>
      <c r="CE107" s="687"/>
      <c r="CF107" s="687"/>
      <c r="CG107" s="687"/>
      <c r="CH107" s="687"/>
      <c r="CI107" s="687"/>
      <c r="CJ107" s="687"/>
      <c r="CK107" s="687"/>
      <c r="CL107" s="687"/>
      <c r="CM107" s="687"/>
      <c r="CN107" s="687"/>
      <c r="CO107" s="687"/>
      <c r="CP107" s="687"/>
      <c r="CQ107" s="687"/>
      <c r="CR107" s="687"/>
      <c r="CS107" s="687"/>
      <c r="CT107" s="687"/>
      <c r="CU107" s="687"/>
      <c r="CV107" s="687"/>
      <c r="CW107" s="687"/>
      <c r="CX107" s="687"/>
      <c r="CY107" s="687"/>
      <c r="CZ107" s="687"/>
      <c r="DA107" s="687"/>
      <c r="DB107" s="687"/>
      <c r="DC107" s="687"/>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row>
    <row r="108" spans="1:266" hidden="1">
      <c r="A108" s="25"/>
      <c r="B108" s="567"/>
      <c r="C108" s="567"/>
      <c r="D108" s="549"/>
      <c r="E108" s="549"/>
      <c r="F108" s="549"/>
      <c r="G108" s="549"/>
      <c r="H108" s="549"/>
      <c r="I108" s="549"/>
      <c r="J108" s="549"/>
      <c r="K108" s="549"/>
      <c r="L108" s="549"/>
      <c r="M108" s="549"/>
      <c r="N108" s="549"/>
      <c r="O108" s="549"/>
      <c r="P108" s="549"/>
      <c r="Q108" s="549"/>
      <c r="R108" s="549"/>
      <c r="S108" s="549"/>
      <c r="T108" s="43"/>
      <c r="U108" s="549"/>
      <c r="V108" s="168"/>
      <c r="W108" s="168"/>
      <c r="X108" s="168"/>
      <c r="Y108" s="168"/>
      <c r="Z108" s="168"/>
      <c r="AA108" s="168"/>
      <c r="AB108" s="168"/>
      <c r="AC108" s="168"/>
      <c r="AD108" s="549"/>
      <c r="AE108" s="549"/>
      <c r="AF108" s="189"/>
      <c r="AG108" s="157"/>
      <c r="AH108" s="157"/>
      <c r="AI108" s="549"/>
      <c r="AJ108" s="25"/>
      <c r="AM108" s="295"/>
      <c r="AN108" s="295"/>
      <c r="AO108" s="397"/>
      <c r="AP108" s="397"/>
      <c r="AQ108" s="397"/>
      <c r="AR108" s="397"/>
      <c r="AS108" s="295"/>
      <c r="AT108" s="295"/>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row>
    <row r="109" spans="1:266" ht="14.25" hidden="1">
      <c r="A109" s="25"/>
      <c r="B109" s="562" t="s">
        <v>2647</v>
      </c>
      <c r="C109" s="568"/>
      <c r="D109" s="31"/>
      <c r="E109" s="31"/>
      <c r="F109" s="31"/>
      <c r="G109" s="31"/>
      <c r="H109" s="31"/>
      <c r="I109" s="31"/>
      <c r="J109" s="31"/>
      <c r="K109" s="31"/>
      <c r="L109" s="31"/>
      <c r="M109" s="31"/>
      <c r="N109" s="31"/>
      <c r="O109" s="31"/>
      <c r="P109" s="31"/>
      <c r="Q109" s="31"/>
      <c r="R109" s="31"/>
      <c r="S109" s="31"/>
      <c r="T109" s="43"/>
      <c r="U109" s="31"/>
      <c r="V109" s="168"/>
      <c r="W109" s="168"/>
      <c r="X109" s="168"/>
      <c r="Y109" s="168"/>
      <c r="Z109" s="168"/>
      <c r="AA109" s="168"/>
      <c r="AB109" s="168"/>
      <c r="AC109" s="168"/>
      <c r="AD109" s="31"/>
      <c r="AE109" s="31"/>
      <c r="AF109" s="42"/>
      <c r="AG109" s="157"/>
      <c r="AH109" s="157"/>
      <c r="AI109" s="31"/>
      <c r="AJ109" s="31"/>
      <c r="AK109" s="9"/>
      <c r="AL109" s="9"/>
      <c r="AM109" s="847" t="s">
        <v>2481</v>
      </c>
      <c r="AN109" s="847"/>
      <c r="AO109" s="736" t="s">
        <v>2482</v>
      </c>
      <c r="AP109" s="736"/>
      <c r="AQ109" s="736"/>
      <c r="AR109" s="736"/>
      <c r="AS109" s="736"/>
      <c r="AT109" s="736"/>
      <c r="AU109" s="736"/>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row>
    <row r="110" spans="1:266" s="14" customFormat="1" ht="12.75" hidden="1" customHeight="1">
      <c r="A110" s="25"/>
      <c r="B110" s="550"/>
      <c r="C110" s="176"/>
      <c r="D110" s="176"/>
      <c r="E110" s="176"/>
      <c r="F110" s="551"/>
      <c r="G110" s="551"/>
      <c r="H110" s="551"/>
      <c r="I110" s="552"/>
      <c r="J110" s="553"/>
      <c r="K110" s="553"/>
      <c r="L110" s="553"/>
      <c r="M110" s="192"/>
      <c r="N110" s="192"/>
      <c r="O110" s="192"/>
      <c r="P110" s="192"/>
      <c r="Q110" s="182"/>
      <c r="R110" s="182"/>
      <c r="S110" s="182"/>
      <c r="T110" s="182"/>
      <c r="U110" s="552"/>
      <c r="V110" s="193"/>
      <c r="W110" s="193"/>
      <c r="X110" s="193"/>
      <c r="Y110" s="193"/>
      <c r="Z110" s="193"/>
      <c r="AA110" s="193"/>
      <c r="AB110" s="193"/>
      <c r="AC110" s="193"/>
      <c r="AD110" s="176"/>
      <c r="AE110" s="552"/>
      <c r="AF110" s="356" t="s">
        <v>2483</v>
      </c>
      <c r="AG110" s="356"/>
      <c r="AH110" s="356"/>
      <c r="AI110" s="27"/>
      <c r="AJ110" s="554"/>
      <c r="AK110" s="9"/>
      <c r="AL110" s="9"/>
      <c r="AM110" s="10" t="s">
        <v>2484</v>
      </c>
      <c r="AN110" s="10" t="s">
        <v>2485</v>
      </c>
      <c r="AO110" s="10" t="s">
        <v>2486</v>
      </c>
      <c r="AP110" s="10" t="s">
        <v>2487</v>
      </c>
      <c r="AQ110" s="10" t="s">
        <v>2488</v>
      </c>
      <c r="AR110" s="10"/>
      <c r="AS110" s="10"/>
      <c r="AT110" s="10"/>
      <c r="AU110" s="10"/>
      <c r="AV110" s="94"/>
      <c r="AW110" s="94"/>
      <c r="AX110" s="94"/>
      <c r="AY110" s="94"/>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689"/>
      <c r="CB110" s="689"/>
      <c r="CC110" s="689"/>
      <c r="CD110" s="689"/>
      <c r="CE110" s="689"/>
      <c r="CF110" s="689"/>
      <c r="CG110" s="689"/>
      <c r="CH110" s="689"/>
      <c r="CI110" s="689"/>
      <c r="CJ110" s="689"/>
      <c r="CK110" s="689"/>
      <c r="CL110" s="689"/>
      <c r="CM110" s="689"/>
      <c r="CN110" s="689"/>
      <c r="CO110" s="689"/>
      <c r="CP110" s="689"/>
      <c r="CQ110" s="689"/>
      <c r="CR110" s="689"/>
      <c r="CS110" s="689"/>
      <c r="CT110" s="689"/>
      <c r="CU110" s="689"/>
      <c r="CV110" s="689"/>
      <c r="CW110" s="689"/>
      <c r="CX110" s="689"/>
      <c r="CY110" s="689"/>
      <c r="CZ110" s="689"/>
      <c r="DA110" s="689"/>
      <c r="DB110" s="689"/>
      <c r="DC110" s="689"/>
    </row>
    <row r="111" spans="1:266" ht="14.1" customHeight="1">
      <c r="A111" s="25"/>
      <c r="B111" s="555"/>
      <c r="C111" s="157" t="s">
        <v>3318</v>
      </c>
      <c r="D111" s="157"/>
      <c r="E111" s="157"/>
      <c r="F111" s="333"/>
      <c r="G111" s="157"/>
      <c r="H111" s="370"/>
      <c r="I111" s="157"/>
      <c r="J111" s="333"/>
      <c r="K111" s="333"/>
      <c r="L111" s="333"/>
      <c r="M111" s="157"/>
      <c r="N111" s="605" t="str">
        <f>IF($AK$111=TRUE,"Select Heating System:","")</f>
        <v/>
      </c>
      <c r="O111" s="864"/>
      <c r="P111" s="864"/>
      <c r="Q111" s="864"/>
      <c r="R111" s="864"/>
      <c r="S111" s="864"/>
      <c r="T111" s="43"/>
      <c r="U111" s="185"/>
      <c r="V111" s="158" t="s">
        <v>2648</v>
      </c>
      <c r="W111" s="850"/>
      <c r="X111" s="851"/>
      <c r="Y111" s="159" t="s">
        <v>2508</v>
      </c>
      <c r="Z111" s="168"/>
      <c r="AA111" s="168"/>
      <c r="AB111" s="168"/>
      <c r="AC111" s="168"/>
      <c r="AD111" s="185" t="s">
        <v>2649</v>
      </c>
      <c r="AE111" s="371" t="s">
        <v>142</v>
      </c>
      <c r="AF111" s="855" t="str">
        <f>IF(AK111=FALSE,IF(W111="","","Chk Box"),IF(AND(AK111=TRUE,AK112=FALSE,AL112=FALSE),"Heat System",IF(AND(AK111=TRUE,W111=""),0,W111*2)))</f>
        <v/>
      </c>
      <c r="AG111" s="855"/>
      <c r="AH111" s="855"/>
      <c r="AI111" s="181"/>
      <c r="AJ111" s="180"/>
      <c r="AK111" s="187" t="b">
        <v>0</v>
      </c>
      <c r="AL111" s="9"/>
      <c r="AM111" s="556">
        <f>IFERROR(IF($AQ111="",AO111,IF($AS111="",(VLOOKUP($AU111,StackingEffects,2,FALSE)*AT111),(VLOOKUP($AS111,StackingEffects,2,FALSE)*AR111))),0)</f>
        <v>0</v>
      </c>
      <c r="AN111" s="556">
        <f>IFERROR(IF($AQ111="",AP111,IF($AS111="",(VLOOKUP($AU111,StackingEffects,2,FALSE)*AP111),(VLOOKUP($AS111,StackingEffects,2,FALSE)*AP111))),0)</f>
        <v>0</v>
      </c>
      <c r="AO111" s="556">
        <f>IF(AF111="Chk Box",0,IF(AF111&gt;1,IF(AK112=TRUE,W111*8,IF(AL112=TRUE,W111*39,0))))</f>
        <v>0</v>
      </c>
      <c r="AP111" s="556">
        <f>IF(AF111="Chk Box",0,IF(AF111&gt;1,W111*0,0))</f>
        <v>0</v>
      </c>
      <c r="AQ111" s="400"/>
      <c r="AR111" s="400"/>
      <c r="AS111" s="10"/>
      <c r="AT111" s="10"/>
      <c r="AU111" s="10"/>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row>
    <row r="112" spans="1:266" ht="16.899999999999999" customHeight="1">
      <c r="A112" s="25"/>
      <c r="B112" s="186"/>
      <c r="C112" s="167"/>
      <c r="D112" s="167"/>
      <c r="E112" s="167"/>
      <c r="F112" s="557"/>
      <c r="G112" s="167"/>
      <c r="H112" s="167"/>
      <c r="I112" s="167"/>
      <c r="J112" s="167"/>
      <c r="K112" s="167"/>
      <c r="L112" s="167"/>
      <c r="M112" s="167"/>
      <c r="N112" s="167"/>
      <c r="O112" s="167"/>
      <c r="P112" s="167"/>
      <c r="Q112" s="167"/>
      <c r="R112" s="167"/>
      <c r="S112" s="167"/>
      <c r="T112" s="384"/>
      <c r="U112" s="384"/>
      <c r="V112" s="191"/>
      <c r="W112" s="191"/>
      <c r="X112" s="191"/>
      <c r="Y112" s="191"/>
      <c r="Z112" s="191"/>
      <c r="AA112" s="191"/>
      <c r="AB112" s="191"/>
      <c r="AC112" s="191"/>
      <c r="AD112" s="384"/>
      <c r="AE112" s="384"/>
      <c r="AF112" s="384"/>
      <c r="AG112" s="167"/>
      <c r="AH112" s="167"/>
      <c r="AI112" s="558"/>
      <c r="AJ112" s="554"/>
      <c r="AK112" s="187" t="b">
        <f>IF($O111="Electric Heat Pump",TRUE,FALSE)</f>
        <v>0</v>
      </c>
      <c r="AL112" s="187" t="b">
        <f>IF($O111="Electric Resistance",TRUE,FALSE)</f>
        <v>0</v>
      </c>
      <c r="AN112" s="8"/>
      <c r="AO112" s="279"/>
      <c r="AP112" s="279"/>
      <c r="AQ112" s="279"/>
      <c r="AR112" s="279"/>
      <c r="AS112" s="8"/>
      <c r="AT112" s="8"/>
      <c r="AU112" s="8"/>
      <c r="AV112" s="94"/>
      <c r="AW112" s="94"/>
      <c r="AX112" s="94"/>
      <c r="AY112" s="94"/>
      <c r="AZ112" s="94"/>
      <c r="BA112" s="94"/>
      <c r="BB112" s="94"/>
      <c r="BC112" s="94"/>
      <c r="BD112" s="94"/>
      <c r="BE112" s="94"/>
      <c r="BF112" s="94"/>
      <c r="BG112" s="94"/>
      <c r="BH112" s="94"/>
      <c r="BI112" s="94"/>
      <c r="BJ112" s="94"/>
      <c r="BK112" s="94"/>
      <c r="BL112" s="94"/>
      <c r="BM112" s="94"/>
      <c r="BN112" s="94"/>
      <c r="BO112" s="94"/>
      <c r="BP112" s="94"/>
      <c r="BQ112" s="94"/>
      <c r="BR112" s="94"/>
      <c r="BS112" s="94"/>
      <c r="BT112" s="94"/>
      <c r="BU112" s="94"/>
      <c r="BV112" s="94"/>
      <c r="BW112" s="94"/>
      <c r="BX112" s="94"/>
      <c r="BY112" s="94"/>
      <c r="BZ112" s="94"/>
    </row>
    <row r="113" spans="1:266" ht="12.75" customHeight="1">
      <c r="A113" s="25"/>
      <c r="B113" s="26"/>
      <c r="C113" s="26"/>
      <c r="D113" s="580"/>
      <c r="E113" s="580"/>
      <c r="F113" s="580"/>
      <c r="G113" s="580"/>
      <c r="H113" s="580"/>
      <c r="I113" s="580"/>
      <c r="J113" s="580"/>
      <c r="K113" s="580"/>
      <c r="L113" s="580"/>
      <c r="M113" s="580"/>
      <c r="N113" s="580"/>
      <c r="O113" s="580"/>
      <c r="P113" s="580"/>
      <c r="Q113" s="580"/>
      <c r="R113" s="580"/>
      <c r="S113" s="580"/>
      <c r="T113" s="182"/>
      <c r="U113" s="580"/>
      <c r="V113" s="193"/>
      <c r="W113" s="193"/>
      <c r="X113" s="193"/>
      <c r="Y113" s="193"/>
      <c r="Z113" s="193"/>
      <c r="AA113" s="193"/>
      <c r="AB113" s="193"/>
      <c r="AC113" s="193"/>
      <c r="AD113" s="580"/>
      <c r="AE113" s="580"/>
      <c r="AF113" s="572"/>
      <c r="AG113" s="176"/>
      <c r="AH113" s="176"/>
      <c r="AI113" s="580"/>
      <c r="AJ113" s="157"/>
      <c r="AQ113" s="9"/>
      <c r="AR113" s="9"/>
      <c r="AV113" s="94"/>
      <c r="AW113" s="94"/>
      <c r="AX113" s="94"/>
      <c r="AY113" s="94"/>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687"/>
      <c r="CB113" s="687"/>
      <c r="CC113" s="687"/>
      <c r="CD113" s="687"/>
      <c r="CE113" s="687"/>
      <c r="CF113" s="687"/>
      <c r="CG113" s="687"/>
      <c r="CH113" s="687"/>
      <c r="CI113" s="687"/>
      <c r="CJ113" s="687"/>
      <c r="CK113" s="687"/>
      <c r="CL113" s="687"/>
      <c r="CM113" s="687"/>
      <c r="CN113" s="687"/>
      <c r="CO113" s="687"/>
      <c r="CP113" s="687"/>
      <c r="CQ113" s="687"/>
      <c r="CR113" s="687"/>
      <c r="CS113" s="687"/>
      <c r="CT113" s="687"/>
      <c r="CU113" s="687"/>
      <c r="CV113" s="687"/>
      <c r="CW113" s="687"/>
      <c r="CX113" s="687"/>
      <c r="CY113" s="687"/>
      <c r="CZ113" s="687"/>
      <c r="DA113" s="687"/>
      <c r="DB113" s="687"/>
      <c r="DC113" s="687"/>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c r="IW113" s="10"/>
      <c r="IX113" s="10"/>
      <c r="IY113" s="10"/>
      <c r="IZ113" s="10"/>
      <c r="JA113" s="10"/>
      <c r="JB113" s="10"/>
      <c r="JC113" s="10"/>
      <c r="JD113" s="10"/>
      <c r="JE113" s="10"/>
      <c r="JF113" s="10"/>
    </row>
    <row r="114" spans="1:266" ht="14.1" customHeight="1">
      <c r="A114" s="25"/>
      <c r="B114" s="25"/>
      <c r="C114" s="25"/>
      <c r="D114" s="549"/>
      <c r="E114" s="549"/>
      <c r="F114" s="549"/>
      <c r="G114" s="549"/>
      <c r="H114" s="549"/>
      <c r="I114" s="549"/>
      <c r="J114" s="549"/>
      <c r="K114" s="549"/>
      <c r="L114" s="549"/>
      <c r="M114" s="549"/>
      <c r="N114" s="549"/>
      <c r="O114" s="549"/>
      <c r="P114" s="549"/>
      <c r="Q114" s="549"/>
      <c r="R114" s="549"/>
      <c r="S114" s="549"/>
      <c r="T114" s="43"/>
      <c r="U114" s="28"/>
      <c r="V114" s="168"/>
      <c r="W114" s="168"/>
      <c r="X114" s="168"/>
      <c r="Y114" s="168"/>
      <c r="Z114" s="168"/>
      <c r="AA114" s="168"/>
      <c r="AB114" s="168"/>
      <c r="AC114" s="168"/>
      <c r="AD114" s="28" t="s">
        <v>2650</v>
      </c>
      <c r="AE114" s="371" t="s">
        <v>142</v>
      </c>
      <c r="AF114" s="849" t="str">
        <f>IF(AK114=FALSE,"",SUM(AF34:AF41,AF49:AF57,AF62,AF67:AF73,AF78:AF87,AF92:AF96,AF101:AF106,AF111))</f>
        <v/>
      </c>
      <c r="AG114" s="849"/>
      <c r="AH114" s="849"/>
      <c r="AI114" s="549"/>
      <c r="AJ114" s="157"/>
      <c r="AK114" s="187" t="b">
        <f>IF(OR(AK34=TRUE,AK35=TRUE,AK36=TRUE,AK38=TRUE,AK40=TRUE,AK41=TRUE,AK49=TRUE,AK50=TRUE,AK51=TRUE,AK52=TRUE,AK53=TRUE,AK54=TRUE,AK55=TRUE,AK56=TRUE,AK57=TRUE,AK62=TRUE,AK67=TRUE,AK68=TRUE,AK69=TRUE,AK70=TRUE,AK71=TRUE,AK72=TRUE,AK73=TRUE,AK78=TRUE,AK79=TRUE,AK80=TRUE,AK81=TRUE,AK82=TRUE,AK83=TRUE,AK84=TRUE,AK86=TRUE,AK87=TRUE,AK92=TRUE,AK93=TRUE,AK94=TRUE,AK95=TRUE,AK96=TRUE, AK101=TRUE,AK102=TRUE,AK103=TRUE,AK104=TRUE,AK105=TRUE,AK111=TRUE),TRUE,FALSE)</f>
        <v>0</v>
      </c>
      <c r="AM114" s="556">
        <f>SUM(AM34:AM112)</f>
        <v>0</v>
      </c>
      <c r="AN114" s="556">
        <f>SUM(AN34:AN106)</f>
        <v>0</v>
      </c>
      <c r="AO114" s="556">
        <f>SUM(AO34:AO113)</f>
        <v>0</v>
      </c>
      <c r="AP114" s="556">
        <f>SUM(AP34:AP106)</f>
        <v>0</v>
      </c>
      <c r="AQ114" s="400"/>
      <c r="AR114" s="400"/>
      <c r="AS114" s="400"/>
      <c r="AT114" s="400"/>
      <c r="AU114" s="400"/>
      <c r="AV114" s="94"/>
      <c r="AW114" s="94"/>
      <c r="AX114" s="94"/>
      <c r="AY114" s="94"/>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687"/>
      <c r="CB114" s="687"/>
      <c r="CC114" s="687"/>
      <c r="CD114" s="687"/>
      <c r="CE114" s="687"/>
      <c r="CF114" s="687"/>
      <c r="CG114" s="687"/>
      <c r="CH114" s="687"/>
      <c r="CI114" s="687"/>
      <c r="CJ114" s="687"/>
      <c r="CK114" s="687"/>
      <c r="CL114" s="687"/>
      <c r="CM114" s="687"/>
      <c r="CN114" s="687"/>
      <c r="CO114" s="687"/>
      <c r="CP114" s="687"/>
      <c r="CQ114" s="687"/>
      <c r="CR114" s="687"/>
      <c r="CS114" s="687"/>
      <c r="CT114" s="687"/>
      <c r="CU114" s="687"/>
      <c r="CV114" s="687"/>
      <c r="CW114" s="687"/>
      <c r="CX114" s="687"/>
      <c r="CY114" s="687"/>
      <c r="CZ114" s="687"/>
      <c r="DA114" s="687"/>
      <c r="DB114" s="687"/>
      <c r="DC114" s="687"/>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c r="HU114" s="10"/>
      <c r="HV114" s="10"/>
      <c r="HW114" s="10"/>
      <c r="HX114" s="10"/>
      <c r="HY114" s="10"/>
      <c r="HZ114" s="10"/>
      <c r="IA114" s="10"/>
      <c r="IB114" s="10"/>
      <c r="IC114" s="10"/>
      <c r="ID114" s="10"/>
      <c r="IE114" s="10"/>
      <c r="IF114" s="10"/>
      <c r="IG114" s="10"/>
      <c r="IH114" s="10"/>
      <c r="II114" s="10"/>
      <c r="IJ114" s="10"/>
      <c r="IK114" s="10"/>
      <c r="IL114" s="10"/>
      <c r="IM114" s="10"/>
      <c r="IN114" s="10"/>
      <c r="IO114" s="10"/>
      <c r="IP114" s="10"/>
      <c r="IQ114" s="10"/>
      <c r="IR114" s="10"/>
      <c r="IS114" s="10"/>
      <c r="IT114" s="10"/>
      <c r="IU114" s="10"/>
      <c r="IV114" s="10"/>
      <c r="IW114" s="10"/>
      <c r="IX114" s="10"/>
      <c r="IY114" s="10"/>
      <c r="IZ114" s="10"/>
      <c r="JA114" s="10"/>
      <c r="JB114" s="10"/>
      <c r="JC114" s="10"/>
      <c r="JD114" s="10"/>
      <c r="JE114" s="10"/>
      <c r="JF114" s="10"/>
    </row>
    <row r="115" spans="1:266" ht="14.1" customHeight="1">
      <c r="A115" s="25"/>
      <c r="B115" s="779"/>
      <c r="C115" s="779"/>
      <c r="D115" s="779"/>
      <c r="E115" s="779"/>
      <c r="F115" s="779"/>
      <c r="G115" s="779"/>
      <c r="H115" s="779"/>
      <c r="I115" s="779"/>
      <c r="J115" s="779"/>
      <c r="K115" s="779"/>
      <c r="L115" s="779"/>
      <c r="M115" s="779"/>
      <c r="N115" s="779"/>
      <c r="O115" s="779"/>
      <c r="P115" s="779"/>
      <c r="Q115" s="779"/>
      <c r="R115" s="779"/>
      <c r="S115" s="779"/>
      <c r="T115" s="779"/>
      <c r="U115" s="779"/>
      <c r="V115" s="779"/>
      <c r="W115" s="779"/>
      <c r="X115" s="779"/>
      <c r="Y115" s="779"/>
      <c r="Z115" s="779"/>
      <c r="AA115" s="779"/>
      <c r="AB115" s="779"/>
      <c r="AC115" s="779"/>
      <c r="AD115" s="779"/>
      <c r="AE115" s="779"/>
      <c r="AF115" s="779"/>
      <c r="AG115" s="779"/>
      <c r="AH115" s="779"/>
      <c r="AI115" s="779"/>
      <c r="AJ115" s="157"/>
      <c r="AV115" s="94"/>
      <c r="AW115" s="94"/>
      <c r="AX115" s="94"/>
      <c r="AY115" s="94"/>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687"/>
      <c r="CB115" s="687"/>
      <c r="CC115" s="687"/>
      <c r="CD115" s="687"/>
      <c r="CE115" s="687"/>
      <c r="CF115" s="687"/>
      <c r="CG115" s="687"/>
      <c r="CH115" s="687"/>
      <c r="CI115" s="687"/>
      <c r="CJ115" s="687"/>
      <c r="CK115" s="687"/>
      <c r="CL115" s="687"/>
      <c r="CM115" s="687"/>
      <c r="CN115" s="687"/>
      <c r="CO115" s="687"/>
      <c r="CP115" s="687"/>
      <c r="CQ115" s="687"/>
      <c r="CR115" s="687"/>
      <c r="CS115" s="687"/>
      <c r="CT115" s="687"/>
      <c r="CU115" s="687"/>
      <c r="CV115" s="687"/>
      <c r="CW115" s="687"/>
      <c r="CX115" s="687"/>
      <c r="CY115" s="687"/>
      <c r="CZ115" s="687"/>
      <c r="DA115" s="687"/>
      <c r="DB115" s="687"/>
      <c r="DC115" s="687"/>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c r="HX115" s="10"/>
      <c r="HY115" s="10"/>
      <c r="HZ115" s="10"/>
      <c r="IA115" s="10"/>
      <c r="IB115" s="10"/>
      <c r="IC115" s="10"/>
      <c r="ID115" s="10"/>
      <c r="IE115" s="10"/>
      <c r="IF115" s="10"/>
      <c r="IG115" s="10"/>
      <c r="IH115" s="10"/>
      <c r="II115" s="10"/>
      <c r="IJ115" s="10"/>
      <c r="IK115" s="10"/>
      <c r="IL115" s="10"/>
      <c r="IM115" s="10"/>
      <c r="IN115" s="10"/>
      <c r="IO115" s="10"/>
      <c r="IP115" s="10"/>
      <c r="IQ115" s="10"/>
      <c r="IR115" s="10"/>
      <c r="IS115" s="10"/>
      <c r="IT115" s="10"/>
      <c r="IU115" s="10"/>
      <c r="IV115" s="10"/>
      <c r="IW115" s="10"/>
      <c r="IX115" s="10"/>
      <c r="IY115" s="10"/>
      <c r="IZ115" s="10"/>
      <c r="JA115" s="10"/>
      <c r="JB115" s="10"/>
      <c r="JC115" s="10"/>
      <c r="JD115" s="10"/>
      <c r="JE115" s="10"/>
      <c r="JF115" s="10"/>
    </row>
    <row r="116" spans="1:266" ht="14.1" customHeight="1">
      <c r="A116" s="25"/>
      <c r="B116" s="779"/>
      <c r="C116" s="779"/>
      <c r="D116" s="779"/>
      <c r="E116" s="779"/>
      <c r="F116" s="779"/>
      <c r="G116" s="779"/>
      <c r="H116" s="779"/>
      <c r="I116" s="779"/>
      <c r="J116" s="779"/>
      <c r="K116" s="779"/>
      <c r="L116" s="779"/>
      <c r="M116" s="779"/>
      <c r="N116" s="779"/>
      <c r="O116" s="779"/>
      <c r="P116" s="779"/>
      <c r="Q116" s="779"/>
      <c r="R116" s="779"/>
      <c r="S116" s="779"/>
      <c r="T116" s="779"/>
      <c r="U116" s="779"/>
      <c r="V116" s="779"/>
      <c r="W116" s="779"/>
      <c r="X116" s="779"/>
      <c r="Y116" s="779"/>
      <c r="Z116" s="779"/>
      <c r="AA116" s="779"/>
      <c r="AB116" s="779"/>
      <c r="AC116" s="779"/>
      <c r="AD116" s="779"/>
      <c r="AE116" s="779"/>
      <c r="AF116" s="779"/>
      <c r="AG116" s="779"/>
      <c r="AH116" s="779"/>
      <c r="AI116" s="779"/>
      <c r="AJ116" s="157"/>
      <c r="AV116" s="94"/>
      <c r="AW116" s="94"/>
      <c r="AX116" s="94"/>
      <c r="AY116" s="94"/>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c r="BV116" s="100"/>
      <c r="BW116" s="100"/>
      <c r="BX116" s="100"/>
      <c r="BY116" s="100"/>
      <c r="BZ116" s="100"/>
      <c r="CA116" s="687"/>
      <c r="CB116" s="687"/>
      <c r="CC116" s="687"/>
      <c r="CD116" s="687"/>
      <c r="CE116" s="687"/>
      <c r="CF116" s="687"/>
      <c r="CG116" s="687"/>
      <c r="CH116" s="687"/>
      <c r="CI116" s="687"/>
      <c r="CJ116" s="687"/>
      <c r="CK116" s="687"/>
      <c r="CL116" s="687"/>
      <c r="CM116" s="687"/>
      <c r="CN116" s="687"/>
      <c r="CO116" s="687"/>
      <c r="CP116" s="687"/>
      <c r="CQ116" s="687"/>
      <c r="CR116" s="687"/>
      <c r="CS116" s="687"/>
      <c r="CT116" s="687"/>
      <c r="CU116" s="687"/>
      <c r="CV116" s="687"/>
      <c r="CW116" s="687"/>
      <c r="CX116" s="687"/>
      <c r="CY116" s="687"/>
      <c r="CZ116" s="687"/>
      <c r="DA116" s="687"/>
      <c r="DB116" s="687"/>
      <c r="DC116" s="687"/>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c r="IV116" s="10"/>
      <c r="IW116" s="10"/>
      <c r="IX116" s="10"/>
      <c r="IY116" s="10"/>
      <c r="IZ116" s="10"/>
      <c r="JA116" s="10"/>
      <c r="JB116" s="10"/>
      <c r="JC116" s="10"/>
      <c r="JD116" s="10"/>
      <c r="JE116" s="10"/>
      <c r="JF116" s="10"/>
    </row>
    <row r="117" spans="1:266" ht="14.1" customHeight="1">
      <c r="A117" s="25"/>
      <c r="B117" s="33" t="str">
        <f>Version</f>
        <v>MF (11/23)</v>
      </c>
      <c r="C117" s="43"/>
      <c r="D117" s="43"/>
      <c r="E117" s="43"/>
      <c r="F117" s="43"/>
      <c r="G117" s="43"/>
      <c r="H117" s="43"/>
      <c r="I117" s="43"/>
      <c r="J117" s="43"/>
      <c r="K117" s="43"/>
      <c r="L117" s="43"/>
      <c r="M117" s="43"/>
      <c r="N117" s="43"/>
      <c r="O117" s="43"/>
      <c r="P117" s="43"/>
      <c r="Q117" s="43"/>
      <c r="R117" s="43"/>
      <c r="S117" s="43"/>
      <c r="T117" s="43"/>
      <c r="U117" s="43"/>
      <c r="V117" s="168"/>
      <c r="W117" s="168"/>
      <c r="X117" s="168"/>
      <c r="Y117" s="168"/>
      <c r="Z117" s="168"/>
      <c r="AA117" s="168"/>
      <c r="AB117" s="168"/>
      <c r="AC117" s="168"/>
      <c r="AD117" s="43"/>
      <c r="AE117" s="43"/>
      <c r="AF117" s="43"/>
      <c r="AG117" s="157"/>
      <c r="AH117" s="157"/>
      <c r="AI117" s="43"/>
      <c r="AJ117" s="157"/>
      <c r="AV117" s="94"/>
      <c r="AW117" s="94"/>
      <c r="AX117" s="94"/>
      <c r="AY117" s="94"/>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100"/>
      <c r="BW117" s="100"/>
      <c r="BX117" s="100"/>
      <c r="BY117" s="100"/>
      <c r="BZ117" s="100"/>
      <c r="CA117" s="687"/>
      <c r="CB117" s="687"/>
      <c r="CC117" s="687"/>
      <c r="CD117" s="687"/>
      <c r="CE117" s="687"/>
      <c r="CF117" s="687"/>
      <c r="CG117" s="687"/>
      <c r="CH117" s="687"/>
      <c r="CI117" s="687"/>
      <c r="CJ117" s="687"/>
      <c r="CK117" s="687"/>
      <c r="CL117" s="687"/>
      <c r="CM117" s="687"/>
      <c r="CN117" s="687"/>
      <c r="CO117" s="687"/>
      <c r="CP117" s="687"/>
      <c r="CQ117" s="687"/>
      <c r="CR117" s="687"/>
      <c r="CS117" s="687"/>
      <c r="CT117" s="687"/>
      <c r="CU117" s="687"/>
      <c r="CV117" s="687"/>
      <c r="CW117" s="687"/>
      <c r="CX117" s="687"/>
      <c r="CY117" s="687"/>
      <c r="CZ117" s="687"/>
      <c r="DA117" s="687"/>
      <c r="DB117" s="687"/>
      <c r="DC117" s="687"/>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row>
    <row r="118" spans="1:266" s="5" customFormat="1" ht="12.75" customHeight="1">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399"/>
      <c r="AP118" s="399"/>
      <c r="AQ118" s="94"/>
      <c r="AR118" s="94"/>
      <c r="AS118" s="94"/>
      <c r="AT118" s="94"/>
      <c r="AU118" s="94"/>
      <c r="AV118" s="98"/>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684"/>
      <c r="CB118" s="684"/>
      <c r="CC118" s="684"/>
      <c r="CD118" s="684"/>
      <c r="CE118" s="684"/>
      <c r="CF118" s="684"/>
      <c r="CG118" s="684"/>
      <c r="CH118" s="684"/>
      <c r="CI118" s="684"/>
      <c r="CJ118" s="684"/>
      <c r="CK118" s="684"/>
      <c r="CL118" s="684"/>
      <c r="CM118" s="684"/>
      <c r="CN118" s="684"/>
      <c r="CO118" s="684"/>
      <c r="CP118" s="684"/>
      <c r="CQ118" s="684"/>
      <c r="CR118" s="684"/>
      <c r="CS118" s="684"/>
      <c r="CT118" s="684"/>
      <c r="CU118" s="684"/>
      <c r="CV118" s="684"/>
      <c r="CW118" s="684"/>
      <c r="CX118" s="684"/>
      <c r="CY118" s="684"/>
      <c r="CZ118" s="684"/>
      <c r="DA118" s="684"/>
      <c r="DB118" s="684"/>
      <c r="DC118" s="684"/>
    </row>
    <row r="119" spans="1:266" s="5" customFormat="1" ht="12.75" customHeight="1">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399"/>
      <c r="AP119" s="399"/>
      <c r="AQ119" s="94"/>
      <c r="AR119" s="94"/>
      <c r="AS119" s="94"/>
      <c r="AT119" s="94"/>
      <c r="AU119" s="94"/>
      <c r="AV119" s="98"/>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684"/>
      <c r="CB119" s="684"/>
      <c r="CC119" s="684"/>
      <c r="CD119" s="684"/>
      <c r="CE119" s="684"/>
      <c r="CF119" s="684"/>
      <c r="CG119" s="684"/>
      <c r="CH119" s="684"/>
      <c r="CI119" s="684"/>
      <c r="CJ119" s="684"/>
      <c r="CK119" s="684"/>
      <c r="CL119" s="684"/>
      <c r="CM119" s="684"/>
      <c r="CN119" s="684"/>
      <c r="CO119" s="684"/>
      <c r="CP119" s="684"/>
      <c r="CQ119" s="684"/>
      <c r="CR119" s="684"/>
      <c r="CS119" s="684"/>
      <c r="CT119" s="684"/>
      <c r="CU119" s="684"/>
      <c r="CV119" s="684"/>
      <c r="CW119" s="684"/>
      <c r="CX119" s="684"/>
      <c r="CY119" s="684"/>
      <c r="CZ119" s="684"/>
      <c r="DA119" s="684"/>
      <c r="DB119" s="684"/>
      <c r="DC119" s="684"/>
    </row>
    <row r="120" spans="1:266" s="5" customFormat="1" ht="12.75" customHeight="1">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399"/>
      <c r="AP120" s="399"/>
      <c r="AQ120" s="94"/>
      <c r="AR120" s="94"/>
      <c r="AS120" s="94"/>
      <c r="AT120" s="94"/>
      <c r="AU120" s="94"/>
      <c r="AV120" s="98"/>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684"/>
      <c r="CB120" s="684"/>
      <c r="CC120" s="684"/>
      <c r="CD120" s="684"/>
      <c r="CE120" s="684"/>
      <c r="CF120" s="684"/>
      <c r="CG120" s="684"/>
      <c r="CH120" s="684"/>
      <c r="CI120" s="684"/>
      <c r="CJ120" s="684"/>
      <c r="CK120" s="684"/>
      <c r="CL120" s="684"/>
      <c r="CM120" s="684"/>
      <c r="CN120" s="684"/>
      <c r="CO120" s="684"/>
      <c r="CP120" s="684"/>
      <c r="CQ120" s="684"/>
      <c r="CR120" s="684"/>
      <c r="CS120" s="684"/>
      <c r="CT120" s="684"/>
      <c r="CU120" s="684"/>
      <c r="CV120" s="684"/>
      <c r="CW120" s="684"/>
      <c r="CX120" s="684"/>
      <c r="CY120" s="684"/>
      <c r="CZ120" s="684"/>
      <c r="DA120" s="684"/>
      <c r="DB120" s="684"/>
      <c r="DC120" s="684"/>
    </row>
    <row r="121" spans="1:266" s="5" customFormat="1" ht="12.75" customHeight="1">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399"/>
      <c r="AP121" s="399"/>
      <c r="AQ121" s="94"/>
      <c r="AR121" s="94"/>
      <c r="AS121" s="94"/>
      <c r="AT121" s="94"/>
      <c r="AU121" s="94"/>
      <c r="AV121" s="98"/>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684"/>
      <c r="CB121" s="684"/>
      <c r="CC121" s="684"/>
      <c r="CD121" s="684"/>
      <c r="CE121" s="684"/>
      <c r="CF121" s="684"/>
      <c r="CG121" s="684"/>
      <c r="CH121" s="684"/>
      <c r="CI121" s="684"/>
      <c r="CJ121" s="684"/>
      <c r="CK121" s="684"/>
      <c r="CL121" s="684"/>
      <c r="CM121" s="684"/>
      <c r="CN121" s="684"/>
      <c r="CO121" s="684"/>
      <c r="CP121" s="684"/>
      <c r="CQ121" s="684"/>
      <c r="CR121" s="684"/>
      <c r="CS121" s="684"/>
      <c r="CT121" s="684"/>
      <c r="CU121" s="684"/>
      <c r="CV121" s="684"/>
      <c r="CW121" s="684"/>
      <c r="CX121" s="684"/>
      <c r="CY121" s="684"/>
      <c r="CZ121" s="684"/>
      <c r="DA121" s="684"/>
      <c r="DB121" s="684"/>
      <c r="DC121" s="684"/>
    </row>
    <row r="122" spans="1:266" s="5" customFormat="1" ht="12.75" customHeight="1">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399"/>
      <c r="AP122" s="399"/>
      <c r="AQ122" s="94"/>
      <c r="AR122" s="94"/>
      <c r="AS122" s="94"/>
      <c r="AT122" s="94"/>
      <c r="AU122" s="94"/>
      <c r="AV122" s="98"/>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A122" s="684"/>
      <c r="CB122" s="684"/>
      <c r="CC122" s="684"/>
      <c r="CD122" s="684"/>
      <c r="CE122" s="684"/>
      <c r="CF122" s="684"/>
      <c r="CG122" s="684"/>
      <c r="CH122" s="684"/>
      <c r="CI122" s="684"/>
      <c r="CJ122" s="684"/>
      <c r="CK122" s="684"/>
      <c r="CL122" s="684"/>
      <c r="CM122" s="684"/>
      <c r="CN122" s="684"/>
      <c r="CO122" s="684"/>
      <c r="CP122" s="684"/>
      <c r="CQ122" s="684"/>
      <c r="CR122" s="684"/>
      <c r="CS122" s="684"/>
      <c r="CT122" s="684"/>
      <c r="CU122" s="684"/>
      <c r="CV122" s="684"/>
      <c r="CW122" s="684"/>
      <c r="CX122" s="684"/>
      <c r="CY122" s="684"/>
      <c r="CZ122" s="684"/>
      <c r="DA122" s="684"/>
      <c r="DB122" s="684"/>
      <c r="DC122" s="684"/>
    </row>
    <row r="123" spans="1:266" s="5" customFormat="1" ht="12.75" customHeight="1">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399"/>
      <c r="AP123" s="399"/>
      <c r="AQ123" s="94"/>
      <c r="AR123" s="94"/>
      <c r="AS123" s="94"/>
      <c r="AT123" s="94"/>
      <c r="AU123" s="94"/>
      <c r="AV123" s="98"/>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684"/>
      <c r="CB123" s="684"/>
      <c r="CC123" s="684"/>
      <c r="CD123" s="684"/>
      <c r="CE123" s="684"/>
      <c r="CF123" s="684"/>
      <c r="CG123" s="684"/>
      <c r="CH123" s="684"/>
      <c r="CI123" s="684"/>
      <c r="CJ123" s="684"/>
      <c r="CK123" s="684"/>
      <c r="CL123" s="684"/>
      <c r="CM123" s="684"/>
      <c r="CN123" s="684"/>
      <c r="CO123" s="684"/>
      <c r="CP123" s="684"/>
      <c r="CQ123" s="684"/>
      <c r="CR123" s="684"/>
      <c r="CS123" s="684"/>
      <c r="CT123" s="684"/>
      <c r="CU123" s="684"/>
      <c r="CV123" s="684"/>
      <c r="CW123" s="684"/>
      <c r="CX123" s="684"/>
      <c r="CY123" s="684"/>
      <c r="CZ123" s="684"/>
      <c r="DA123" s="684"/>
      <c r="DB123" s="684"/>
      <c r="DC123" s="684"/>
    </row>
    <row r="124" spans="1:266" s="5" customFormat="1" ht="12.75" customHeight="1">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399"/>
      <c r="AP124" s="399"/>
      <c r="AQ124" s="94"/>
      <c r="AR124" s="94"/>
      <c r="AS124" s="94"/>
      <c r="AT124" s="94"/>
      <c r="AU124" s="94"/>
      <c r="AV124" s="98"/>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684"/>
      <c r="CB124" s="684"/>
      <c r="CC124" s="684"/>
      <c r="CD124" s="684"/>
      <c r="CE124" s="684"/>
      <c r="CF124" s="684"/>
      <c r="CG124" s="684"/>
      <c r="CH124" s="684"/>
      <c r="CI124" s="684"/>
      <c r="CJ124" s="684"/>
      <c r="CK124" s="684"/>
      <c r="CL124" s="684"/>
      <c r="CM124" s="684"/>
      <c r="CN124" s="684"/>
      <c r="CO124" s="684"/>
      <c r="CP124" s="684"/>
      <c r="CQ124" s="684"/>
      <c r="CR124" s="684"/>
      <c r="CS124" s="684"/>
      <c r="CT124" s="684"/>
      <c r="CU124" s="684"/>
      <c r="CV124" s="684"/>
      <c r="CW124" s="684"/>
      <c r="CX124" s="684"/>
      <c r="CY124" s="684"/>
      <c r="CZ124" s="684"/>
      <c r="DA124" s="684"/>
      <c r="DB124" s="684"/>
      <c r="DC124" s="684"/>
    </row>
    <row r="125" spans="1:266" s="5" customFormat="1" ht="12.75"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399"/>
      <c r="AP125" s="399"/>
      <c r="AQ125" s="94"/>
      <c r="AR125" s="94"/>
      <c r="AS125" s="94"/>
      <c r="AT125" s="94"/>
      <c r="AU125" s="94"/>
      <c r="AV125" s="98"/>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684"/>
      <c r="CB125" s="684"/>
      <c r="CC125" s="684"/>
      <c r="CD125" s="684"/>
      <c r="CE125" s="684"/>
      <c r="CF125" s="684"/>
      <c r="CG125" s="684"/>
      <c r="CH125" s="684"/>
      <c r="CI125" s="684"/>
      <c r="CJ125" s="684"/>
      <c r="CK125" s="684"/>
      <c r="CL125" s="684"/>
      <c r="CM125" s="684"/>
      <c r="CN125" s="684"/>
      <c r="CO125" s="684"/>
      <c r="CP125" s="684"/>
      <c r="CQ125" s="684"/>
      <c r="CR125" s="684"/>
      <c r="CS125" s="684"/>
      <c r="CT125" s="684"/>
      <c r="CU125" s="684"/>
      <c r="CV125" s="684"/>
      <c r="CW125" s="684"/>
      <c r="CX125" s="684"/>
      <c r="CY125" s="684"/>
      <c r="CZ125" s="684"/>
      <c r="DA125" s="684"/>
      <c r="DB125" s="684"/>
      <c r="DC125" s="684"/>
    </row>
    <row r="126" spans="1:266" s="5" customFormat="1" ht="12.75" customHeight="1">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399"/>
      <c r="AP126" s="399"/>
      <c r="AQ126" s="94"/>
      <c r="AR126" s="94"/>
      <c r="AS126" s="94"/>
      <c r="AT126" s="94"/>
      <c r="AU126" s="94"/>
      <c r="AV126" s="98"/>
      <c r="AW126" s="94"/>
      <c r="AX126" s="94"/>
      <c r="AY126" s="94"/>
      <c r="AZ126" s="94"/>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684"/>
      <c r="CB126" s="684"/>
      <c r="CC126" s="684"/>
      <c r="CD126" s="684"/>
      <c r="CE126" s="684"/>
      <c r="CF126" s="684"/>
      <c r="CG126" s="684"/>
      <c r="CH126" s="684"/>
      <c r="CI126" s="684"/>
      <c r="CJ126" s="684"/>
      <c r="CK126" s="684"/>
      <c r="CL126" s="684"/>
      <c r="CM126" s="684"/>
      <c r="CN126" s="684"/>
      <c r="CO126" s="684"/>
      <c r="CP126" s="684"/>
      <c r="CQ126" s="684"/>
      <c r="CR126" s="684"/>
      <c r="CS126" s="684"/>
      <c r="CT126" s="684"/>
      <c r="CU126" s="684"/>
      <c r="CV126" s="684"/>
      <c r="CW126" s="684"/>
      <c r="CX126" s="684"/>
      <c r="CY126" s="684"/>
      <c r="CZ126" s="684"/>
      <c r="DA126" s="684"/>
      <c r="DB126" s="684"/>
      <c r="DC126" s="684"/>
    </row>
    <row r="127" spans="1:266" s="5" customFormat="1" ht="12.75" customHeight="1">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399"/>
      <c r="AP127" s="399"/>
      <c r="AQ127" s="94"/>
      <c r="AR127" s="94"/>
      <c r="AS127" s="94"/>
      <c r="AT127" s="94"/>
      <c r="AU127" s="94"/>
      <c r="AV127" s="98"/>
      <c r="AW127" s="94"/>
      <c r="AX127" s="94"/>
      <c r="AY127" s="94"/>
      <c r="AZ127" s="94"/>
      <c r="BA127" s="94"/>
      <c r="BB127" s="94"/>
      <c r="BC127" s="94"/>
      <c r="BD127" s="94"/>
      <c r="BE127" s="94"/>
      <c r="BF127" s="94"/>
      <c r="BG127" s="94"/>
      <c r="BH127" s="94"/>
      <c r="BI127" s="94"/>
      <c r="BJ127" s="94"/>
      <c r="BK127" s="94"/>
      <c r="BL127" s="94"/>
      <c r="BM127" s="94"/>
      <c r="BN127" s="94"/>
      <c r="BO127" s="94"/>
      <c r="BP127" s="94"/>
      <c r="BQ127" s="94"/>
      <c r="BR127" s="94"/>
      <c r="BS127" s="94"/>
      <c r="BT127" s="94"/>
      <c r="BU127" s="94"/>
      <c r="BV127" s="94"/>
      <c r="BW127" s="94"/>
      <c r="BX127" s="94"/>
      <c r="BY127" s="94"/>
      <c r="BZ127" s="94"/>
      <c r="CA127" s="684"/>
      <c r="CB127" s="684"/>
      <c r="CC127" s="684"/>
      <c r="CD127" s="684"/>
      <c r="CE127" s="684"/>
      <c r="CF127" s="684"/>
      <c r="CG127" s="684"/>
      <c r="CH127" s="684"/>
      <c r="CI127" s="684"/>
      <c r="CJ127" s="684"/>
      <c r="CK127" s="684"/>
      <c r="CL127" s="684"/>
      <c r="CM127" s="684"/>
      <c r="CN127" s="684"/>
      <c r="CO127" s="684"/>
      <c r="CP127" s="684"/>
      <c r="CQ127" s="684"/>
      <c r="CR127" s="684"/>
      <c r="CS127" s="684"/>
      <c r="CT127" s="684"/>
      <c r="CU127" s="684"/>
      <c r="CV127" s="684"/>
      <c r="CW127" s="684"/>
      <c r="CX127" s="684"/>
      <c r="CY127" s="684"/>
      <c r="CZ127" s="684"/>
      <c r="DA127" s="684"/>
      <c r="DB127" s="684"/>
      <c r="DC127" s="684"/>
    </row>
    <row r="128" spans="1:266" s="5" customFormat="1" ht="12.75"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399"/>
      <c r="AP128" s="399"/>
      <c r="AQ128" s="94"/>
      <c r="AR128" s="94"/>
      <c r="AS128" s="94"/>
      <c r="AT128" s="94"/>
      <c r="AU128" s="94"/>
      <c r="AV128" s="98"/>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A128" s="684"/>
      <c r="CB128" s="684"/>
      <c r="CC128" s="684"/>
      <c r="CD128" s="684"/>
      <c r="CE128" s="684"/>
      <c r="CF128" s="684"/>
      <c r="CG128" s="684"/>
      <c r="CH128" s="684"/>
      <c r="CI128" s="684"/>
      <c r="CJ128" s="684"/>
      <c r="CK128" s="684"/>
      <c r="CL128" s="684"/>
      <c r="CM128" s="684"/>
      <c r="CN128" s="684"/>
      <c r="CO128" s="684"/>
      <c r="CP128" s="684"/>
      <c r="CQ128" s="684"/>
      <c r="CR128" s="684"/>
      <c r="CS128" s="684"/>
      <c r="CT128" s="684"/>
      <c r="CU128" s="684"/>
      <c r="CV128" s="684"/>
      <c r="CW128" s="684"/>
      <c r="CX128" s="684"/>
      <c r="CY128" s="684"/>
      <c r="CZ128" s="684"/>
      <c r="DA128" s="684"/>
      <c r="DB128" s="684"/>
      <c r="DC128" s="684"/>
    </row>
    <row r="129" spans="1:107" s="5" customFormat="1" ht="12.75" customHeight="1">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399"/>
      <c r="AP129" s="399"/>
      <c r="AQ129" s="94"/>
      <c r="AR129" s="94"/>
      <c r="AS129" s="94"/>
      <c r="AT129" s="94"/>
      <c r="AU129" s="94"/>
      <c r="AV129" s="98"/>
      <c r="AW129" s="94"/>
      <c r="AX129" s="94"/>
      <c r="AY129" s="94"/>
      <c r="AZ129" s="94"/>
      <c r="BA129" s="94"/>
      <c r="BB129" s="94"/>
      <c r="BC129" s="94"/>
      <c r="BD129" s="94"/>
      <c r="BE129" s="94"/>
      <c r="BF129" s="94"/>
      <c r="BG129" s="94"/>
      <c r="BH129" s="94"/>
      <c r="BI129" s="94"/>
      <c r="BJ129" s="94"/>
      <c r="BK129" s="94"/>
      <c r="BL129" s="94"/>
      <c r="BM129" s="94"/>
      <c r="BN129" s="94"/>
      <c r="BO129" s="94"/>
      <c r="BP129" s="94"/>
      <c r="BQ129" s="94"/>
      <c r="BR129" s="94"/>
      <c r="BS129" s="94"/>
      <c r="BT129" s="94"/>
      <c r="BU129" s="94"/>
      <c r="BV129" s="94"/>
      <c r="BW129" s="94"/>
      <c r="BX129" s="94"/>
      <c r="BY129" s="94"/>
      <c r="BZ129" s="94"/>
      <c r="CA129" s="684"/>
      <c r="CB129" s="684"/>
      <c r="CC129" s="684"/>
      <c r="CD129" s="684"/>
      <c r="CE129" s="684"/>
      <c r="CF129" s="684"/>
      <c r="CG129" s="684"/>
      <c r="CH129" s="684"/>
      <c r="CI129" s="684"/>
      <c r="CJ129" s="684"/>
      <c r="CK129" s="684"/>
      <c r="CL129" s="684"/>
      <c r="CM129" s="684"/>
      <c r="CN129" s="684"/>
      <c r="CO129" s="684"/>
      <c r="CP129" s="684"/>
      <c r="CQ129" s="684"/>
      <c r="CR129" s="684"/>
      <c r="CS129" s="684"/>
      <c r="CT129" s="684"/>
      <c r="CU129" s="684"/>
      <c r="CV129" s="684"/>
      <c r="CW129" s="684"/>
      <c r="CX129" s="684"/>
      <c r="CY129" s="684"/>
      <c r="CZ129" s="684"/>
      <c r="DA129" s="684"/>
      <c r="DB129" s="684"/>
      <c r="DC129" s="684"/>
    </row>
    <row r="130" spans="1:107" s="5" customFormat="1" ht="12.75" customHeight="1">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399"/>
      <c r="AP130" s="399"/>
      <c r="AQ130" s="94"/>
      <c r="AR130" s="94"/>
      <c r="AS130" s="94"/>
      <c r="AT130" s="94"/>
      <c r="AU130" s="94"/>
      <c r="AV130" s="98"/>
      <c r="AW130" s="94"/>
      <c r="AX130" s="94"/>
      <c r="AY130" s="94"/>
      <c r="AZ130" s="94"/>
      <c r="BA130" s="94"/>
      <c r="BB130" s="94"/>
      <c r="BC130" s="94"/>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684"/>
      <c r="CB130" s="684"/>
      <c r="CC130" s="684"/>
      <c r="CD130" s="684"/>
      <c r="CE130" s="684"/>
      <c r="CF130" s="684"/>
      <c r="CG130" s="684"/>
      <c r="CH130" s="684"/>
      <c r="CI130" s="684"/>
      <c r="CJ130" s="684"/>
      <c r="CK130" s="684"/>
      <c r="CL130" s="684"/>
      <c r="CM130" s="684"/>
      <c r="CN130" s="684"/>
      <c r="CO130" s="684"/>
      <c r="CP130" s="684"/>
      <c r="CQ130" s="684"/>
      <c r="CR130" s="684"/>
      <c r="CS130" s="684"/>
      <c r="CT130" s="684"/>
      <c r="CU130" s="684"/>
      <c r="CV130" s="684"/>
      <c r="CW130" s="684"/>
      <c r="CX130" s="684"/>
      <c r="CY130" s="684"/>
      <c r="CZ130" s="684"/>
      <c r="DA130" s="684"/>
      <c r="DB130" s="684"/>
      <c r="DC130" s="684"/>
    </row>
    <row r="131" spans="1:107" s="5" customFormat="1" ht="12.75"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399"/>
      <c r="AP131" s="399"/>
      <c r="AQ131" s="94"/>
      <c r="AR131" s="94"/>
      <c r="AS131" s="94"/>
      <c r="AT131" s="94"/>
      <c r="AU131" s="94"/>
      <c r="AV131" s="98"/>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684"/>
      <c r="CB131" s="684"/>
      <c r="CC131" s="684"/>
      <c r="CD131" s="684"/>
      <c r="CE131" s="684"/>
      <c r="CF131" s="684"/>
      <c r="CG131" s="684"/>
      <c r="CH131" s="684"/>
      <c r="CI131" s="684"/>
      <c r="CJ131" s="684"/>
      <c r="CK131" s="684"/>
      <c r="CL131" s="684"/>
      <c r="CM131" s="684"/>
      <c r="CN131" s="684"/>
      <c r="CO131" s="684"/>
      <c r="CP131" s="684"/>
      <c r="CQ131" s="684"/>
      <c r="CR131" s="684"/>
      <c r="CS131" s="684"/>
      <c r="CT131" s="684"/>
      <c r="CU131" s="684"/>
      <c r="CV131" s="684"/>
      <c r="CW131" s="684"/>
      <c r="CX131" s="684"/>
      <c r="CY131" s="684"/>
      <c r="CZ131" s="684"/>
      <c r="DA131" s="684"/>
      <c r="DB131" s="684"/>
      <c r="DC131" s="684"/>
    </row>
    <row r="132" spans="1:107" s="5" customFormat="1" ht="12.75" customHeight="1">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399"/>
      <c r="AP132" s="399"/>
      <c r="AQ132" s="94"/>
      <c r="AR132" s="94"/>
      <c r="AS132" s="94"/>
      <c r="AT132" s="94"/>
      <c r="AU132" s="94"/>
      <c r="AV132" s="98"/>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684"/>
      <c r="CB132" s="684"/>
      <c r="CC132" s="684"/>
      <c r="CD132" s="684"/>
      <c r="CE132" s="684"/>
      <c r="CF132" s="684"/>
      <c r="CG132" s="684"/>
      <c r="CH132" s="684"/>
      <c r="CI132" s="684"/>
      <c r="CJ132" s="684"/>
      <c r="CK132" s="684"/>
      <c r="CL132" s="684"/>
      <c r="CM132" s="684"/>
      <c r="CN132" s="684"/>
      <c r="CO132" s="684"/>
      <c r="CP132" s="684"/>
      <c r="CQ132" s="684"/>
      <c r="CR132" s="684"/>
      <c r="CS132" s="684"/>
      <c r="CT132" s="684"/>
      <c r="CU132" s="684"/>
      <c r="CV132" s="684"/>
      <c r="CW132" s="684"/>
      <c r="CX132" s="684"/>
      <c r="CY132" s="684"/>
      <c r="CZ132" s="684"/>
      <c r="DA132" s="684"/>
      <c r="DB132" s="684"/>
      <c r="DC132" s="684"/>
    </row>
    <row r="133" spans="1:107" s="5" customFormat="1" ht="12.75" customHeight="1">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399"/>
      <c r="AP133" s="399"/>
      <c r="AQ133" s="94"/>
      <c r="AR133" s="94"/>
      <c r="AS133" s="94"/>
      <c r="AT133" s="94"/>
      <c r="AU133" s="94"/>
      <c r="AV133" s="98"/>
      <c r="AW133" s="94"/>
      <c r="AX133" s="94"/>
      <c r="AY133" s="94"/>
      <c r="AZ133" s="94"/>
      <c r="BA133" s="94"/>
      <c r="BB133" s="94"/>
      <c r="BC133" s="94"/>
      <c r="BD133" s="94"/>
      <c r="BE133" s="94"/>
      <c r="BF133" s="94"/>
      <c r="BG133" s="94"/>
      <c r="BH133" s="94"/>
      <c r="BI133" s="94"/>
      <c r="BJ133" s="94"/>
      <c r="BK133" s="94"/>
      <c r="BL133" s="94"/>
      <c r="BM133" s="94"/>
      <c r="BN133" s="94"/>
      <c r="BO133" s="94"/>
      <c r="BP133" s="94"/>
      <c r="BQ133" s="94"/>
      <c r="BR133" s="94"/>
      <c r="BS133" s="94"/>
      <c r="BT133" s="94"/>
      <c r="BU133" s="94"/>
      <c r="BV133" s="94"/>
      <c r="BW133" s="94"/>
      <c r="BX133" s="94"/>
      <c r="BY133" s="94"/>
      <c r="BZ133" s="94"/>
      <c r="CA133" s="684"/>
      <c r="CB133" s="684"/>
      <c r="CC133" s="684"/>
      <c r="CD133" s="684"/>
      <c r="CE133" s="684"/>
      <c r="CF133" s="684"/>
      <c r="CG133" s="684"/>
      <c r="CH133" s="684"/>
      <c r="CI133" s="684"/>
      <c r="CJ133" s="684"/>
      <c r="CK133" s="684"/>
      <c r="CL133" s="684"/>
      <c r="CM133" s="684"/>
      <c r="CN133" s="684"/>
      <c r="CO133" s="684"/>
      <c r="CP133" s="684"/>
      <c r="CQ133" s="684"/>
      <c r="CR133" s="684"/>
      <c r="CS133" s="684"/>
      <c r="CT133" s="684"/>
      <c r="CU133" s="684"/>
      <c r="CV133" s="684"/>
      <c r="CW133" s="684"/>
      <c r="CX133" s="684"/>
      <c r="CY133" s="684"/>
      <c r="CZ133" s="684"/>
      <c r="DA133" s="684"/>
      <c r="DB133" s="684"/>
      <c r="DC133" s="684"/>
    </row>
    <row r="134" spans="1:107" s="5" customFormat="1" ht="12.75" customHeight="1">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399"/>
      <c r="AP134" s="399"/>
      <c r="AQ134" s="94"/>
      <c r="AR134" s="94"/>
      <c r="AS134" s="94"/>
      <c r="AT134" s="94"/>
      <c r="AU134" s="94"/>
      <c r="AV134" s="98"/>
      <c r="AW134" s="94"/>
      <c r="AX134" s="94"/>
      <c r="AY134" s="94"/>
      <c r="AZ134" s="94"/>
      <c r="BA134" s="94"/>
      <c r="BB134" s="94"/>
      <c r="BC134" s="94"/>
      <c r="BD134" s="94"/>
      <c r="BE134" s="94"/>
      <c r="BF134" s="94"/>
      <c r="BG134" s="94"/>
      <c r="BH134" s="94"/>
      <c r="BI134" s="94"/>
      <c r="BJ134" s="94"/>
      <c r="BK134" s="94"/>
      <c r="BL134" s="94"/>
      <c r="BM134" s="94"/>
      <c r="BN134" s="94"/>
      <c r="BO134" s="94"/>
      <c r="BP134" s="94"/>
      <c r="BQ134" s="94"/>
      <c r="BR134" s="94"/>
      <c r="BS134" s="94"/>
      <c r="BT134" s="94"/>
      <c r="BU134" s="94"/>
      <c r="BV134" s="94"/>
      <c r="BW134" s="94"/>
      <c r="BX134" s="94"/>
      <c r="BY134" s="94"/>
      <c r="BZ134" s="94"/>
      <c r="CA134" s="684"/>
      <c r="CB134" s="684"/>
      <c r="CC134" s="684"/>
      <c r="CD134" s="684"/>
      <c r="CE134" s="684"/>
      <c r="CF134" s="684"/>
      <c r="CG134" s="684"/>
      <c r="CH134" s="684"/>
      <c r="CI134" s="684"/>
      <c r="CJ134" s="684"/>
      <c r="CK134" s="684"/>
      <c r="CL134" s="684"/>
      <c r="CM134" s="684"/>
      <c r="CN134" s="684"/>
      <c r="CO134" s="684"/>
      <c r="CP134" s="684"/>
      <c r="CQ134" s="684"/>
      <c r="CR134" s="684"/>
      <c r="CS134" s="684"/>
      <c r="CT134" s="684"/>
      <c r="CU134" s="684"/>
      <c r="CV134" s="684"/>
      <c r="CW134" s="684"/>
      <c r="CX134" s="684"/>
      <c r="CY134" s="684"/>
      <c r="CZ134" s="684"/>
      <c r="DA134" s="684"/>
      <c r="DB134" s="684"/>
      <c r="DC134" s="684"/>
    </row>
    <row r="135" spans="1:107" s="5" customFormat="1" ht="12.75" customHeight="1">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399"/>
      <c r="AP135" s="399"/>
      <c r="AQ135" s="94"/>
      <c r="AR135" s="94"/>
      <c r="AS135" s="94"/>
      <c r="AT135" s="94"/>
      <c r="AU135" s="94"/>
      <c r="AV135" s="98"/>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684"/>
      <c r="CB135" s="684"/>
      <c r="CC135" s="684"/>
      <c r="CD135" s="684"/>
      <c r="CE135" s="684"/>
      <c r="CF135" s="684"/>
      <c r="CG135" s="684"/>
      <c r="CH135" s="684"/>
      <c r="CI135" s="684"/>
      <c r="CJ135" s="684"/>
      <c r="CK135" s="684"/>
      <c r="CL135" s="684"/>
      <c r="CM135" s="684"/>
      <c r="CN135" s="684"/>
      <c r="CO135" s="684"/>
      <c r="CP135" s="684"/>
      <c r="CQ135" s="684"/>
      <c r="CR135" s="684"/>
      <c r="CS135" s="684"/>
      <c r="CT135" s="684"/>
      <c r="CU135" s="684"/>
      <c r="CV135" s="684"/>
      <c r="CW135" s="684"/>
      <c r="CX135" s="684"/>
      <c r="CY135" s="684"/>
      <c r="CZ135" s="684"/>
      <c r="DA135" s="684"/>
      <c r="DB135" s="684"/>
      <c r="DC135" s="684"/>
    </row>
    <row r="136" spans="1:107" s="5" customFormat="1" ht="12.75" customHeight="1">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399"/>
      <c r="AP136" s="399"/>
      <c r="AQ136" s="94"/>
      <c r="AR136" s="94"/>
      <c r="AS136" s="94"/>
      <c r="AT136" s="94"/>
      <c r="AU136" s="94"/>
      <c r="AV136" s="98"/>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684"/>
      <c r="CB136" s="684"/>
      <c r="CC136" s="684"/>
      <c r="CD136" s="684"/>
      <c r="CE136" s="684"/>
      <c r="CF136" s="684"/>
      <c r="CG136" s="684"/>
      <c r="CH136" s="684"/>
      <c r="CI136" s="684"/>
      <c r="CJ136" s="684"/>
      <c r="CK136" s="684"/>
      <c r="CL136" s="684"/>
      <c r="CM136" s="684"/>
      <c r="CN136" s="684"/>
      <c r="CO136" s="684"/>
      <c r="CP136" s="684"/>
      <c r="CQ136" s="684"/>
      <c r="CR136" s="684"/>
      <c r="CS136" s="684"/>
      <c r="CT136" s="684"/>
      <c r="CU136" s="684"/>
      <c r="CV136" s="684"/>
      <c r="CW136" s="684"/>
      <c r="CX136" s="684"/>
      <c r="CY136" s="684"/>
      <c r="CZ136" s="684"/>
      <c r="DA136" s="684"/>
      <c r="DB136" s="684"/>
      <c r="DC136" s="684"/>
    </row>
    <row r="137" spans="1:107" s="5" customFormat="1" ht="12.75" customHeight="1">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399"/>
      <c r="AP137" s="399"/>
      <c r="AQ137" s="94"/>
      <c r="AR137" s="94"/>
      <c r="AS137" s="94"/>
      <c r="AT137" s="94"/>
      <c r="AU137" s="94"/>
      <c r="AV137" s="98"/>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684"/>
      <c r="CB137" s="684"/>
      <c r="CC137" s="684"/>
      <c r="CD137" s="684"/>
      <c r="CE137" s="684"/>
      <c r="CF137" s="684"/>
      <c r="CG137" s="684"/>
      <c r="CH137" s="684"/>
      <c r="CI137" s="684"/>
      <c r="CJ137" s="684"/>
      <c r="CK137" s="684"/>
      <c r="CL137" s="684"/>
      <c r="CM137" s="684"/>
      <c r="CN137" s="684"/>
      <c r="CO137" s="684"/>
      <c r="CP137" s="684"/>
      <c r="CQ137" s="684"/>
      <c r="CR137" s="684"/>
      <c r="CS137" s="684"/>
      <c r="CT137" s="684"/>
      <c r="CU137" s="684"/>
      <c r="CV137" s="684"/>
      <c r="CW137" s="684"/>
      <c r="CX137" s="684"/>
      <c r="CY137" s="684"/>
      <c r="CZ137" s="684"/>
      <c r="DA137" s="684"/>
      <c r="DB137" s="684"/>
      <c r="DC137" s="684"/>
    </row>
    <row r="138" spans="1:107" s="5" customFormat="1" ht="12.75" customHeight="1">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399"/>
      <c r="AP138" s="399"/>
      <c r="AQ138" s="94"/>
      <c r="AR138" s="94"/>
      <c r="AS138" s="94"/>
      <c r="AT138" s="94"/>
      <c r="AU138" s="94"/>
      <c r="AV138" s="98"/>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684"/>
      <c r="CB138" s="684"/>
      <c r="CC138" s="684"/>
      <c r="CD138" s="684"/>
      <c r="CE138" s="684"/>
      <c r="CF138" s="684"/>
      <c r="CG138" s="684"/>
      <c r="CH138" s="684"/>
      <c r="CI138" s="684"/>
      <c r="CJ138" s="684"/>
      <c r="CK138" s="684"/>
      <c r="CL138" s="684"/>
      <c r="CM138" s="684"/>
      <c r="CN138" s="684"/>
      <c r="CO138" s="684"/>
      <c r="CP138" s="684"/>
      <c r="CQ138" s="684"/>
      <c r="CR138" s="684"/>
      <c r="CS138" s="684"/>
      <c r="CT138" s="684"/>
      <c r="CU138" s="684"/>
      <c r="CV138" s="684"/>
      <c r="CW138" s="684"/>
      <c r="CX138" s="684"/>
      <c r="CY138" s="684"/>
      <c r="CZ138" s="684"/>
      <c r="DA138" s="684"/>
      <c r="DB138" s="684"/>
      <c r="DC138" s="684"/>
    </row>
    <row r="139" spans="1:107" s="5" customFormat="1" ht="12.75" customHeight="1">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399"/>
      <c r="AP139" s="399"/>
      <c r="AQ139" s="94"/>
      <c r="AR139" s="94"/>
      <c r="AS139" s="94"/>
      <c r="AT139" s="94"/>
      <c r="AU139" s="94"/>
      <c r="AV139" s="98"/>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684"/>
      <c r="CB139" s="684"/>
      <c r="CC139" s="684"/>
      <c r="CD139" s="684"/>
      <c r="CE139" s="684"/>
      <c r="CF139" s="684"/>
      <c r="CG139" s="684"/>
      <c r="CH139" s="684"/>
      <c r="CI139" s="684"/>
      <c r="CJ139" s="684"/>
      <c r="CK139" s="684"/>
      <c r="CL139" s="684"/>
      <c r="CM139" s="684"/>
      <c r="CN139" s="684"/>
      <c r="CO139" s="684"/>
      <c r="CP139" s="684"/>
      <c r="CQ139" s="684"/>
      <c r="CR139" s="684"/>
      <c r="CS139" s="684"/>
      <c r="CT139" s="684"/>
      <c r="CU139" s="684"/>
      <c r="CV139" s="684"/>
      <c r="CW139" s="684"/>
      <c r="CX139" s="684"/>
      <c r="CY139" s="684"/>
      <c r="CZ139" s="684"/>
      <c r="DA139" s="684"/>
      <c r="DB139" s="684"/>
      <c r="DC139" s="684"/>
    </row>
    <row r="140" spans="1:107" s="5" customFormat="1" ht="12.75" customHeight="1">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399"/>
      <c r="AP140" s="399"/>
      <c r="AQ140" s="94"/>
      <c r="AR140" s="94"/>
      <c r="AS140" s="94"/>
      <c r="AT140" s="94"/>
      <c r="AU140" s="94"/>
      <c r="AV140" s="98"/>
      <c r="AW140" s="94"/>
      <c r="AX140" s="94"/>
      <c r="AY140" s="94"/>
      <c r="AZ140" s="94"/>
      <c r="BA140" s="94"/>
      <c r="BB140" s="94"/>
      <c r="BC140" s="94"/>
      <c r="BD140" s="94"/>
      <c r="BE140" s="94"/>
      <c r="BF140" s="94"/>
      <c r="BG140" s="94"/>
      <c r="BH140" s="94"/>
      <c r="BI140" s="94"/>
      <c r="BJ140" s="94"/>
      <c r="BK140" s="94"/>
      <c r="BL140" s="94"/>
      <c r="BM140" s="94"/>
      <c r="BN140" s="94"/>
      <c r="BO140" s="94"/>
      <c r="BP140" s="94"/>
      <c r="BQ140" s="94"/>
      <c r="BR140" s="94"/>
      <c r="BS140" s="94"/>
      <c r="BT140" s="94"/>
      <c r="BU140" s="94"/>
      <c r="BV140" s="94"/>
      <c r="BW140" s="94"/>
      <c r="BX140" s="94"/>
      <c r="BY140" s="94"/>
      <c r="BZ140" s="94"/>
      <c r="CA140" s="684"/>
      <c r="CB140" s="684"/>
      <c r="CC140" s="684"/>
      <c r="CD140" s="684"/>
      <c r="CE140" s="684"/>
      <c r="CF140" s="684"/>
      <c r="CG140" s="684"/>
      <c r="CH140" s="684"/>
      <c r="CI140" s="684"/>
      <c r="CJ140" s="684"/>
      <c r="CK140" s="684"/>
      <c r="CL140" s="684"/>
      <c r="CM140" s="684"/>
      <c r="CN140" s="684"/>
      <c r="CO140" s="684"/>
      <c r="CP140" s="684"/>
      <c r="CQ140" s="684"/>
      <c r="CR140" s="684"/>
      <c r="CS140" s="684"/>
      <c r="CT140" s="684"/>
      <c r="CU140" s="684"/>
      <c r="CV140" s="684"/>
      <c r="CW140" s="684"/>
      <c r="CX140" s="684"/>
      <c r="CY140" s="684"/>
      <c r="CZ140" s="684"/>
      <c r="DA140" s="684"/>
      <c r="DB140" s="684"/>
      <c r="DC140" s="684"/>
    </row>
    <row r="141" spans="1:107" s="5" customFormat="1" ht="12.75" customHeight="1">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399"/>
      <c r="AP141" s="399"/>
      <c r="AQ141" s="94"/>
      <c r="AR141" s="94"/>
      <c r="AS141" s="94"/>
      <c r="AT141" s="94"/>
      <c r="AU141" s="94"/>
      <c r="AV141" s="98"/>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684"/>
      <c r="CB141" s="684"/>
      <c r="CC141" s="684"/>
      <c r="CD141" s="684"/>
      <c r="CE141" s="684"/>
      <c r="CF141" s="684"/>
      <c r="CG141" s="684"/>
      <c r="CH141" s="684"/>
      <c r="CI141" s="684"/>
      <c r="CJ141" s="684"/>
      <c r="CK141" s="684"/>
      <c r="CL141" s="684"/>
      <c r="CM141" s="684"/>
      <c r="CN141" s="684"/>
      <c r="CO141" s="684"/>
      <c r="CP141" s="684"/>
      <c r="CQ141" s="684"/>
      <c r="CR141" s="684"/>
      <c r="CS141" s="684"/>
      <c r="CT141" s="684"/>
      <c r="CU141" s="684"/>
      <c r="CV141" s="684"/>
      <c r="CW141" s="684"/>
      <c r="CX141" s="684"/>
      <c r="CY141" s="684"/>
      <c r="CZ141" s="684"/>
      <c r="DA141" s="684"/>
      <c r="DB141" s="684"/>
      <c r="DC141" s="684"/>
    </row>
    <row r="142" spans="1:107" s="5" customFormat="1" ht="12.75" customHeight="1">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399"/>
      <c r="AP142" s="399"/>
      <c r="AQ142" s="94"/>
      <c r="AR142" s="94"/>
      <c r="AS142" s="94"/>
      <c r="AT142" s="94"/>
      <c r="AU142" s="94"/>
      <c r="AV142" s="98"/>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684"/>
      <c r="CB142" s="684"/>
      <c r="CC142" s="684"/>
      <c r="CD142" s="684"/>
      <c r="CE142" s="684"/>
      <c r="CF142" s="684"/>
      <c r="CG142" s="684"/>
      <c r="CH142" s="684"/>
      <c r="CI142" s="684"/>
      <c r="CJ142" s="684"/>
      <c r="CK142" s="684"/>
      <c r="CL142" s="684"/>
      <c r="CM142" s="684"/>
      <c r="CN142" s="684"/>
      <c r="CO142" s="684"/>
      <c r="CP142" s="684"/>
      <c r="CQ142" s="684"/>
      <c r="CR142" s="684"/>
      <c r="CS142" s="684"/>
      <c r="CT142" s="684"/>
      <c r="CU142" s="684"/>
      <c r="CV142" s="684"/>
      <c r="CW142" s="684"/>
      <c r="CX142" s="684"/>
      <c r="CY142" s="684"/>
      <c r="CZ142" s="684"/>
      <c r="DA142" s="684"/>
      <c r="DB142" s="684"/>
      <c r="DC142" s="684"/>
    </row>
    <row r="143" spans="1:107" s="5" customFormat="1" ht="12.75" customHeight="1">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399"/>
      <c r="AP143" s="399"/>
      <c r="AQ143" s="94"/>
      <c r="AR143" s="94"/>
      <c r="AS143" s="94"/>
      <c r="AT143" s="94"/>
      <c r="AU143" s="94"/>
      <c r="AV143" s="98"/>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684"/>
      <c r="CB143" s="684"/>
      <c r="CC143" s="684"/>
      <c r="CD143" s="684"/>
      <c r="CE143" s="684"/>
      <c r="CF143" s="684"/>
      <c r="CG143" s="684"/>
      <c r="CH143" s="684"/>
      <c r="CI143" s="684"/>
      <c r="CJ143" s="684"/>
      <c r="CK143" s="684"/>
      <c r="CL143" s="684"/>
      <c r="CM143" s="684"/>
      <c r="CN143" s="684"/>
      <c r="CO143" s="684"/>
      <c r="CP143" s="684"/>
      <c r="CQ143" s="684"/>
      <c r="CR143" s="684"/>
      <c r="CS143" s="684"/>
      <c r="CT143" s="684"/>
      <c r="CU143" s="684"/>
      <c r="CV143" s="684"/>
      <c r="CW143" s="684"/>
      <c r="CX143" s="684"/>
      <c r="CY143" s="684"/>
      <c r="CZ143" s="684"/>
      <c r="DA143" s="684"/>
      <c r="DB143" s="684"/>
      <c r="DC143" s="684"/>
    </row>
    <row r="144" spans="1:107" s="5" customFormat="1" ht="12.75" customHeight="1">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399"/>
      <c r="AP144" s="399"/>
      <c r="AQ144" s="94"/>
      <c r="AR144" s="94"/>
      <c r="AS144" s="94"/>
      <c r="AT144" s="94"/>
      <c r="AU144" s="94"/>
      <c r="AV144" s="98"/>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684"/>
      <c r="CB144" s="684"/>
      <c r="CC144" s="684"/>
      <c r="CD144" s="684"/>
      <c r="CE144" s="684"/>
      <c r="CF144" s="684"/>
      <c r="CG144" s="684"/>
      <c r="CH144" s="684"/>
      <c r="CI144" s="684"/>
      <c r="CJ144" s="684"/>
      <c r="CK144" s="684"/>
      <c r="CL144" s="684"/>
      <c r="CM144" s="684"/>
      <c r="CN144" s="684"/>
      <c r="CO144" s="684"/>
      <c r="CP144" s="684"/>
      <c r="CQ144" s="684"/>
      <c r="CR144" s="684"/>
      <c r="CS144" s="684"/>
      <c r="CT144" s="684"/>
      <c r="CU144" s="684"/>
      <c r="CV144" s="684"/>
      <c r="CW144" s="684"/>
      <c r="CX144" s="684"/>
      <c r="CY144" s="684"/>
      <c r="CZ144" s="684"/>
      <c r="DA144" s="684"/>
      <c r="DB144" s="684"/>
      <c r="DC144" s="684"/>
    </row>
    <row r="145" spans="1:107" s="5" customFormat="1" ht="12.75" customHeight="1">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399"/>
      <c r="AP145" s="399"/>
      <c r="AQ145" s="94"/>
      <c r="AR145" s="94"/>
      <c r="AS145" s="94"/>
      <c r="AT145" s="94"/>
      <c r="AU145" s="94"/>
      <c r="AV145" s="98"/>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A145" s="684"/>
      <c r="CB145" s="684"/>
      <c r="CC145" s="684"/>
      <c r="CD145" s="684"/>
      <c r="CE145" s="684"/>
      <c r="CF145" s="684"/>
      <c r="CG145" s="684"/>
      <c r="CH145" s="684"/>
      <c r="CI145" s="684"/>
      <c r="CJ145" s="684"/>
      <c r="CK145" s="684"/>
      <c r="CL145" s="684"/>
      <c r="CM145" s="684"/>
      <c r="CN145" s="684"/>
      <c r="CO145" s="684"/>
      <c r="CP145" s="684"/>
      <c r="CQ145" s="684"/>
      <c r="CR145" s="684"/>
      <c r="CS145" s="684"/>
      <c r="CT145" s="684"/>
      <c r="CU145" s="684"/>
      <c r="CV145" s="684"/>
      <c r="CW145" s="684"/>
      <c r="CX145" s="684"/>
      <c r="CY145" s="684"/>
      <c r="CZ145" s="684"/>
      <c r="DA145" s="684"/>
      <c r="DB145" s="684"/>
      <c r="DC145" s="684"/>
    </row>
    <row r="146" spans="1:107" s="5" customFormat="1" ht="12.75" customHeight="1">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399"/>
      <c r="AP146" s="399"/>
      <c r="AQ146" s="94"/>
      <c r="AR146" s="94"/>
      <c r="AS146" s="94"/>
      <c r="AT146" s="94"/>
      <c r="AU146" s="94"/>
      <c r="AV146" s="98"/>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684"/>
      <c r="CB146" s="684"/>
      <c r="CC146" s="684"/>
      <c r="CD146" s="684"/>
      <c r="CE146" s="684"/>
      <c r="CF146" s="684"/>
      <c r="CG146" s="684"/>
      <c r="CH146" s="684"/>
      <c r="CI146" s="684"/>
      <c r="CJ146" s="684"/>
      <c r="CK146" s="684"/>
      <c r="CL146" s="684"/>
      <c r="CM146" s="684"/>
      <c r="CN146" s="684"/>
      <c r="CO146" s="684"/>
      <c r="CP146" s="684"/>
      <c r="CQ146" s="684"/>
      <c r="CR146" s="684"/>
      <c r="CS146" s="684"/>
      <c r="CT146" s="684"/>
      <c r="CU146" s="684"/>
      <c r="CV146" s="684"/>
      <c r="CW146" s="684"/>
      <c r="CX146" s="684"/>
      <c r="CY146" s="684"/>
      <c r="CZ146" s="684"/>
      <c r="DA146" s="684"/>
      <c r="DB146" s="684"/>
      <c r="DC146" s="684"/>
    </row>
    <row r="147" spans="1:107" s="5" customFormat="1" ht="12.75" customHeight="1">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399"/>
      <c r="AP147" s="399"/>
      <c r="AQ147" s="94"/>
      <c r="AR147" s="94"/>
      <c r="AS147" s="94"/>
      <c r="AT147" s="94"/>
      <c r="AU147" s="94"/>
      <c r="AV147" s="98"/>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684"/>
      <c r="CB147" s="684"/>
      <c r="CC147" s="684"/>
      <c r="CD147" s="684"/>
      <c r="CE147" s="684"/>
      <c r="CF147" s="684"/>
      <c r="CG147" s="684"/>
      <c r="CH147" s="684"/>
      <c r="CI147" s="684"/>
      <c r="CJ147" s="684"/>
      <c r="CK147" s="684"/>
      <c r="CL147" s="684"/>
      <c r="CM147" s="684"/>
      <c r="CN147" s="684"/>
      <c r="CO147" s="684"/>
      <c r="CP147" s="684"/>
      <c r="CQ147" s="684"/>
      <c r="CR147" s="684"/>
      <c r="CS147" s="684"/>
      <c r="CT147" s="684"/>
      <c r="CU147" s="684"/>
      <c r="CV147" s="684"/>
      <c r="CW147" s="684"/>
      <c r="CX147" s="684"/>
      <c r="CY147" s="684"/>
      <c r="CZ147" s="684"/>
      <c r="DA147" s="684"/>
      <c r="DB147" s="684"/>
      <c r="DC147" s="684"/>
    </row>
    <row r="148" spans="1:107" s="5" customFormat="1" ht="12.75" customHeight="1">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399"/>
      <c r="AP148" s="399"/>
      <c r="AQ148" s="94"/>
      <c r="AR148" s="94"/>
      <c r="AS148" s="94"/>
      <c r="AT148" s="94"/>
      <c r="AU148" s="94"/>
      <c r="AV148" s="98"/>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684"/>
      <c r="CB148" s="684"/>
      <c r="CC148" s="684"/>
      <c r="CD148" s="684"/>
      <c r="CE148" s="684"/>
      <c r="CF148" s="684"/>
      <c r="CG148" s="684"/>
      <c r="CH148" s="684"/>
      <c r="CI148" s="684"/>
      <c r="CJ148" s="684"/>
      <c r="CK148" s="684"/>
      <c r="CL148" s="684"/>
      <c r="CM148" s="684"/>
      <c r="CN148" s="684"/>
      <c r="CO148" s="684"/>
      <c r="CP148" s="684"/>
      <c r="CQ148" s="684"/>
      <c r="CR148" s="684"/>
      <c r="CS148" s="684"/>
      <c r="CT148" s="684"/>
      <c r="CU148" s="684"/>
      <c r="CV148" s="684"/>
      <c r="CW148" s="684"/>
      <c r="CX148" s="684"/>
      <c r="CY148" s="684"/>
      <c r="CZ148" s="684"/>
      <c r="DA148" s="684"/>
      <c r="DB148" s="684"/>
      <c r="DC148" s="684"/>
    </row>
    <row r="149" spans="1:107" s="5" customFormat="1" ht="12.75" customHeigh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399"/>
      <c r="AP149" s="399"/>
      <c r="AQ149" s="94"/>
      <c r="AR149" s="94"/>
      <c r="AS149" s="94"/>
      <c r="AT149" s="94"/>
      <c r="AU149" s="94"/>
      <c r="AV149" s="98"/>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684"/>
      <c r="CB149" s="684"/>
      <c r="CC149" s="684"/>
      <c r="CD149" s="684"/>
      <c r="CE149" s="684"/>
      <c r="CF149" s="684"/>
      <c r="CG149" s="684"/>
      <c r="CH149" s="684"/>
      <c r="CI149" s="684"/>
      <c r="CJ149" s="684"/>
      <c r="CK149" s="684"/>
      <c r="CL149" s="684"/>
      <c r="CM149" s="684"/>
      <c r="CN149" s="684"/>
      <c r="CO149" s="684"/>
      <c r="CP149" s="684"/>
      <c r="CQ149" s="684"/>
      <c r="CR149" s="684"/>
      <c r="CS149" s="684"/>
      <c r="CT149" s="684"/>
      <c r="CU149" s="684"/>
      <c r="CV149" s="684"/>
      <c r="CW149" s="684"/>
      <c r="CX149" s="684"/>
      <c r="CY149" s="684"/>
      <c r="CZ149" s="684"/>
      <c r="DA149" s="684"/>
      <c r="DB149" s="684"/>
      <c r="DC149" s="684"/>
    </row>
    <row r="150" spans="1:107" s="5" customFormat="1" ht="12.75" customHeight="1">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399"/>
      <c r="AP150" s="399"/>
      <c r="AQ150" s="94"/>
      <c r="AR150" s="94"/>
      <c r="AS150" s="94"/>
      <c r="AT150" s="94"/>
      <c r="AU150" s="94"/>
      <c r="AV150" s="98"/>
      <c r="AW150" s="94"/>
      <c r="AX150" s="94"/>
      <c r="AY150" s="94"/>
      <c r="AZ150" s="94"/>
      <c r="BA150" s="94"/>
      <c r="BB150" s="94"/>
      <c r="BC150" s="94"/>
      <c r="BD150" s="94"/>
      <c r="BE150" s="94"/>
      <c r="BF150" s="94"/>
      <c r="BG150" s="94"/>
      <c r="BH150" s="94"/>
      <c r="BI150" s="94"/>
      <c r="BJ150" s="94"/>
      <c r="BK150" s="94"/>
      <c r="BL150" s="94"/>
      <c r="BM150" s="94"/>
      <c r="BN150" s="94"/>
      <c r="BO150" s="94"/>
      <c r="BP150" s="94"/>
      <c r="BQ150" s="94"/>
      <c r="BR150" s="94"/>
      <c r="BS150" s="94"/>
      <c r="BT150" s="94"/>
      <c r="BU150" s="94"/>
      <c r="BV150" s="94"/>
      <c r="BW150" s="94"/>
      <c r="BX150" s="94"/>
      <c r="BY150" s="94"/>
      <c r="BZ150" s="94"/>
      <c r="CA150" s="684"/>
      <c r="CB150" s="684"/>
      <c r="CC150" s="684"/>
      <c r="CD150" s="684"/>
      <c r="CE150" s="684"/>
      <c r="CF150" s="684"/>
      <c r="CG150" s="684"/>
      <c r="CH150" s="684"/>
      <c r="CI150" s="684"/>
      <c r="CJ150" s="684"/>
      <c r="CK150" s="684"/>
      <c r="CL150" s="684"/>
      <c r="CM150" s="684"/>
      <c r="CN150" s="684"/>
      <c r="CO150" s="684"/>
      <c r="CP150" s="684"/>
      <c r="CQ150" s="684"/>
      <c r="CR150" s="684"/>
      <c r="CS150" s="684"/>
      <c r="CT150" s="684"/>
      <c r="CU150" s="684"/>
      <c r="CV150" s="684"/>
      <c r="CW150" s="684"/>
      <c r="CX150" s="684"/>
      <c r="CY150" s="684"/>
      <c r="CZ150" s="684"/>
      <c r="DA150" s="684"/>
      <c r="DB150" s="684"/>
      <c r="DC150" s="684"/>
    </row>
    <row r="151" spans="1:107" s="5" customFormat="1" ht="12.75" customHeight="1">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399"/>
      <c r="AP151" s="399"/>
      <c r="AQ151" s="94"/>
      <c r="AR151" s="94"/>
      <c r="AS151" s="94"/>
      <c r="AT151" s="94"/>
      <c r="AU151" s="94"/>
      <c r="AV151" s="98"/>
      <c r="AW151" s="94"/>
      <c r="AX151" s="94"/>
      <c r="AY151" s="94"/>
      <c r="AZ151" s="94"/>
      <c r="BA151" s="94"/>
      <c r="BB151" s="94"/>
      <c r="BC151" s="94"/>
      <c r="BD151" s="94"/>
      <c r="BE151" s="94"/>
      <c r="BF151" s="94"/>
      <c r="BG151" s="94"/>
      <c r="BH151" s="94"/>
      <c r="BI151" s="94"/>
      <c r="BJ151" s="94"/>
      <c r="BK151" s="94"/>
      <c r="BL151" s="94"/>
      <c r="BM151" s="94"/>
      <c r="BN151" s="94"/>
      <c r="BO151" s="94"/>
      <c r="BP151" s="94"/>
      <c r="BQ151" s="94"/>
      <c r="BR151" s="94"/>
      <c r="BS151" s="94"/>
      <c r="BT151" s="94"/>
      <c r="BU151" s="94"/>
      <c r="BV151" s="94"/>
      <c r="BW151" s="94"/>
      <c r="BX151" s="94"/>
      <c r="BY151" s="94"/>
      <c r="BZ151" s="94"/>
      <c r="CA151" s="684"/>
      <c r="CB151" s="684"/>
      <c r="CC151" s="684"/>
      <c r="CD151" s="684"/>
      <c r="CE151" s="684"/>
      <c r="CF151" s="684"/>
      <c r="CG151" s="684"/>
      <c r="CH151" s="684"/>
      <c r="CI151" s="684"/>
      <c r="CJ151" s="684"/>
      <c r="CK151" s="684"/>
      <c r="CL151" s="684"/>
      <c r="CM151" s="684"/>
      <c r="CN151" s="684"/>
      <c r="CO151" s="684"/>
      <c r="CP151" s="684"/>
      <c r="CQ151" s="684"/>
      <c r="CR151" s="684"/>
      <c r="CS151" s="684"/>
      <c r="CT151" s="684"/>
      <c r="CU151" s="684"/>
      <c r="CV151" s="684"/>
      <c r="CW151" s="684"/>
      <c r="CX151" s="684"/>
      <c r="CY151" s="684"/>
      <c r="CZ151" s="684"/>
      <c r="DA151" s="684"/>
      <c r="DB151" s="684"/>
      <c r="DC151" s="684"/>
    </row>
    <row r="152" spans="1:107" s="5" customFormat="1" ht="12.75" customHeight="1">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399"/>
      <c r="AP152" s="399"/>
      <c r="AQ152" s="94"/>
      <c r="AR152" s="94"/>
      <c r="AS152" s="94"/>
      <c r="AT152" s="94"/>
      <c r="AU152" s="94"/>
      <c r="AV152" s="98"/>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684"/>
      <c r="CB152" s="684"/>
      <c r="CC152" s="684"/>
      <c r="CD152" s="684"/>
      <c r="CE152" s="684"/>
      <c r="CF152" s="684"/>
      <c r="CG152" s="684"/>
      <c r="CH152" s="684"/>
      <c r="CI152" s="684"/>
      <c r="CJ152" s="684"/>
      <c r="CK152" s="684"/>
      <c r="CL152" s="684"/>
      <c r="CM152" s="684"/>
      <c r="CN152" s="684"/>
      <c r="CO152" s="684"/>
      <c r="CP152" s="684"/>
      <c r="CQ152" s="684"/>
      <c r="CR152" s="684"/>
      <c r="CS152" s="684"/>
      <c r="CT152" s="684"/>
      <c r="CU152" s="684"/>
      <c r="CV152" s="684"/>
      <c r="CW152" s="684"/>
      <c r="CX152" s="684"/>
      <c r="CY152" s="684"/>
      <c r="CZ152" s="684"/>
      <c r="DA152" s="684"/>
      <c r="DB152" s="684"/>
      <c r="DC152" s="684"/>
    </row>
    <row r="153" spans="1:107" s="5" customFormat="1" ht="12.75" customHeight="1">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399"/>
      <c r="AP153" s="399"/>
      <c r="AQ153" s="94"/>
      <c r="AR153" s="94"/>
      <c r="AS153" s="94"/>
      <c r="AT153" s="94"/>
      <c r="AU153" s="94"/>
      <c r="AV153" s="98"/>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684"/>
      <c r="CB153" s="684"/>
      <c r="CC153" s="684"/>
      <c r="CD153" s="684"/>
      <c r="CE153" s="684"/>
      <c r="CF153" s="684"/>
      <c r="CG153" s="684"/>
      <c r="CH153" s="684"/>
      <c r="CI153" s="684"/>
      <c r="CJ153" s="684"/>
      <c r="CK153" s="684"/>
      <c r="CL153" s="684"/>
      <c r="CM153" s="684"/>
      <c r="CN153" s="684"/>
      <c r="CO153" s="684"/>
      <c r="CP153" s="684"/>
      <c r="CQ153" s="684"/>
      <c r="CR153" s="684"/>
      <c r="CS153" s="684"/>
      <c r="CT153" s="684"/>
      <c r="CU153" s="684"/>
      <c r="CV153" s="684"/>
      <c r="CW153" s="684"/>
      <c r="CX153" s="684"/>
      <c r="CY153" s="684"/>
      <c r="CZ153" s="684"/>
      <c r="DA153" s="684"/>
      <c r="DB153" s="684"/>
      <c r="DC153" s="684"/>
    </row>
    <row r="154" spans="1:107" s="5" customFormat="1" ht="12.75" customHeight="1">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399"/>
      <c r="AP154" s="399"/>
      <c r="AQ154" s="94"/>
      <c r="AR154" s="94"/>
      <c r="AS154" s="94"/>
      <c r="AT154" s="94"/>
      <c r="AU154" s="94"/>
      <c r="AV154" s="98"/>
      <c r="AW154" s="94"/>
      <c r="AX154" s="94"/>
      <c r="AY154" s="94"/>
      <c r="AZ154" s="94"/>
      <c r="BA154" s="94"/>
      <c r="BB154" s="94"/>
      <c r="BC154" s="94"/>
      <c r="BD154" s="94"/>
      <c r="BE154" s="94"/>
      <c r="BF154" s="94"/>
      <c r="BG154" s="94"/>
      <c r="BH154" s="94"/>
      <c r="BI154" s="94"/>
      <c r="BJ154" s="94"/>
      <c r="BK154" s="94"/>
      <c r="BL154" s="94"/>
      <c r="BM154" s="94"/>
      <c r="BN154" s="94"/>
      <c r="BO154" s="94"/>
      <c r="BP154" s="94"/>
      <c r="BQ154" s="94"/>
      <c r="BR154" s="94"/>
      <c r="BS154" s="94"/>
      <c r="BT154" s="94"/>
      <c r="BU154" s="94"/>
      <c r="BV154" s="94"/>
      <c r="BW154" s="94"/>
      <c r="BX154" s="94"/>
      <c r="BY154" s="94"/>
      <c r="BZ154" s="94"/>
      <c r="CA154" s="684"/>
      <c r="CB154" s="684"/>
      <c r="CC154" s="684"/>
      <c r="CD154" s="684"/>
      <c r="CE154" s="684"/>
      <c r="CF154" s="684"/>
      <c r="CG154" s="684"/>
      <c r="CH154" s="684"/>
      <c r="CI154" s="684"/>
      <c r="CJ154" s="684"/>
      <c r="CK154" s="684"/>
      <c r="CL154" s="684"/>
      <c r="CM154" s="684"/>
      <c r="CN154" s="684"/>
      <c r="CO154" s="684"/>
      <c r="CP154" s="684"/>
      <c r="CQ154" s="684"/>
      <c r="CR154" s="684"/>
      <c r="CS154" s="684"/>
      <c r="CT154" s="684"/>
      <c r="CU154" s="684"/>
      <c r="CV154" s="684"/>
      <c r="CW154" s="684"/>
      <c r="CX154" s="684"/>
      <c r="CY154" s="684"/>
      <c r="CZ154" s="684"/>
      <c r="DA154" s="684"/>
      <c r="DB154" s="684"/>
      <c r="DC154" s="684"/>
    </row>
    <row r="155" spans="1:107" s="5" customFormat="1" ht="12.75" customHeight="1">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399"/>
      <c r="AP155" s="399"/>
      <c r="AQ155" s="94"/>
      <c r="AR155" s="94"/>
      <c r="AS155" s="94"/>
      <c r="AT155" s="94"/>
      <c r="AU155" s="94"/>
      <c r="AV155" s="98"/>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684"/>
      <c r="CB155" s="684"/>
      <c r="CC155" s="684"/>
      <c r="CD155" s="684"/>
      <c r="CE155" s="684"/>
      <c r="CF155" s="684"/>
      <c r="CG155" s="684"/>
      <c r="CH155" s="684"/>
      <c r="CI155" s="684"/>
      <c r="CJ155" s="684"/>
      <c r="CK155" s="684"/>
      <c r="CL155" s="684"/>
      <c r="CM155" s="684"/>
      <c r="CN155" s="684"/>
      <c r="CO155" s="684"/>
      <c r="CP155" s="684"/>
      <c r="CQ155" s="684"/>
      <c r="CR155" s="684"/>
      <c r="CS155" s="684"/>
      <c r="CT155" s="684"/>
      <c r="CU155" s="684"/>
      <c r="CV155" s="684"/>
      <c r="CW155" s="684"/>
      <c r="CX155" s="684"/>
      <c r="CY155" s="684"/>
      <c r="CZ155" s="684"/>
      <c r="DA155" s="684"/>
      <c r="DB155" s="684"/>
      <c r="DC155" s="684"/>
    </row>
    <row r="156" spans="1:107" s="5" customFormat="1" ht="12.75" customHeight="1">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399"/>
      <c r="AP156" s="399"/>
      <c r="AQ156" s="94"/>
      <c r="AR156" s="94"/>
      <c r="AS156" s="94"/>
      <c r="AT156" s="94"/>
      <c r="AU156" s="94"/>
      <c r="AV156" s="98"/>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684"/>
      <c r="CB156" s="684"/>
      <c r="CC156" s="684"/>
      <c r="CD156" s="684"/>
      <c r="CE156" s="684"/>
      <c r="CF156" s="684"/>
      <c r="CG156" s="684"/>
      <c r="CH156" s="684"/>
      <c r="CI156" s="684"/>
      <c r="CJ156" s="684"/>
      <c r="CK156" s="684"/>
      <c r="CL156" s="684"/>
      <c r="CM156" s="684"/>
      <c r="CN156" s="684"/>
      <c r="CO156" s="684"/>
      <c r="CP156" s="684"/>
      <c r="CQ156" s="684"/>
      <c r="CR156" s="684"/>
      <c r="CS156" s="684"/>
      <c r="CT156" s="684"/>
      <c r="CU156" s="684"/>
      <c r="CV156" s="684"/>
      <c r="CW156" s="684"/>
      <c r="CX156" s="684"/>
      <c r="CY156" s="684"/>
      <c r="CZ156" s="684"/>
      <c r="DA156" s="684"/>
      <c r="DB156" s="684"/>
      <c r="DC156" s="684"/>
    </row>
    <row r="157" spans="1:107" s="5" customFormat="1" ht="12.75" customHeight="1">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399"/>
      <c r="AP157" s="399"/>
      <c r="AQ157" s="94"/>
      <c r="AR157" s="94"/>
      <c r="AS157" s="94"/>
      <c r="AT157" s="94"/>
      <c r="AU157" s="94"/>
      <c r="AV157" s="98"/>
      <c r="AW157" s="94"/>
      <c r="AX157" s="94"/>
      <c r="AY157" s="94"/>
      <c r="AZ157" s="94"/>
      <c r="BA157" s="94"/>
      <c r="BB157" s="94"/>
      <c r="BC157" s="94"/>
      <c r="BD157" s="94"/>
      <c r="BE157" s="94"/>
      <c r="BF157" s="94"/>
      <c r="BG157" s="94"/>
      <c r="BH157" s="94"/>
      <c r="BI157" s="94"/>
      <c r="BJ157" s="94"/>
      <c r="BK157" s="94"/>
      <c r="BL157" s="94"/>
      <c r="BM157" s="94"/>
      <c r="BN157" s="94"/>
      <c r="BO157" s="94"/>
      <c r="BP157" s="94"/>
      <c r="BQ157" s="94"/>
      <c r="BR157" s="94"/>
      <c r="BS157" s="94"/>
      <c r="BT157" s="94"/>
      <c r="BU157" s="94"/>
      <c r="BV157" s="94"/>
      <c r="BW157" s="94"/>
      <c r="BX157" s="94"/>
      <c r="BY157" s="94"/>
      <c r="BZ157" s="94"/>
      <c r="CA157" s="684"/>
      <c r="CB157" s="684"/>
      <c r="CC157" s="684"/>
      <c r="CD157" s="684"/>
      <c r="CE157" s="684"/>
      <c r="CF157" s="684"/>
      <c r="CG157" s="684"/>
      <c r="CH157" s="684"/>
      <c r="CI157" s="684"/>
      <c r="CJ157" s="684"/>
      <c r="CK157" s="684"/>
      <c r="CL157" s="684"/>
      <c r="CM157" s="684"/>
      <c r="CN157" s="684"/>
      <c r="CO157" s="684"/>
      <c r="CP157" s="684"/>
      <c r="CQ157" s="684"/>
      <c r="CR157" s="684"/>
      <c r="CS157" s="684"/>
      <c r="CT157" s="684"/>
      <c r="CU157" s="684"/>
      <c r="CV157" s="684"/>
      <c r="CW157" s="684"/>
      <c r="CX157" s="684"/>
      <c r="CY157" s="684"/>
      <c r="CZ157" s="684"/>
      <c r="DA157" s="684"/>
      <c r="DB157" s="684"/>
      <c r="DC157" s="684"/>
    </row>
    <row r="158" spans="1:107" s="5" customFormat="1" ht="12.75" customHeight="1">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399"/>
      <c r="AP158" s="399"/>
      <c r="AQ158" s="94"/>
      <c r="AR158" s="94"/>
      <c r="AS158" s="94"/>
      <c r="AT158" s="94"/>
      <c r="AU158" s="94"/>
      <c r="AV158" s="98"/>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684"/>
      <c r="CB158" s="684"/>
      <c r="CC158" s="684"/>
      <c r="CD158" s="684"/>
      <c r="CE158" s="684"/>
      <c r="CF158" s="684"/>
      <c r="CG158" s="684"/>
      <c r="CH158" s="684"/>
      <c r="CI158" s="684"/>
      <c r="CJ158" s="684"/>
      <c r="CK158" s="684"/>
      <c r="CL158" s="684"/>
      <c r="CM158" s="684"/>
      <c r="CN158" s="684"/>
      <c r="CO158" s="684"/>
      <c r="CP158" s="684"/>
      <c r="CQ158" s="684"/>
      <c r="CR158" s="684"/>
      <c r="CS158" s="684"/>
      <c r="CT158" s="684"/>
      <c r="CU158" s="684"/>
      <c r="CV158" s="684"/>
      <c r="CW158" s="684"/>
      <c r="CX158" s="684"/>
      <c r="CY158" s="684"/>
      <c r="CZ158" s="684"/>
      <c r="DA158" s="684"/>
      <c r="DB158" s="684"/>
      <c r="DC158" s="684"/>
    </row>
    <row r="159" spans="1:107" s="5" customFormat="1" ht="12.75" customHeight="1">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399"/>
      <c r="AP159" s="399"/>
      <c r="AQ159" s="94"/>
      <c r="AR159" s="94"/>
      <c r="AS159" s="94"/>
      <c r="AT159" s="94"/>
      <c r="AU159" s="94"/>
      <c r="AV159" s="98"/>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684"/>
      <c r="CB159" s="684"/>
      <c r="CC159" s="684"/>
      <c r="CD159" s="684"/>
      <c r="CE159" s="684"/>
      <c r="CF159" s="684"/>
      <c r="CG159" s="684"/>
      <c r="CH159" s="684"/>
      <c r="CI159" s="684"/>
      <c r="CJ159" s="684"/>
      <c r="CK159" s="684"/>
      <c r="CL159" s="684"/>
      <c r="CM159" s="684"/>
      <c r="CN159" s="684"/>
      <c r="CO159" s="684"/>
      <c r="CP159" s="684"/>
      <c r="CQ159" s="684"/>
      <c r="CR159" s="684"/>
      <c r="CS159" s="684"/>
      <c r="CT159" s="684"/>
      <c r="CU159" s="684"/>
      <c r="CV159" s="684"/>
      <c r="CW159" s="684"/>
      <c r="CX159" s="684"/>
      <c r="CY159" s="684"/>
      <c r="CZ159" s="684"/>
      <c r="DA159" s="684"/>
      <c r="DB159" s="684"/>
      <c r="DC159" s="684"/>
    </row>
    <row r="160" spans="1:107" s="5" customFormat="1" ht="12.75" customHeight="1">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399"/>
      <c r="AP160" s="399"/>
      <c r="AQ160" s="94"/>
      <c r="AR160" s="94"/>
      <c r="AS160" s="94"/>
      <c r="AT160" s="94"/>
      <c r="AU160" s="94"/>
      <c r="AV160" s="98"/>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684"/>
      <c r="CB160" s="684"/>
      <c r="CC160" s="684"/>
      <c r="CD160" s="684"/>
      <c r="CE160" s="684"/>
      <c r="CF160" s="684"/>
      <c r="CG160" s="684"/>
      <c r="CH160" s="684"/>
      <c r="CI160" s="684"/>
      <c r="CJ160" s="684"/>
      <c r="CK160" s="684"/>
      <c r="CL160" s="684"/>
      <c r="CM160" s="684"/>
      <c r="CN160" s="684"/>
      <c r="CO160" s="684"/>
      <c r="CP160" s="684"/>
      <c r="CQ160" s="684"/>
      <c r="CR160" s="684"/>
      <c r="CS160" s="684"/>
      <c r="CT160" s="684"/>
      <c r="CU160" s="684"/>
      <c r="CV160" s="684"/>
      <c r="CW160" s="684"/>
      <c r="CX160" s="684"/>
      <c r="CY160" s="684"/>
      <c r="CZ160" s="684"/>
      <c r="DA160" s="684"/>
      <c r="DB160" s="684"/>
      <c r="DC160" s="684"/>
    </row>
    <row r="161" spans="1:107" s="5" customFormat="1" ht="12.75" customHeight="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399"/>
      <c r="AP161" s="399"/>
      <c r="AQ161" s="94"/>
      <c r="AR161" s="94"/>
      <c r="AS161" s="94"/>
      <c r="AT161" s="94"/>
      <c r="AU161" s="94"/>
      <c r="AV161" s="98"/>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684"/>
      <c r="CB161" s="684"/>
      <c r="CC161" s="684"/>
      <c r="CD161" s="684"/>
      <c r="CE161" s="684"/>
      <c r="CF161" s="684"/>
      <c r="CG161" s="684"/>
      <c r="CH161" s="684"/>
      <c r="CI161" s="684"/>
      <c r="CJ161" s="684"/>
      <c r="CK161" s="684"/>
      <c r="CL161" s="684"/>
      <c r="CM161" s="684"/>
      <c r="CN161" s="684"/>
      <c r="CO161" s="684"/>
      <c r="CP161" s="684"/>
      <c r="CQ161" s="684"/>
      <c r="CR161" s="684"/>
      <c r="CS161" s="684"/>
      <c r="CT161" s="684"/>
      <c r="CU161" s="684"/>
      <c r="CV161" s="684"/>
      <c r="CW161" s="684"/>
      <c r="CX161" s="684"/>
      <c r="CY161" s="684"/>
      <c r="CZ161" s="684"/>
      <c r="DA161" s="684"/>
      <c r="DB161" s="684"/>
      <c r="DC161" s="684"/>
    </row>
    <row r="162" spans="1:107" s="5" customFormat="1" ht="12.75" customHeight="1">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399"/>
      <c r="AP162" s="399"/>
      <c r="AQ162" s="94"/>
      <c r="AR162" s="94"/>
      <c r="AS162" s="94"/>
      <c r="AT162" s="94"/>
      <c r="AU162" s="94"/>
      <c r="AV162" s="98"/>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684"/>
      <c r="CB162" s="684"/>
      <c r="CC162" s="684"/>
      <c r="CD162" s="684"/>
      <c r="CE162" s="684"/>
      <c r="CF162" s="684"/>
      <c r="CG162" s="684"/>
      <c r="CH162" s="684"/>
      <c r="CI162" s="684"/>
      <c r="CJ162" s="684"/>
      <c r="CK162" s="684"/>
      <c r="CL162" s="684"/>
      <c r="CM162" s="684"/>
      <c r="CN162" s="684"/>
      <c r="CO162" s="684"/>
      <c r="CP162" s="684"/>
      <c r="CQ162" s="684"/>
      <c r="CR162" s="684"/>
      <c r="CS162" s="684"/>
      <c r="CT162" s="684"/>
      <c r="CU162" s="684"/>
      <c r="CV162" s="684"/>
      <c r="CW162" s="684"/>
      <c r="CX162" s="684"/>
      <c r="CY162" s="684"/>
      <c r="CZ162" s="684"/>
      <c r="DA162" s="684"/>
      <c r="DB162" s="684"/>
      <c r="DC162" s="684"/>
    </row>
    <row r="163" spans="1:107" s="5" customFormat="1" ht="12.75" customHeight="1">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399"/>
      <c r="AP163" s="399"/>
      <c r="AQ163" s="94"/>
      <c r="AR163" s="94"/>
      <c r="AS163" s="94"/>
      <c r="AT163" s="94"/>
      <c r="AU163" s="94"/>
      <c r="AV163" s="98"/>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684"/>
      <c r="CB163" s="684"/>
      <c r="CC163" s="684"/>
      <c r="CD163" s="684"/>
      <c r="CE163" s="684"/>
      <c r="CF163" s="684"/>
      <c r="CG163" s="684"/>
      <c r="CH163" s="684"/>
      <c r="CI163" s="684"/>
      <c r="CJ163" s="684"/>
      <c r="CK163" s="684"/>
      <c r="CL163" s="684"/>
      <c r="CM163" s="684"/>
      <c r="CN163" s="684"/>
      <c r="CO163" s="684"/>
      <c r="CP163" s="684"/>
      <c r="CQ163" s="684"/>
      <c r="CR163" s="684"/>
      <c r="CS163" s="684"/>
      <c r="CT163" s="684"/>
      <c r="CU163" s="684"/>
      <c r="CV163" s="684"/>
      <c r="CW163" s="684"/>
      <c r="CX163" s="684"/>
      <c r="CY163" s="684"/>
      <c r="CZ163" s="684"/>
      <c r="DA163" s="684"/>
      <c r="DB163" s="684"/>
      <c r="DC163" s="684"/>
    </row>
    <row r="164" spans="1:107" s="5" customFormat="1" ht="12.75" customHeight="1">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399"/>
      <c r="AP164" s="399"/>
      <c r="AQ164" s="94"/>
      <c r="AR164" s="94"/>
      <c r="AS164" s="94"/>
      <c r="AT164" s="94"/>
      <c r="AU164" s="94"/>
      <c r="AV164" s="98"/>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684"/>
      <c r="CB164" s="684"/>
      <c r="CC164" s="684"/>
      <c r="CD164" s="684"/>
      <c r="CE164" s="684"/>
      <c r="CF164" s="684"/>
      <c r="CG164" s="684"/>
      <c r="CH164" s="684"/>
      <c r="CI164" s="684"/>
      <c r="CJ164" s="684"/>
      <c r="CK164" s="684"/>
      <c r="CL164" s="684"/>
      <c r="CM164" s="684"/>
      <c r="CN164" s="684"/>
      <c r="CO164" s="684"/>
      <c r="CP164" s="684"/>
      <c r="CQ164" s="684"/>
      <c r="CR164" s="684"/>
      <c r="CS164" s="684"/>
      <c r="CT164" s="684"/>
      <c r="CU164" s="684"/>
      <c r="CV164" s="684"/>
      <c r="CW164" s="684"/>
      <c r="CX164" s="684"/>
      <c r="CY164" s="684"/>
      <c r="CZ164" s="684"/>
      <c r="DA164" s="684"/>
      <c r="DB164" s="684"/>
      <c r="DC164" s="684"/>
    </row>
    <row r="165" spans="1:107" s="5" customFormat="1" ht="12.75" customHeight="1">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399"/>
      <c r="AP165" s="399"/>
      <c r="AQ165" s="94"/>
      <c r="AR165" s="94"/>
      <c r="AS165" s="94"/>
      <c r="AT165" s="94"/>
      <c r="AU165" s="94"/>
      <c r="AV165" s="98"/>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684"/>
      <c r="CB165" s="684"/>
      <c r="CC165" s="684"/>
      <c r="CD165" s="684"/>
      <c r="CE165" s="684"/>
      <c r="CF165" s="684"/>
      <c r="CG165" s="684"/>
      <c r="CH165" s="684"/>
      <c r="CI165" s="684"/>
      <c r="CJ165" s="684"/>
      <c r="CK165" s="684"/>
      <c r="CL165" s="684"/>
      <c r="CM165" s="684"/>
      <c r="CN165" s="684"/>
      <c r="CO165" s="684"/>
      <c r="CP165" s="684"/>
      <c r="CQ165" s="684"/>
      <c r="CR165" s="684"/>
      <c r="CS165" s="684"/>
      <c r="CT165" s="684"/>
      <c r="CU165" s="684"/>
      <c r="CV165" s="684"/>
      <c r="CW165" s="684"/>
      <c r="CX165" s="684"/>
      <c r="CY165" s="684"/>
      <c r="CZ165" s="684"/>
      <c r="DA165" s="684"/>
      <c r="DB165" s="684"/>
      <c r="DC165" s="684"/>
    </row>
    <row r="166" spans="1:107" s="5" customFormat="1" ht="12.75" customHeight="1">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399"/>
      <c r="AP166" s="399"/>
      <c r="AQ166" s="94"/>
      <c r="AR166" s="94"/>
      <c r="AS166" s="94"/>
      <c r="AT166" s="94"/>
      <c r="AU166" s="94"/>
      <c r="AV166" s="98"/>
      <c r="AW166" s="94"/>
      <c r="AX166" s="94"/>
      <c r="AY166" s="94"/>
      <c r="AZ166" s="94"/>
      <c r="BA166" s="94"/>
      <c r="BB166" s="94"/>
      <c r="BC166" s="94"/>
      <c r="BD166" s="94"/>
      <c r="BE166" s="94"/>
      <c r="BF166" s="94"/>
      <c r="BG166" s="94"/>
      <c r="BH166" s="94"/>
      <c r="BI166" s="94"/>
      <c r="BJ166" s="94"/>
      <c r="BK166" s="94"/>
      <c r="BL166" s="94"/>
      <c r="BM166" s="94"/>
      <c r="BN166" s="94"/>
      <c r="BO166" s="94"/>
      <c r="BP166" s="94"/>
      <c r="BQ166" s="94"/>
      <c r="BR166" s="94"/>
      <c r="BS166" s="94"/>
      <c r="BT166" s="94"/>
      <c r="BU166" s="94"/>
      <c r="BV166" s="94"/>
      <c r="BW166" s="94"/>
      <c r="BX166" s="94"/>
      <c r="BY166" s="94"/>
      <c r="BZ166" s="94"/>
      <c r="CA166" s="684"/>
      <c r="CB166" s="684"/>
      <c r="CC166" s="684"/>
      <c r="CD166" s="684"/>
      <c r="CE166" s="684"/>
      <c r="CF166" s="684"/>
      <c r="CG166" s="684"/>
      <c r="CH166" s="684"/>
      <c r="CI166" s="684"/>
      <c r="CJ166" s="684"/>
      <c r="CK166" s="684"/>
      <c r="CL166" s="684"/>
      <c r="CM166" s="684"/>
      <c r="CN166" s="684"/>
      <c r="CO166" s="684"/>
      <c r="CP166" s="684"/>
      <c r="CQ166" s="684"/>
      <c r="CR166" s="684"/>
      <c r="CS166" s="684"/>
      <c r="CT166" s="684"/>
      <c r="CU166" s="684"/>
      <c r="CV166" s="684"/>
      <c r="CW166" s="684"/>
      <c r="CX166" s="684"/>
      <c r="CY166" s="684"/>
      <c r="CZ166" s="684"/>
      <c r="DA166" s="684"/>
      <c r="DB166" s="684"/>
      <c r="DC166" s="684"/>
    </row>
    <row r="167" spans="1:107" s="5" customFormat="1" ht="12.75" customHeight="1">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399"/>
      <c r="AP167" s="399"/>
      <c r="AQ167" s="94"/>
      <c r="AR167" s="94"/>
      <c r="AS167" s="94"/>
      <c r="AT167" s="94"/>
      <c r="AU167" s="94"/>
      <c r="AV167" s="98"/>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A167" s="684"/>
      <c r="CB167" s="684"/>
      <c r="CC167" s="684"/>
      <c r="CD167" s="684"/>
      <c r="CE167" s="684"/>
      <c r="CF167" s="684"/>
      <c r="CG167" s="684"/>
      <c r="CH167" s="684"/>
      <c r="CI167" s="684"/>
      <c r="CJ167" s="684"/>
      <c r="CK167" s="684"/>
      <c r="CL167" s="684"/>
      <c r="CM167" s="684"/>
      <c r="CN167" s="684"/>
      <c r="CO167" s="684"/>
      <c r="CP167" s="684"/>
      <c r="CQ167" s="684"/>
      <c r="CR167" s="684"/>
      <c r="CS167" s="684"/>
      <c r="CT167" s="684"/>
      <c r="CU167" s="684"/>
      <c r="CV167" s="684"/>
      <c r="CW167" s="684"/>
      <c r="CX167" s="684"/>
      <c r="CY167" s="684"/>
      <c r="CZ167" s="684"/>
      <c r="DA167" s="684"/>
      <c r="DB167" s="684"/>
      <c r="DC167" s="684"/>
    </row>
    <row r="168" spans="1:107" s="5" customFormat="1" ht="12.75" customHeight="1">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399"/>
      <c r="AP168" s="399"/>
      <c r="AQ168" s="94"/>
      <c r="AR168" s="94"/>
      <c r="AS168" s="94"/>
      <c r="AT168" s="94"/>
      <c r="AU168" s="94"/>
      <c r="AV168" s="98"/>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c r="CA168" s="684"/>
      <c r="CB168" s="684"/>
      <c r="CC168" s="684"/>
      <c r="CD168" s="684"/>
      <c r="CE168" s="684"/>
      <c r="CF168" s="684"/>
      <c r="CG168" s="684"/>
      <c r="CH168" s="684"/>
      <c r="CI168" s="684"/>
      <c r="CJ168" s="684"/>
      <c r="CK168" s="684"/>
      <c r="CL168" s="684"/>
      <c r="CM168" s="684"/>
      <c r="CN168" s="684"/>
      <c r="CO168" s="684"/>
      <c r="CP168" s="684"/>
      <c r="CQ168" s="684"/>
      <c r="CR168" s="684"/>
      <c r="CS168" s="684"/>
      <c r="CT168" s="684"/>
      <c r="CU168" s="684"/>
      <c r="CV168" s="684"/>
      <c r="CW168" s="684"/>
      <c r="CX168" s="684"/>
      <c r="CY168" s="684"/>
      <c r="CZ168" s="684"/>
      <c r="DA168" s="684"/>
      <c r="DB168" s="684"/>
      <c r="DC168" s="684"/>
    </row>
    <row r="169" spans="1:107" s="5" customFormat="1" ht="12.75" customHeight="1">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399"/>
      <c r="AP169" s="399"/>
      <c r="AQ169" s="94"/>
      <c r="AR169" s="94"/>
      <c r="AS169" s="94"/>
      <c r="AT169" s="94"/>
      <c r="AU169" s="94"/>
      <c r="AV169" s="98"/>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684"/>
      <c r="CB169" s="684"/>
      <c r="CC169" s="684"/>
      <c r="CD169" s="684"/>
      <c r="CE169" s="684"/>
      <c r="CF169" s="684"/>
      <c r="CG169" s="684"/>
      <c r="CH169" s="684"/>
      <c r="CI169" s="684"/>
      <c r="CJ169" s="684"/>
      <c r="CK169" s="684"/>
      <c r="CL169" s="684"/>
      <c r="CM169" s="684"/>
      <c r="CN169" s="684"/>
      <c r="CO169" s="684"/>
      <c r="CP169" s="684"/>
      <c r="CQ169" s="684"/>
      <c r="CR169" s="684"/>
      <c r="CS169" s="684"/>
      <c r="CT169" s="684"/>
      <c r="CU169" s="684"/>
      <c r="CV169" s="684"/>
      <c r="CW169" s="684"/>
      <c r="CX169" s="684"/>
      <c r="CY169" s="684"/>
      <c r="CZ169" s="684"/>
      <c r="DA169" s="684"/>
      <c r="DB169" s="684"/>
      <c r="DC169" s="684"/>
    </row>
    <row r="170" spans="1:107" s="5" customFormat="1" ht="12.75" customHeight="1">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399"/>
      <c r="AP170" s="399"/>
      <c r="AQ170" s="94"/>
      <c r="AR170" s="94"/>
      <c r="AS170" s="94"/>
      <c r="AT170" s="94"/>
      <c r="AU170" s="94"/>
      <c r="AV170" s="98"/>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684"/>
      <c r="CB170" s="684"/>
      <c r="CC170" s="684"/>
      <c r="CD170" s="684"/>
      <c r="CE170" s="684"/>
      <c r="CF170" s="684"/>
      <c r="CG170" s="684"/>
      <c r="CH170" s="684"/>
      <c r="CI170" s="684"/>
      <c r="CJ170" s="684"/>
      <c r="CK170" s="684"/>
      <c r="CL170" s="684"/>
      <c r="CM170" s="684"/>
      <c r="CN170" s="684"/>
      <c r="CO170" s="684"/>
      <c r="CP170" s="684"/>
      <c r="CQ170" s="684"/>
      <c r="CR170" s="684"/>
      <c r="CS170" s="684"/>
      <c r="CT170" s="684"/>
      <c r="CU170" s="684"/>
      <c r="CV170" s="684"/>
      <c r="CW170" s="684"/>
      <c r="CX170" s="684"/>
      <c r="CY170" s="684"/>
      <c r="CZ170" s="684"/>
      <c r="DA170" s="684"/>
      <c r="DB170" s="684"/>
      <c r="DC170" s="684"/>
    </row>
    <row r="171" spans="1:107" s="5" customFormat="1" ht="12.75" customHeight="1">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399"/>
      <c r="AP171" s="399"/>
      <c r="AQ171" s="94"/>
      <c r="AR171" s="94"/>
      <c r="AS171" s="94"/>
      <c r="AT171" s="94"/>
      <c r="AU171" s="94"/>
      <c r="AV171" s="98"/>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684"/>
      <c r="CB171" s="684"/>
      <c r="CC171" s="684"/>
      <c r="CD171" s="684"/>
      <c r="CE171" s="684"/>
      <c r="CF171" s="684"/>
      <c r="CG171" s="684"/>
      <c r="CH171" s="684"/>
      <c r="CI171" s="684"/>
      <c r="CJ171" s="684"/>
      <c r="CK171" s="684"/>
      <c r="CL171" s="684"/>
      <c r="CM171" s="684"/>
      <c r="CN171" s="684"/>
      <c r="CO171" s="684"/>
      <c r="CP171" s="684"/>
      <c r="CQ171" s="684"/>
      <c r="CR171" s="684"/>
      <c r="CS171" s="684"/>
      <c r="CT171" s="684"/>
      <c r="CU171" s="684"/>
      <c r="CV171" s="684"/>
      <c r="CW171" s="684"/>
      <c r="CX171" s="684"/>
      <c r="CY171" s="684"/>
      <c r="CZ171" s="684"/>
      <c r="DA171" s="684"/>
      <c r="DB171" s="684"/>
      <c r="DC171" s="684"/>
    </row>
    <row r="172" spans="1:107" s="5" customFormat="1" ht="12.75" customHeight="1">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399"/>
      <c r="AP172" s="399"/>
      <c r="AQ172" s="94"/>
      <c r="AR172" s="94"/>
      <c r="AS172" s="94"/>
      <c r="AT172" s="94"/>
      <c r="AU172" s="94"/>
      <c r="AV172" s="98"/>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684"/>
      <c r="CB172" s="684"/>
      <c r="CC172" s="684"/>
      <c r="CD172" s="684"/>
      <c r="CE172" s="684"/>
      <c r="CF172" s="684"/>
      <c r="CG172" s="684"/>
      <c r="CH172" s="684"/>
      <c r="CI172" s="684"/>
      <c r="CJ172" s="684"/>
      <c r="CK172" s="684"/>
      <c r="CL172" s="684"/>
      <c r="CM172" s="684"/>
      <c r="CN172" s="684"/>
      <c r="CO172" s="684"/>
      <c r="CP172" s="684"/>
      <c r="CQ172" s="684"/>
      <c r="CR172" s="684"/>
      <c r="CS172" s="684"/>
      <c r="CT172" s="684"/>
      <c r="CU172" s="684"/>
      <c r="CV172" s="684"/>
      <c r="CW172" s="684"/>
      <c r="CX172" s="684"/>
      <c r="CY172" s="684"/>
      <c r="CZ172" s="684"/>
      <c r="DA172" s="684"/>
      <c r="DB172" s="684"/>
      <c r="DC172" s="684"/>
    </row>
    <row r="173" spans="1:107" s="5" customFormat="1" ht="12.75" customHeight="1">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399"/>
      <c r="AP173" s="399"/>
      <c r="AQ173" s="94"/>
      <c r="AR173" s="94"/>
      <c r="AS173" s="94"/>
      <c r="AT173" s="94"/>
      <c r="AU173" s="94"/>
      <c r="AV173" s="98"/>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684"/>
      <c r="CB173" s="684"/>
      <c r="CC173" s="684"/>
      <c r="CD173" s="684"/>
      <c r="CE173" s="684"/>
      <c r="CF173" s="684"/>
      <c r="CG173" s="684"/>
      <c r="CH173" s="684"/>
      <c r="CI173" s="684"/>
      <c r="CJ173" s="684"/>
      <c r="CK173" s="684"/>
      <c r="CL173" s="684"/>
      <c r="CM173" s="684"/>
      <c r="CN173" s="684"/>
      <c r="CO173" s="684"/>
      <c r="CP173" s="684"/>
      <c r="CQ173" s="684"/>
      <c r="CR173" s="684"/>
      <c r="CS173" s="684"/>
      <c r="CT173" s="684"/>
      <c r="CU173" s="684"/>
      <c r="CV173" s="684"/>
      <c r="CW173" s="684"/>
      <c r="CX173" s="684"/>
      <c r="CY173" s="684"/>
      <c r="CZ173" s="684"/>
      <c r="DA173" s="684"/>
      <c r="DB173" s="684"/>
      <c r="DC173" s="684"/>
    </row>
    <row r="174" spans="1:107" s="5" customFormat="1" ht="12.75" customHeight="1">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399"/>
      <c r="AP174" s="399"/>
      <c r="AQ174" s="94"/>
      <c r="AR174" s="94"/>
      <c r="AS174" s="94"/>
      <c r="AT174" s="94"/>
      <c r="AU174" s="94"/>
      <c r="AV174" s="98"/>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684"/>
      <c r="CB174" s="684"/>
      <c r="CC174" s="684"/>
      <c r="CD174" s="684"/>
      <c r="CE174" s="684"/>
      <c r="CF174" s="684"/>
      <c r="CG174" s="684"/>
      <c r="CH174" s="684"/>
      <c r="CI174" s="684"/>
      <c r="CJ174" s="684"/>
      <c r="CK174" s="684"/>
      <c r="CL174" s="684"/>
      <c r="CM174" s="684"/>
      <c r="CN174" s="684"/>
      <c r="CO174" s="684"/>
      <c r="CP174" s="684"/>
      <c r="CQ174" s="684"/>
      <c r="CR174" s="684"/>
      <c r="CS174" s="684"/>
      <c r="CT174" s="684"/>
      <c r="CU174" s="684"/>
      <c r="CV174" s="684"/>
      <c r="CW174" s="684"/>
      <c r="CX174" s="684"/>
      <c r="CY174" s="684"/>
      <c r="CZ174" s="684"/>
      <c r="DA174" s="684"/>
      <c r="DB174" s="684"/>
      <c r="DC174" s="684"/>
    </row>
    <row r="175" spans="1:107" s="5" customFormat="1" ht="12.75" customHeight="1">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399"/>
      <c r="AP175" s="399"/>
      <c r="AQ175" s="94"/>
      <c r="AR175" s="94"/>
      <c r="AS175" s="94"/>
      <c r="AT175" s="94"/>
      <c r="AU175" s="94"/>
      <c r="AV175" s="98"/>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684"/>
      <c r="CB175" s="684"/>
      <c r="CC175" s="684"/>
      <c r="CD175" s="684"/>
      <c r="CE175" s="684"/>
      <c r="CF175" s="684"/>
      <c r="CG175" s="684"/>
      <c r="CH175" s="684"/>
      <c r="CI175" s="684"/>
      <c r="CJ175" s="684"/>
      <c r="CK175" s="684"/>
      <c r="CL175" s="684"/>
      <c r="CM175" s="684"/>
      <c r="CN175" s="684"/>
      <c r="CO175" s="684"/>
      <c r="CP175" s="684"/>
      <c r="CQ175" s="684"/>
      <c r="CR175" s="684"/>
      <c r="CS175" s="684"/>
      <c r="CT175" s="684"/>
      <c r="CU175" s="684"/>
      <c r="CV175" s="684"/>
      <c r="CW175" s="684"/>
      <c r="CX175" s="684"/>
      <c r="CY175" s="684"/>
      <c r="CZ175" s="684"/>
      <c r="DA175" s="684"/>
      <c r="DB175" s="684"/>
      <c r="DC175" s="684"/>
    </row>
    <row r="176" spans="1:107" s="5" customFormat="1" ht="12.75" customHeight="1">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399"/>
      <c r="AP176" s="399"/>
      <c r="AQ176" s="94"/>
      <c r="AR176" s="94"/>
      <c r="AS176" s="94"/>
      <c r="AT176" s="94"/>
      <c r="AU176" s="94"/>
      <c r="AV176" s="98"/>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684"/>
      <c r="CB176" s="684"/>
      <c r="CC176" s="684"/>
      <c r="CD176" s="684"/>
      <c r="CE176" s="684"/>
      <c r="CF176" s="684"/>
      <c r="CG176" s="684"/>
      <c r="CH176" s="684"/>
      <c r="CI176" s="684"/>
      <c r="CJ176" s="684"/>
      <c r="CK176" s="684"/>
      <c r="CL176" s="684"/>
      <c r="CM176" s="684"/>
      <c r="CN176" s="684"/>
      <c r="CO176" s="684"/>
      <c r="CP176" s="684"/>
      <c r="CQ176" s="684"/>
      <c r="CR176" s="684"/>
      <c r="CS176" s="684"/>
      <c r="CT176" s="684"/>
      <c r="CU176" s="684"/>
      <c r="CV176" s="684"/>
      <c r="CW176" s="684"/>
      <c r="CX176" s="684"/>
      <c r="CY176" s="684"/>
      <c r="CZ176" s="684"/>
      <c r="DA176" s="684"/>
      <c r="DB176" s="684"/>
      <c r="DC176" s="684"/>
    </row>
    <row r="177" spans="1:107" s="5" customFormat="1" ht="12.75" customHeight="1">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399"/>
      <c r="AP177" s="399"/>
      <c r="AQ177" s="94"/>
      <c r="AR177" s="94"/>
      <c r="AS177" s="94"/>
      <c r="AT177" s="94"/>
      <c r="AU177" s="94"/>
      <c r="AV177" s="98"/>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684"/>
      <c r="CB177" s="684"/>
      <c r="CC177" s="684"/>
      <c r="CD177" s="684"/>
      <c r="CE177" s="684"/>
      <c r="CF177" s="684"/>
      <c r="CG177" s="684"/>
      <c r="CH177" s="684"/>
      <c r="CI177" s="684"/>
      <c r="CJ177" s="684"/>
      <c r="CK177" s="684"/>
      <c r="CL177" s="684"/>
      <c r="CM177" s="684"/>
      <c r="CN177" s="684"/>
      <c r="CO177" s="684"/>
      <c r="CP177" s="684"/>
      <c r="CQ177" s="684"/>
      <c r="CR177" s="684"/>
      <c r="CS177" s="684"/>
      <c r="CT177" s="684"/>
      <c r="CU177" s="684"/>
      <c r="CV177" s="684"/>
      <c r="CW177" s="684"/>
      <c r="CX177" s="684"/>
      <c r="CY177" s="684"/>
      <c r="CZ177" s="684"/>
      <c r="DA177" s="684"/>
      <c r="DB177" s="684"/>
      <c r="DC177" s="684"/>
    </row>
    <row r="178" spans="1:107" s="5" customFormat="1" ht="12.75" customHeight="1">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399"/>
      <c r="AP178" s="399"/>
      <c r="AQ178" s="94"/>
      <c r="AR178" s="94"/>
      <c r="AS178" s="94"/>
      <c r="AT178" s="94"/>
      <c r="AU178" s="94"/>
      <c r="AV178" s="98"/>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684"/>
      <c r="CB178" s="684"/>
      <c r="CC178" s="684"/>
      <c r="CD178" s="684"/>
      <c r="CE178" s="684"/>
      <c r="CF178" s="684"/>
      <c r="CG178" s="684"/>
      <c r="CH178" s="684"/>
      <c r="CI178" s="684"/>
      <c r="CJ178" s="684"/>
      <c r="CK178" s="684"/>
      <c r="CL178" s="684"/>
      <c r="CM178" s="684"/>
      <c r="CN178" s="684"/>
      <c r="CO178" s="684"/>
      <c r="CP178" s="684"/>
      <c r="CQ178" s="684"/>
      <c r="CR178" s="684"/>
      <c r="CS178" s="684"/>
      <c r="CT178" s="684"/>
      <c r="CU178" s="684"/>
      <c r="CV178" s="684"/>
      <c r="CW178" s="684"/>
      <c r="CX178" s="684"/>
      <c r="CY178" s="684"/>
      <c r="CZ178" s="684"/>
      <c r="DA178" s="684"/>
      <c r="DB178" s="684"/>
      <c r="DC178" s="684"/>
    </row>
    <row r="179" spans="1:107" s="5" customFormat="1" ht="12.75" customHeight="1">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399"/>
      <c r="AP179" s="399"/>
      <c r="AQ179" s="94"/>
      <c r="AR179" s="94"/>
      <c r="AS179" s="94"/>
      <c r="AT179" s="94"/>
      <c r="AU179" s="94"/>
      <c r="AV179" s="98"/>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684"/>
      <c r="CB179" s="684"/>
      <c r="CC179" s="684"/>
      <c r="CD179" s="684"/>
      <c r="CE179" s="684"/>
      <c r="CF179" s="684"/>
      <c r="CG179" s="684"/>
      <c r="CH179" s="684"/>
      <c r="CI179" s="684"/>
      <c r="CJ179" s="684"/>
      <c r="CK179" s="684"/>
      <c r="CL179" s="684"/>
      <c r="CM179" s="684"/>
      <c r="CN179" s="684"/>
      <c r="CO179" s="684"/>
      <c r="CP179" s="684"/>
      <c r="CQ179" s="684"/>
      <c r="CR179" s="684"/>
      <c r="CS179" s="684"/>
      <c r="CT179" s="684"/>
      <c r="CU179" s="684"/>
      <c r="CV179" s="684"/>
      <c r="CW179" s="684"/>
      <c r="CX179" s="684"/>
      <c r="CY179" s="684"/>
      <c r="CZ179" s="684"/>
      <c r="DA179" s="684"/>
      <c r="DB179" s="684"/>
      <c r="DC179" s="684"/>
    </row>
    <row r="180" spans="1:107" s="5" customFormat="1" ht="12.75" customHeight="1">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399"/>
      <c r="AP180" s="399"/>
      <c r="AQ180" s="94"/>
      <c r="AR180" s="94"/>
      <c r="AS180" s="94"/>
      <c r="AT180" s="94"/>
      <c r="AU180" s="94"/>
      <c r="AV180" s="98"/>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684"/>
      <c r="CB180" s="684"/>
      <c r="CC180" s="684"/>
      <c r="CD180" s="684"/>
      <c r="CE180" s="684"/>
      <c r="CF180" s="684"/>
      <c r="CG180" s="684"/>
      <c r="CH180" s="684"/>
      <c r="CI180" s="684"/>
      <c r="CJ180" s="684"/>
      <c r="CK180" s="684"/>
      <c r="CL180" s="684"/>
      <c r="CM180" s="684"/>
      <c r="CN180" s="684"/>
      <c r="CO180" s="684"/>
      <c r="CP180" s="684"/>
      <c r="CQ180" s="684"/>
      <c r="CR180" s="684"/>
      <c r="CS180" s="684"/>
      <c r="CT180" s="684"/>
      <c r="CU180" s="684"/>
      <c r="CV180" s="684"/>
      <c r="CW180" s="684"/>
      <c r="CX180" s="684"/>
      <c r="CY180" s="684"/>
      <c r="CZ180" s="684"/>
      <c r="DA180" s="684"/>
      <c r="DB180" s="684"/>
      <c r="DC180" s="684"/>
    </row>
    <row r="181" spans="1:107" s="5" customFormat="1" ht="12.75" customHeight="1">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399"/>
      <c r="AP181" s="399"/>
      <c r="AQ181" s="94"/>
      <c r="AR181" s="94"/>
      <c r="AS181" s="94"/>
      <c r="AT181" s="94"/>
      <c r="AU181" s="94"/>
      <c r="AV181" s="98"/>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684"/>
      <c r="CB181" s="684"/>
      <c r="CC181" s="684"/>
      <c r="CD181" s="684"/>
      <c r="CE181" s="684"/>
      <c r="CF181" s="684"/>
      <c r="CG181" s="684"/>
      <c r="CH181" s="684"/>
      <c r="CI181" s="684"/>
      <c r="CJ181" s="684"/>
      <c r="CK181" s="684"/>
      <c r="CL181" s="684"/>
      <c r="CM181" s="684"/>
      <c r="CN181" s="684"/>
      <c r="CO181" s="684"/>
      <c r="CP181" s="684"/>
      <c r="CQ181" s="684"/>
      <c r="CR181" s="684"/>
      <c r="CS181" s="684"/>
      <c r="CT181" s="684"/>
      <c r="CU181" s="684"/>
      <c r="CV181" s="684"/>
      <c r="CW181" s="684"/>
      <c r="CX181" s="684"/>
      <c r="CY181" s="684"/>
      <c r="CZ181" s="684"/>
      <c r="DA181" s="684"/>
      <c r="DB181" s="684"/>
      <c r="DC181" s="684"/>
    </row>
    <row r="182" spans="1:107" s="5" customFormat="1" ht="12.75" customHeight="1">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399"/>
      <c r="AP182" s="399"/>
      <c r="AQ182" s="94"/>
      <c r="AR182" s="94"/>
      <c r="AS182" s="94"/>
      <c r="AT182" s="94"/>
      <c r="AU182" s="94"/>
      <c r="AV182" s="98"/>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684"/>
      <c r="CB182" s="684"/>
      <c r="CC182" s="684"/>
      <c r="CD182" s="684"/>
      <c r="CE182" s="684"/>
      <c r="CF182" s="684"/>
      <c r="CG182" s="684"/>
      <c r="CH182" s="684"/>
      <c r="CI182" s="684"/>
      <c r="CJ182" s="684"/>
      <c r="CK182" s="684"/>
      <c r="CL182" s="684"/>
      <c r="CM182" s="684"/>
      <c r="CN182" s="684"/>
      <c r="CO182" s="684"/>
      <c r="CP182" s="684"/>
      <c r="CQ182" s="684"/>
      <c r="CR182" s="684"/>
      <c r="CS182" s="684"/>
      <c r="CT182" s="684"/>
      <c r="CU182" s="684"/>
      <c r="CV182" s="684"/>
      <c r="CW182" s="684"/>
      <c r="CX182" s="684"/>
      <c r="CY182" s="684"/>
      <c r="CZ182" s="684"/>
      <c r="DA182" s="684"/>
      <c r="DB182" s="684"/>
      <c r="DC182" s="684"/>
    </row>
    <row r="183" spans="1:107" s="5" customFormat="1" ht="12.75" customHeight="1">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399"/>
      <c r="AP183" s="399"/>
      <c r="AQ183" s="94"/>
      <c r="AR183" s="94"/>
      <c r="AS183" s="94"/>
      <c r="AT183" s="94"/>
      <c r="AU183" s="94"/>
      <c r="AV183" s="98"/>
      <c r="AW183" s="94"/>
      <c r="AX183" s="94"/>
      <c r="AY183" s="94"/>
      <c r="AZ183" s="94"/>
      <c r="BA183" s="94"/>
      <c r="BB183" s="94"/>
      <c r="BC183" s="94"/>
      <c r="BD183" s="94"/>
      <c r="BE183" s="94"/>
      <c r="BF183" s="94"/>
      <c r="BG183" s="94"/>
      <c r="BH183" s="94"/>
      <c r="BI183" s="94"/>
      <c r="BJ183" s="94"/>
      <c r="BK183" s="94"/>
      <c r="BL183" s="94"/>
      <c r="BM183" s="94"/>
      <c r="BN183" s="94"/>
      <c r="BO183" s="94"/>
      <c r="BP183" s="94"/>
      <c r="BQ183" s="94"/>
      <c r="BR183" s="94"/>
      <c r="BS183" s="94"/>
      <c r="BT183" s="94"/>
      <c r="BU183" s="94"/>
      <c r="BV183" s="94"/>
      <c r="BW183" s="94"/>
      <c r="BX183" s="94"/>
      <c r="BY183" s="94"/>
      <c r="BZ183" s="94"/>
      <c r="CA183" s="684"/>
      <c r="CB183" s="684"/>
      <c r="CC183" s="684"/>
      <c r="CD183" s="684"/>
      <c r="CE183" s="684"/>
      <c r="CF183" s="684"/>
      <c r="CG183" s="684"/>
      <c r="CH183" s="684"/>
      <c r="CI183" s="684"/>
      <c r="CJ183" s="684"/>
      <c r="CK183" s="684"/>
      <c r="CL183" s="684"/>
      <c r="CM183" s="684"/>
      <c r="CN183" s="684"/>
      <c r="CO183" s="684"/>
      <c r="CP183" s="684"/>
      <c r="CQ183" s="684"/>
      <c r="CR183" s="684"/>
      <c r="CS183" s="684"/>
      <c r="CT183" s="684"/>
      <c r="CU183" s="684"/>
      <c r="CV183" s="684"/>
      <c r="CW183" s="684"/>
      <c r="CX183" s="684"/>
      <c r="CY183" s="684"/>
      <c r="CZ183" s="684"/>
      <c r="DA183" s="684"/>
      <c r="DB183" s="684"/>
      <c r="DC183" s="684"/>
    </row>
    <row r="184" spans="1:107" s="5" customFormat="1" ht="12.75" customHeight="1">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399"/>
      <c r="AP184" s="399"/>
      <c r="AQ184" s="94"/>
      <c r="AR184" s="94"/>
      <c r="AS184" s="94"/>
      <c r="AT184" s="94"/>
      <c r="AU184" s="94"/>
      <c r="AV184" s="98"/>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A184" s="684"/>
      <c r="CB184" s="684"/>
      <c r="CC184" s="684"/>
      <c r="CD184" s="684"/>
      <c r="CE184" s="684"/>
      <c r="CF184" s="684"/>
      <c r="CG184" s="684"/>
      <c r="CH184" s="684"/>
      <c r="CI184" s="684"/>
      <c r="CJ184" s="684"/>
      <c r="CK184" s="684"/>
      <c r="CL184" s="684"/>
      <c r="CM184" s="684"/>
      <c r="CN184" s="684"/>
      <c r="CO184" s="684"/>
      <c r="CP184" s="684"/>
      <c r="CQ184" s="684"/>
      <c r="CR184" s="684"/>
      <c r="CS184" s="684"/>
      <c r="CT184" s="684"/>
      <c r="CU184" s="684"/>
      <c r="CV184" s="684"/>
      <c r="CW184" s="684"/>
      <c r="CX184" s="684"/>
      <c r="CY184" s="684"/>
      <c r="CZ184" s="684"/>
      <c r="DA184" s="684"/>
      <c r="DB184" s="684"/>
      <c r="DC184" s="684"/>
    </row>
    <row r="185" spans="1:107" s="5" customFormat="1" ht="12.75" customHeight="1">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399"/>
      <c r="AP185" s="399"/>
      <c r="AQ185" s="94"/>
      <c r="AR185" s="94"/>
      <c r="AS185" s="94"/>
      <c r="AT185" s="94"/>
      <c r="AU185" s="94"/>
      <c r="AV185" s="98"/>
      <c r="AW185" s="94"/>
      <c r="AX185" s="94"/>
      <c r="AY185" s="94"/>
      <c r="AZ185" s="94"/>
      <c r="BA185" s="94"/>
      <c r="BB185" s="94"/>
      <c r="BC185" s="94"/>
      <c r="BD185" s="94"/>
      <c r="BE185" s="94"/>
      <c r="BF185" s="94"/>
      <c r="BG185" s="94"/>
      <c r="BH185" s="94"/>
      <c r="BI185" s="94"/>
      <c r="BJ185" s="94"/>
      <c r="BK185" s="94"/>
      <c r="BL185" s="94"/>
      <c r="BM185" s="94"/>
      <c r="BN185" s="94"/>
      <c r="BO185" s="94"/>
      <c r="BP185" s="94"/>
      <c r="BQ185" s="94"/>
      <c r="BR185" s="94"/>
      <c r="BS185" s="94"/>
      <c r="BT185" s="94"/>
      <c r="BU185" s="94"/>
      <c r="BV185" s="94"/>
      <c r="BW185" s="94"/>
      <c r="BX185" s="94"/>
      <c r="BY185" s="94"/>
      <c r="BZ185" s="94"/>
      <c r="CA185" s="684"/>
      <c r="CB185" s="684"/>
      <c r="CC185" s="684"/>
      <c r="CD185" s="684"/>
      <c r="CE185" s="684"/>
      <c r="CF185" s="684"/>
      <c r="CG185" s="684"/>
      <c r="CH185" s="684"/>
      <c r="CI185" s="684"/>
      <c r="CJ185" s="684"/>
      <c r="CK185" s="684"/>
      <c r="CL185" s="684"/>
      <c r="CM185" s="684"/>
      <c r="CN185" s="684"/>
      <c r="CO185" s="684"/>
      <c r="CP185" s="684"/>
      <c r="CQ185" s="684"/>
      <c r="CR185" s="684"/>
      <c r="CS185" s="684"/>
      <c r="CT185" s="684"/>
      <c r="CU185" s="684"/>
      <c r="CV185" s="684"/>
      <c r="CW185" s="684"/>
      <c r="CX185" s="684"/>
      <c r="CY185" s="684"/>
      <c r="CZ185" s="684"/>
      <c r="DA185" s="684"/>
      <c r="DB185" s="684"/>
      <c r="DC185" s="684"/>
    </row>
    <row r="186" spans="1:107" s="5" customFormat="1" ht="12.75" customHeight="1">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399"/>
      <c r="AP186" s="399"/>
      <c r="AQ186" s="94"/>
      <c r="AR186" s="94"/>
      <c r="AS186" s="94"/>
      <c r="AT186" s="94"/>
      <c r="AU186" s="94"/>
      <c r="AV186" s="98"/>
      <c r="AW186" s="94"/>
      <c r="AX186" s="94"/>
      <c r="AY186" s="94"/>
      <c r="AZ186" s="94"/>
      <c r="BA186" s="94"/>
      <c r="BB186" s="94"/>
      <c r="BC186" s="94"/>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684"/>
      <c r="CB186" s="684"/>
      <c r="CC186" s="684"/>
      <c r="CD186" s="684"/>
      <c r="CE186" s="684"/>
      <c r="CF186" s="684"/>
      <c r="CG186" s="684"/>
      <c r="CH186" s="684"/>
      <c r="CI186" s="684"/>
      <c r="CJ186" s="684"/>
      <c r="CK186" s="684"/>
      <c r="CL186" s="684"/>
      <c r="CM186" s="684"/>
      <c r="CN186" s="684"/>
      <c r="CO186" s="684"/>
      <c r="CP186" s="684"/>
      <c r="CQ186" s="684"/>
      <c r="CR186" s="684"/>
      <c r="CS186" s="684"/>
      <c r="CT186" s="684"/>
      <c r="CU186" s="684"/>
      <c r="CV186" s="684"/>
      <c r="CW186" s="684"/>
      <c r="CX186" s="684"/>
      <c r="CY186" s="684"/>
      <c r="CZ186" s="684"/>
      <c r="DA186" s="684"/>
      <c r="DB186" s="684"/>
      <c r="DC186" s="684"/>
    </row>
    <row r="187" spans="1:107" s="5" customFormat="1" ht="12.75" customHeight="1">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399"/>
      <c r="AP187" s="399"/>
      <c r="AQ187" s="94"/>
      <c r="AR187" s="94"/>
      <c r="AS187" s="94"/>
      <c r="AT187" s="94"/>
      <c r="AU187" s="94"/>
      <c r="AV187" s="98"/>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684"/>
      <c r="CB187" s="684"/>
      <c r="CC187" s="684"/>
      <c r="CD187" s="684"/>
      <c r="CE187" s="684"/>
      <c r="CF187" s="684"/>
      <c r="CG187" s="684"/>
      <c r="CH187" s="684"/>
      <c r="CI187" s="684"/>
      <c r="CJ187" s="684"/>
      <c r="CK187" s="684"/>
      <c r="CL187" s="684"/>
      <c r="CM187" s="684"/>
      <c r="CN187" s="684"/>
      <c r="CO187" s="684"/>
      <c r="CP187" s="684"/>
      <c r="CQ187" s="684"/>
      <c r="CR187" s="684"/>
      <c r="CS187" s="684"/>
      <c r="CT187" s="684"/>
      <c r="CU187" s="684"/>
      <c r="CV187" s="684"/>
      <c r="CW187" s="684"/>
      <c r="CX187" s="684"/>
      <c r="CY187" s="684"/>
      <c r="CZ187" s="684"/>
      <c r="DA187" s="684"/>
      <c r="DB187" s="684"/>
      <c r="DC187" s="684"/>
    </row>
    <row r="188" spans="1:107" s="5" customFormat="1" ht="12.75" customHeight="1">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399"/>
      <c r="AP188" s="399"/>
      <c r="AQ188" s="94"/>
      <c r="AR188" s="94"/>
      <c r="AS188" s="94"/>
      <c r="AT188" s="94"/>
      <c r="AU188" s="94"/>
      <c r="AV188" s="98"/>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684"/>
      <c r="CB188" s="684"/>
      <c r="CC188" s="684"/>
      <c r="CD188" s="684"/>
      <c r="CE188" s="684"/>
      <c r="CF188" s="684"/>
      <c r="CG188" s="684"/>
      <c r="CH188" s="684"/>
      <c r="CI188" s="684"/>
      <c r="CJ188" s="684"/>
      <c r="CK188" s="684"/>
      <c r="CL188" s="684"/>
      <c r="CM188" s="684"/>
      <c r="CN188" s="684"/>
      <c r="CO188" s="684"/>
      <c r="CP188" s="684"/>
      <c r="CQ188" s="684"/>
      <c r="CR188" s="684"/>
      <c r="CS188" s="684"/>
      <c r="CT188" s="684"/>
      <c r="CU188" s="684"/>
      <c r="CV188" s="684"/>
      <c r="CW188" s="684"/>
      <c r="CX188" s="684"/>
      <c r="CY188" s="684"/>
      <c r="CZ188" s="684"/>
      <c r="DA188" s="684"/>
      <c r="DB188" s="684"/>
      <c r="DC188" s="684"/>
    </row>
    <row r="189" spans="1:107" s="5" customFormat="1" ht="12.75" customHeight="1">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399"/>
      <c r="AP189" s="399"/>
      <c r="AQ189" s="94"/>
      <c r="AR189" s="94"/>
      <c r="AS189" s="94"/>
      <c r="AT189" s="94"/>
      <c r="AU189" s="94"/>
      <c r="AV189" s="98"/>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94"/>
      <c r="BU189" s="94"/>
      <c r="BV189" s="94"/>
      <c r="BW189" s="94"/>
      <c r="BX189" s="94"/>
      <c r="BY189" s="94"/>
      <c r="BZ189" s="94"/>
      <c r="CA189" s="684"/>
      <c r="CB189" s="684"/>
      <c r="CC189" s="684"/>
      <c r="CD189" s="684"/>
      <c r="CE189" s="684"/>
      <c r="CF189" s="684"/>
      <c r="CG189" s="684"/>
      <c r="CH189" s="684"/>
      <c r="CI189" s="684"/>
      <c r="CJ189" s="684"/>
      <c r="CK189" s="684"/>
      <c r="CL189" s="684"/>
      <c r="CM189" s="684"/>
      <c r="CN189" s="684"/>
      <c r="CO189" s="684"/>
      <c r="CP189" s="684"/>
      <c r="CQ189" s="684"/>
      <c r="CR189" s="684"/>
      <c r="CS189" s="684"/>
      <c r="CT189" s="684"/>
      <c r="CU189" s="684"/>
      <c r="CV189" s="684"/>
      <c r="CW189" s="684"/>
      <c r="CX189" s="684"/>
      <c r="CY189" s="684"/>
      <c r="CZ189" s="684"/>
      <c r="DA189" s="684"/>
      <c r="DB189" s="684"/>
      <c r="DC189" s="684"/>
    </row>
    <row r="190" spans="1:107" s="5" customFormat="1" ht="12.75" customHeight="1">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399"/>
      <c r="AP190" s="399"/>
      <c r="AQ190" s="94"/>
      <c r="AR190" s="94"/>
      <c r="AS190" s="94"/>
      <c r="AT190" s="94"/>
      <c r="AU190" s="94"/>
      <c r="AV190" s="98"/>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684"/>
      <c r="CB190" s="684"/>
      <c r="CC190" s="684"/>
      <c r="CD190" s="684"/>
      <c r="CE190" s="684"/>
      <c r="CF190" s="684"/>
      <c r="CG190" s="684"/>
      <c r="CH190" s="684"/>
      <c r="CI190" s="684"/>
      <c r="CJ190" s="684"/>
      <c r="CK190" s="684"/>
      <c r="CL190" s="684"/>
      <c r="CM190" s="684"/>
      <c r="CN190" s="684"/>
      <c r="CO190" s="684"/>
      <c r="CP190" s="684"/>
      <c r="CQ190" s="684"/>
      <c r="CR190" s="684"/>
      <c r="CS190" s="684"/>
      <c r="CT190" s="684"/>
      <c r="CU190" s="684"/>
      <c r="CV190" s="684"/>
      <c r="CW190" s="684"/>
      <c r="CX190" s="684"/>
      <c r="CY190" s="684"/>
      <c r="CZ190" s="684"/>
      <c r="DA190" s="684"/>
      <c r="DB190" s="684"/>
      <c r="DC190" s="684"/>
    </row>
    <row r="191" spans="1:107" s="5" customFormat="1" ht="12.75"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399"/>
      <c r="AP191" s="399"/>
      <c r="AQ191" s="94"/>
      <c r="AR191" s="94"/>
      <c r="AS191" s="94"/>
      <c r="AT191" s="94"/>
      <c r="AU191" s="94"/>
      <c r="AV191" s="98"/>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684"/>
      <c r="CB191" s="684"/>
      <c r="CC191" s="684"/>
      <c r="CD191" s="684"/>
      <c r="CE191" s="684"/>
      <c r="CF191" s="684"/>
      <c r="CG191" s="684"/>
      <c r="CH191" s="684"/>
      <c r="CI191" s="684"/>
      <c r="CJ191" s="684"/>
      <c r="CK191" s="684"/>
      <c r="CL191" s="684"/>
      <c r="CM191" s="684"/>
      <c r="CN191" s="684"/>
      <c r="CO191" s="684"/>
      <c r="CP191" s="684"/>
      <c r="CQ191" s="684"/>
      <c r="CR191" s="684"/>
      <c r="CS191" s="684"/>
      <c r="CT191" s="684"/>
      <c r="CU191" s="684"/>
      <c r="CV191" s="684"/>
      <c r="CW191" s="684"/>
      <c r="CX191" s="684"/>
      <c r="CY191" s="684"/>
      <c r="CZ191" s="684"/>
      <c r="DA191" s="684"/>
      <c r="DB191" s="684"/>
      <c r="DC191" s="684"/>
    </row>
    <row r="192" spans="1:107" s="5" customFormat="1" ht="12.75" customHeight="1">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399"/>
      <c r="AP192" s="399"/>
      <c r="AQ192" s="94"/>
      <c r="AR192" s="94"/>
      <c r="AS192" s="94"/>
      <c r="AT192" s="94"/>
      <c r="AU192" s="94"/>
      <c r="AV192" s="98"/>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684"/>
      <c r="CB192" s="684"/>
      <c r="CC192" s="684"/>
      <c r="CD192" s="684"/>
      <c r="CE192" s="684"/>
      <c r="CF192" s="684"/>
      <c r="CG192" s="684"/>
      <c r="CH192" s="684"/>
      <c r="CI192" s="684"/>
      <c r="CJ192" s="684"/>
      <c r="CK192" s="684"/>
      <c r="CL192" s="684"/>
      <c r="CM192" s="684"/>
      <c r="CN192" s="684"/>
      <c r="CO192" s="684"/>
      <c r="CP192" s="684"/>
      <c r="CQ192" s="684"/>
      <c r="CR192" s="684"/>
      <c r="CS192" s="684"/>
      <c r="CT192" s="684"/>
      <c r="CU192" s="684"/>
      <c r="CV192" s="684"/>
      <c r="CW192" s="684"/>
      <c r="CX192" s="684"/>
      <c r="CY192" s="684"/>
      <c r="CZ192" s="684"/>
      <c r="DA192" s="684"/>
      <c r="DB192" s="684"/>
      <c r="DC192" s="684"/>
    </row>
    <row r="193" spans="1:107" s="5" customFormat="1" ht="12.75" customHeight="1">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399"/>
      <c r="AP193" s="399"/>
      <c r="AQ193" s="94"/>
      <c r="AR193" s="94"/>
      <c r="AS193" s="94"/>
      <c r="AT193" s="94"/>
      <c r="AU193" s="94"/>
      <c r="AV193" s="98"/>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684"/>
      <c r="CB193" s="684"/>
      <c r="CC193" s="684"/>
      <c r="CD193" s="684"/>
      <c r="CE193" s="684"/>
      <c r="CF193" s="684"/>
      <c r="CG193" s="684"/>
      <c r="CH193" s="684"/>
      <c r="CI193" s="684"/>
      <c r="CJ193" s="684"/>
      <c r="CK193" s="684"/>
      <c r="CL193" s="684"/>
      <c r="CM193" s="684"/>
      <c r="CN193" s="684"/>
      <c r="CO193" s="684"/>
      <c r="CP193" s="684"/>
      <c r="CQ193" s="684"/>
      <c r="CR193" s="684"/>
      <c r="CS193" s="684"/>
      <c r="CT193" s="684"/>
      <c r="CU193" s="684"/>
      <c r="CV193" s="684"/>
      <c r="CW193" s="684"/>
      <c r="CX193" s="684"/>
      <c r="CY193" s="684"/>
      <c r="CZ193" s="684"/>
      <c r="DA193" s="684"/>
      <c r="DB193" s="684"/>
      <c r="DC193" s="684"/>
    </row>
    <row r="194" spans="1:107" s="5" customFormat="1" ht="12.75" customHeight="1">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399"/>
      <c r="AP194" s="399"/>
      <c r="AQ194" s="94"/>
      <c r="AR194" s="94"/>
      <c r="AS194" s="94"/>
      <c r="AT194" s="94"/>
      <c r="AU194" s="94"/>
      <c r="AV194" s="98"/>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684"/>
      <c r="CB194" s="684"/>
      <c r="CC194" s="684"/>
      <c r="CD194" s="684"/>
      <c r="CE194" s="684"/>
      <c r="CF194" s="684"/>
      <c r="CG194" s="684"/>
      <c r="CH194" s="684"/>
      <c r="CI194" s="684"/>
      <c r="CJ194" s="684"/>
      <c r="CK194" s="684"/>
      <c r="CL194" s="684"/>
      <c r="CM194" s="684"/>
      <c r="CN194" s="684"/>
      <c r="CO194" s="684"/>
      <c r="CP194" s="684"/>
      <c r="CQ194" s="684"/>
      <c r="CR194" s="684"/>
      <c r="CS194" s="684"/>
      <c r="CT194" s="684"/>
      <c r="CU194" s="684"/>
      <c r="CV194" s="684"/>
      <c r="CW194" s="684"/>
      <c r="CX194" s="684"/>
      <c r="CY194" s="684"/>
      <c r="CZ194" s="684"/>
      <c r="DA194" s="684"/>
      <c r="DB194" s="684"/>
      <c r="DC194" s="684"/>
    </row>
    <row r="195" spans="1:107" s="5" customFormat="1" ht="12.75"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399"/>
      <c r="AP195" s="399"/>
      <c r="AQ195" s="94"/>
      <c r="AR195" s="94"/>
      <c r="AS195" s="94"/>
      <c r="AT195" s="94"/>
      <c r="AU195" s="94"/>
      <c r="AV195" s="98"/>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684"/>
      <c r="CB195" s="684"/>
      <c r="CC195" s="684"/>
      <c r="CD195" s="684"/>
      <c r="CE195" s="684"/>
      <c r="CF195" s="684"/>
      <c r="CG195" s="684"/>
      <c r="CH195" s="684"/>
      <c r="CI195" s="684"/>
      <c r="CJ195" s="684"/>
      <c r="CK195" s="684"/>
      <c r="CL195" s="684"/>
      <c r="CM195" s="684"/>
      <c r="CN195" s="684"/>
      <c r="CO195" s="684"/>
      <c r="CP195" s="684"/>
      <c r="CQ195" s="684"/>
      <c r="CR195" s="684"/>
      <c r="CS195" s="684"/>
      <c r="CT195" s="684"/>
      <c r="CU195" s="684"/>
      <c r="CV195" s="684"/>
      <c r="CW195" s="684"/>
      <c r="CX195" s="684"/>
      <c r="CY195" s="684"/>
      <c r="CZ195" s="684"/>
      <c r="DA195" s="684"/>
      <c r="DB195" s="684"/>
      <c r="DC195" s="684"/>
    </row>
    <row r="196" spans="1:107" s="5" customFormat="1" ht="12.75" customHeight="1">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399"/>
      <c r="AP196" s="399"/>
      <c r="AQ196" s="94"/>
      <c r="AR196" s="94"/>
      <c r="AS196" s="94"/>
      <c r="AT196" s="94"/>
      <c r="AU196" s="94"/>
      <c r="AV196" s="98"/>
      <c r="AW196" s="94"/>
      <c r="AX196" s="94"/>
      <c r="AY196" s="94"/>
      <c r="AZ196" s="94"/>
      <c r="BA196" s="94"/>
      <c r="BB196" s="94"/>
      <c r="BC196" s="94"/>
      <c r="BD196" s="94"/>
      <c r="BE196" s="94"/>
      <c r="BF196" s="94"/>
      <c r="BG196" s="94"/>
      <c r="BH196" s="94"/>
      <c r="BI196" s="94"/>
      <c r="BJ196" s="94"/>
      <c r="BK196" s="94"/>
      <c r="BL196" s="94"/>
      <c r="BM196" s="94"/>
      <c r="BN196" s="94"/>
      <c r="BO196" s="94"/>
      <c r="BP196" s="94"/>
      <c r="BQ196" s="94"/>
      <c r="BR196" s="94"/>
      <c r="BS196" s="94"/>
      <c r="BT196" s="94"/>
      <c r="BU196" s="94"/>
      <c r="BV196" s="94"/>
      <c r="BW196" s="94"/>
      <c r="BX196" s="94"/>
      <c r="BY196" s="94"/>
      <c r="BZ196" s="94"/>
      <c r="CA196" s="684"/>
      <c r="CB196" s="684"/>
      <c r="CC196" s="684"/>
      <c r="CD196" s="684"/>
      <c r="CE196" s="684"/>
      <c r="CF196" s="684"/>
      <c r="CG196" s="684"/>
      <c r="CH196" s="684"/>
      <c r="CI196" s="684"/>
      <c r="CJ196" s="684"/>
      <c r="CK196" s="684"/>
      <c r="CL196" s="684"/>
      <c r="CM196" s="684"/>
      <c r="CN196" s="684"/>
      <c r="CO196" s="684"/>
      <c r="CP196" s="684"/>
      <c r="CQ196" s="684"/>
      <c r="CR196" s="684"/>
      <c r="CS196" s="684"/>
      <c r="CT196" s="684"/>
      <c r="CU196" s="684"/>
      <c r="CV196" s="684"/>
      <c r="CW196" s="684"/>
      <c r="CX196" s="684"/>
      <c r="CY196" s="684"/>
      <c r="CZ196" s="684"/>
      <c r="DA196" s="684"/>
      <c r="DB196" s="684"/>
      <c r="DC196" s="684"/>
    </row>
    <row r="197" spans="1:107" s="5" customFormat="1" ht="12.75" customHeight="1">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399"/>
      <c r="AP197" s="399"/>
      <c r="AQ197" s="94"/>
      <c r="AR197" s="94"/>
      <c r="AS197" s="94"/>
      <c r="AT197" s="94"/>
      <c r="AU197" s="94"/>
      <c r="AV197" s="98"/>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A197" s="684"/>
      <c r="CB197" s="684"/>
      <c r="CC197" s="684"/>
      <c r="CD197" s="684"/>
      <c r="CE197" s="684"/>
      <c r="CF197" s="684"/>
      <c r="CG197" s="684"/>
      <c r="CH197" s="684"/>
      <c r="CI197" s="684"/>
      <c r="CJ197" s="684"/>
      <c r="CK197" s="684"/>
      <c r="CL197" s="684"/>
      <c r="CM197" s="684"/>
      <c r="CN197" s="684"/>
      <c r="CO197" s="684"/>
      <c r="CP197" s="684"/>
      <c r="CQ197" s="684"/>
      <c r="CR197" s="684"/>
      <c r="CS197" s="684"/>
      <c r="CT197" s="684"/>
      <c r="CU197" s="684"/>
      <c r="CV197" s="684"/>
      <c r="CW197" s="684"/>
      <c r="CX197" s="684"/>
      <c r="CY197" s="684"/>
      <c r="CZ197" s="684"/>
      <c r="DA197" s="684"/>
      <c r="DB197" s="684"/>
      <c r="DC197" s="684"/>
    </row>
    <row r="198" spans="1:107" s="5" customFormat="1" ht="12.75"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399"/>
      <c r="AP198" s="399"/>
      <c r="AQ198" s="94"/>
      <c r="AR198" s="94"/>
      <c r="AS198" s="94"/>
      <c r="AT198" s="94"/>
      <c r="AU198" s="94"/>
      <c r="AV198" s="98"/>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684"/>
      <c r="CB198" s="684"/>
      <c r="CC198" s="684"/>
      <c r="CD198" s="684"/>
      <c r="CE198" s="684"/>
      <c r="CF198" s="684"/>
      <c r="CG198" s="684"/>
      <c r="CH198" s="684"/>
      <c r="CI198" s="684"/>
      <c r="CJ198" s="684"/>
      <c r="CK198" s="684"/>
      <c r="CL198" s="684"/>
      <c r="CM198" s="684"/>
      <c r="CN198" s="684"/>
      <c r="CO198" s="684"/>
      <c r="CP198" s="684"/>
      <c r="CQ198" s="684"/>
      <c r="CR198" s="684"/>
      <c r="CS198" s="684"/>
      <c r="CT198" s="684"/>
      <c r="CU198" s="684"/>
      <c r="CV198" s="684"/>
      <c r="CW198" s="684"/>
      <c r="CX198" s="684"/>
      <c r="CY198" s="684"/>
      <c r="CZ198" s="684"/>
      <c r="DA198" s="684"/>
      <c r="DB198" s="684"/>
      <c r="DC198" s="684"/>
    </row>
    <row r="199" spans="1:107" s="5" customFormat="1" ht="12.75" customHeight="1">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399"/>
      <c r="AP199" s="399"/>
      <c r="AQ199" s="94"/>
      <c r="AR199" s="94"/>
      <c r="AS199" s="94"/>
      <c r="AT199" s="94"/>
      <c r="AU199" s="94"/>
      <c r="AV199" s="98"/>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684"/>
      <c r="CB199" s="684"/>
      <c r="CC199" s="684"/>
      <c r="CD199" s="684"/>
      <c r="CE199" s="684"/>
      <c r="CF199" s="684"/>
      <c r="CG199" s="684"/>
      <c r="CH199" s="684"/>
      <c r="CI199" s="684"/>
      <c r="CJ199" s="684"/>
      <c r="CK199" s="684"/>
      <c r="CL199" s="684"/>
      <c r="CM199" s="684"/>
      <c r="CN199" s="684"/>
      <c r="CO199" s="684"/>
      <c r="CP199" s="684"/>
      <c r="CQ199" s="684"/>
      <c r="CR199" s="684"/>
      <c r="CS199" s="684"/>
      <c r="CT199" s="684"/>
      <c r="CU199" s="684"/>
      <c r="CV199" s="684"/>
      <c r="CW199" s="684"/>
      <c r="CX199" s="684"/>
      <c r="CY199" s="684"/>
      <c r="CZ199" s="684"/>
      <c r="DA199" s="684"/>
      <c r="DB199" s="684"/>
      <c r="DC199" s="684"/>
    </row>
    <row r="200" spans="1:107" s="5" customFormat="1" ht="12.75" customHeight="1">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399"/>
      <c r="AP200" s="399"/>
      <c r="AQ200" s="94"/>
      <c r="AR200" s="94"/>
      <c r="AS200" s="94"/>
      <c r="AT200" s="94"/>
      <c r="AU200" s="94"/>
      <c r="AV200" s="98"/>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684"/>
      <c r="CB200" s="684"/>
      <c r="CC200" s="684"/>
      <c r="CD200" s="684"/>
      <c r="CE200" s="684"/>
      <c r="CF200" s="684"/>
      <c r="CG200" s="684"/>
      <c r="CH200" s="684"/>
      <c r="CI200" s="684"/>
      <c r="CJ200" s="684"/>
      <c r="CK200" s="684"/>
      <c r="CL200" s="684"/>
      <c r="CM200" s="684"/>
      <c r="CN200" s="684"/>
      <c r="CO200" s="684"/>
      <c r="CP200" s="684"/>
      <c r="CQ200" s="684"/>
      <c r="CR200" s="684"/>
      <c r="CS200" s="684"/>
      <c r="CT200" s="684"/>
      <c r="CU200" s="684"/>
      <c r="CV200" s="684"/>
      <c r="CW200" s="684"/>
      <c r="CX200" s="684"/>
      <c r="CY200" s="684"/>
      <c r="CZ200" s="684"/>
      <c r="DA200" s="684"/>
      <c r="DB200" s="684"/>
      <c r="DC200" s="684"/>
    </row>
    <row r="201" spans="1:107" s="5" customFormat="1" ht="12.75"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399"/>
      <c r="AP201" s="399"/>
      <c r="AQ201" s="94"/>
      <c r="AR201" s="94"/>
      <c r="AS201" s="94"/>
      <c r="AT201" s="94"/>
      <c r="AU201" s="94"/>
      <c r="AV201" s="98"/>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684"/>
      <c r="CB201" s="684"/>
      <c r="CC201" s="684"/>
      <c r="CD201" s="684"/>
      <c r="CE201" s="684"/>
      <c r="CF201" s="684"/>
      <c r="CG201" s="684"/>
      <c r="CH201" s="684"/>
      <c r="CI201" s="684"/>
      <c r="CJ201" s="684"/>
      <c r="CK201" s="684"/>
      <c r="CL201" s="684"/>
      <c r="CM201" s="684"/>
      <c r="CN201" s="684"/>
      <c r="CO201" s="684"/>
      <c r="CP201" s="684"/>
      <c r="CQ201" s="684"/>
      <c r="CR201" s="684"/>
      <c r="CS201" s="684"/>
      <c r="CT201" s="684"/>
      <c r="CU201" s="684"/>
      <c r="CV201" s="684"/>
      <c r="CW201" s="684"/>
      <c r="CX201" s="684"/>
      <c r="CY201" s="684"/>
      <c r="CZ201" s="684"/>
      <c r="DA201" s="684"/>
      <c r="DB201" s="684"/>
      <c r="DC201" s="684"/>
    </row>
    <row r="202" spans="1:107" s="5" customFormat="1" ht="12.75" customHeight="1">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399"/>
      <c r="AP202" s="399"/>
      <c r="AQ202" s="94"/>
      <c r="AR202" s="94"/>
      <c r="AS202" s="94"/>
      <c r="AT202" s="94"/>
      <c r="AU202" s="94"/>
      <c r="AV202" s="98"/>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684"/>
      <c r="CB202" s="684"/>
      <c r="CC202" s="684"/>
      <c r="CD202" s="684"/>
      <c r="CE202" s="684"/>
      <c r="CF202" s="684"/>
      <c r="CG202" s="684"/>
      <c r="CH202" s="684"/>
      <c r="CI202" s="684"/>
      <c r="CJ202" s="684"/>
      <c r="CK202" s="684"/>
      <c r="CL202" s="684"/>
      <c r="CM202" s="684"/>
      <c r="CN202" s="684"/>
      <c r="CO202" s="684"/>
      <c r="CP202" s="684"/>
      <c r="CQ202" s="684"/>
      <c r="CR202" s="684"/>
      <c r="CS202" s="684"/>
      <c r="CT202" s="684"/>
      <c r="CU202" s="684"/>
      <c r="CV202" s="684"/>
      <c r="CW202" s="684"/>
      <c r="CX202" s="684"/>
      <c r="CY202" s="684"/>
      <c r="CZ202" s="684"/>
      <c r="DA202" s="684"/>
      <c r="DB202" s="684"/>
      <c r="DC202" s="684"/>
    </row>
    <row r="203" spans="1:107" s="5" customFormat="1" ht="12.75" customHeight="1">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399"/>
      <c r="AP203" s="399"/>
      <c r="AQ203" s="94"/>
      <c r="AR203" s="94"/>
      <c r="AS203" s="94"/>
      <c r="AT203" s="94"/>
      <c r="AU203" s="94"/>
      <c r="AV203" s="98"/>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684"/>
      <c r="CB203" s="684"/>
      <c r="CC203" s="684"/>
      <c r="CD203" s="684"/>
      <c r="CE203" s="684"/>
      <c r="CF203" s="684"/>
      <c r="CG203" s="684"/>
      <c r="CH203" s="684"/>
      <c r="CI203" s="684"/>
      <c r="CJ203" s="684"/>
      <c r="CK203" s="684"/>
      <c r="CL203" s="684"/>
      <c r="CM203" s="684"/>
      <c r="CN203" s="684"/>
      <c r="CO203" s="684"/>
      <c r="CP203" s="684"/>
      <c r="CQ203" s="684"/>
      <c r="CR203" s="684"/>
      <c r="CS203" s="684"/>
      <c r="CT203" s="684"/>
      <c r="CU203" s="684"/>
      <c r="CV203" s="684"/>
      <c r="CW203" s="684"/>
      <c r="CX203" s="684"/>
      <c r="CY203" s="684"/>
      <c r="CZ203" s="684"/>
      <c r="DA203" s="684"/>
      <c r="DB203" s="684"/>
      <c r="DC203" s="684"/>
    </row>
    <row r="204" spans="1:107" s="5" customFormat="1" ht="12.75"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399"/>
      <c r="AP204" s="399"/>
      <c r="AQ204" s="94"/>
      <c r="AR204" s="94"/>
      <c r="AS204" s="94"/>
      <c r="AT204" s="94"/>
      <c r="AU204" s="94"/>
      <c r="AV204" s="98"/>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684"/>
      <c r="CB204" s="684"/>
      <c r="CC204" s="684"/>
      <c r="CD204" s="684"/>
      <c r="CE204" s="684"/>
      <c r="CF204" s="684"/>
      <c r="CG204" s="684"/>
      <c r="CH204" s="684"/>
      <c r="CI204" s="684"/>
      <c r="CJ204" s="684"/>
      <c r="CK204" s="684"/>
      <c r="CL204" s="684"/>
      <c r="CM204" s="684"/>
      <c r="CN204" s="684"/>
      <c r="CO204" s="684"/>
      <c r="CP204" s="684"/>
      <c r="CQ204" s="684"/>
      <c r="CR204" s="684"/>
      <c r="CS204" s="684"/>
      <c r="CT204" s="684"/>
      <c r="CU204" s="684"/>
      <c r="CV204" s="684"/>
      <c r="CW204" s="684"/>
      <c r="CX204" s="684"/>
      <c r="CY204" s="684"/>
      <c r="CZ204" s="684"/>
      <c r="DA204" s="684"/>
      <c r="DB204" s="684"/>
      <c r="DC204" s="684"/>
    </row>
    <row r="205" spans="1:107" s="5" customFormat="1" ht="12.75" customHeight="1">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399"/>
      <c r="AP205" s="399"/>
      <c r="AQ205" s="94"/>
      <c r="AR205" s="94"/>
      <c r="AS205" s="94"/>
      <c r="AT205" s="94"/>
      <c r="AU205" s="94"/>
      <c r="AV205" s="98"/>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684"/>
      <c r="CB205" s="684"/>
      <c r="CC205" s="684"/>
      <c r="CD205" s="684"/>
      <c r="CE205" s="684"/>
      <c r="CF205" s="684"/>
      <c r="CG205" s="684"/>
      <c r="CH205" s="684"/>
      <c r="CI205" s="684"/>
      <c r="CJ205" s="684"/>
      <c r="CK205" s="684"/>
      <c r="CL205" s="684"/>
      <c r="CM205" s="684"/>
      <c r="CN205" s="684"/>
      <c r="CO205" s="684"/>
      <c r="CP205" s="684"/>
      <c r="CQ205" s="684"/>
      <c r="CR205" s="684"/>
      <c r="CS205" s="684"/>
      <c r="CT205" s="684"/>
      <c r="CU205" s="684"/>
      <c r="CV205" s="684"/>
      <c r="CW205" s="684"/>
      <c r="CX205" s="684"/>
      <c r="CY205" s="684"/>
      <c r="CZ205" s="684"/>
      <c r="DA205" s="684"/>
      <c r="DB205" s="684"/>
      <c r="DC205" s="684"/>
    </row>
    <row r="206" spans="1:107" s="5" customFormat="1" ht="12.75" customHeight="1">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399"/>
      <c r="AP206" s="399"/>
      <c r="AQ206" s="94"/>
      <c r="AR206" s="94"/>
      <c r="AS206" s="94"/>
      <c r="AT206" s="94"/>
      <c r="AU206" s="94"/>
      <c r="AV206" s="98"/>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94"/>
      <c r="BU206" s="94"/>
      <c r="BV206" s="94"/>
      <c r="BW206" s="94"/>
      <c r="BX206" s="94"/>
      <c r="BY206" s="94"/>
      <c r="BZ206" s="94"/>
      <c r="CA206" s="684"/>
      <c r="CB206" s="684"/>
      <c r="CC206" s="684"/>
      <c r="CD206" s="684"/>
      <c r="CE206" s="684"/>
      <c r="CF206" s="684"/>
      <c r="CG206" s="684"/>
      <c r="CH206" s="684"/>
      <c r="CI206" s="684"/>
      <c r="CJ206" s="684"/>
      <c r="CK206" s="684"/>
      <c r="CL206" s="684"/>
      <c r="CM206" s="684"/>
      <c r="CN206" s="684"/>
      <c r="CO206" s="684"/>
      <c r="CP206" s="684"/>
      <c r="CQ206" s="684"/>
      <c r="CR206" s="684"/>
      <c r="CS206" s="684"/>
      <c r="CT206" s="684"/>
      <c r="CU206" s="684"/>
      <c r="CV206" s="684"/>
      <c r="CW206" s="684"/>
      <c r="CX206" s="684"/>
      <c r="CY206" s="684"/>
      <c r="CZ206" s="684"/>
      <c r="DA206" s="684"/>
      <c r="DB206" s="684"/>
      <c r="DC206" s="684"/>
    </row>
    <row r="207" spans="1:107" s="5" customFormat="1" ht="12.75"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399"/>
      <c r="AP207" s="399"/>
      <c r="AQ207" s="94"/>
      <c r="AR207" s="94"/>
      <c r="AS207" s="94"/>
      <c r="AT207" s="94"/>
      <c r="AU207" s="94"/>
      <c r="AV207" s="98"/>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A207" s="684"/>
      <c r="CB207" s="684"/>
      <c r="CC207" s="684"/>
      <c r="CD207" s="684"/>
      <c r="CE207" s="684"/>
      <c r="CF207" s="684"/>
      <c r="CG207" s="684"/>
      <c r="CH207" s="684"/>
      <c r="CI207" s="684"/>
      <c r="CJ207" s="684"/>
      <c r="CK207" s="684"/>
      <c r="CL207" s="684"/>
      <c r="CM207" s="684"/>
      <c r="CN207" s="684"/>
      <c r="CO207" s="684"/>
      <c r="CP207" s="684"/>
      <c r="CQ207" s="684"/>
      <c r="CR207" s="684"/>
      <c r="CS207" s="684"/>
      <c r="CT207" s="684"/>
      <c r="CU207" s="684"/>
      <c r="CV207" s="684"/>
      <c r="CW207" s="684"/>
      <c r="CX207" s="684"/>
      <c r="CY207" s="684"/>
      <c r="CZ207" s="684"/>
      <c r="DA207" s="684"/>
      <c r="DB207" s="684"/>
      <c r="DC207" s="684"/>
    </row>
    <row r="208" spans="1:107" s="5" customFormat="1" ht="12.75" customHeight="1">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399"/>
      <c r="AP208" s="399"/>
      <c r="AQ208" s="94"/>
      <c r="AR208" s="94"/>
      <c r="AS208" s="94"/>
      <c r="AT208" s="94"/>
      <c r="AU208" s="94"/>
      <c r="AV208" s="98"/>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684"/>
      <c r="CB208" s="684"/>
      <c r="CC208" s="684"/>
      <c r="CD208" s="684"/>
      <c r="CE208" s="684"/>
      <c r="CF208" s="684"/>
      <c r="CG208" s="684"/>
      <c r="CH208" s="684"/>
      <c r="CI208" s="684"/>
      <c r="CJ208" s="684"/>
      <c r="CK208" s="684"/>
      <c r="CL208" s="684"/>
      <c r="CM208" s="684"/>
      <c r="CN208" s="684"/>
      <c r="CO208" s="684"/>
      <c r="CP208" s="684"/>
      <c r="CQ208" s="684"/>
      <c r="CR208" s="684"/>
      <c r="CS208" s="684"/>
      <c r="CT208" s="684"/>
      <c r="CU208" s="684"/>
      <c r="CV208" s="684"/>
      <c r="CW208" s="684"/>
      <c r="CX208" s="684"/>
      <c r="CY208" s="684"/>
      <c r="CZ208" s="684"/>
      <c r="DA208" s="684"/>
      <c r="DB208" s="684"/>
      <c r="DC208" s="684"/>
    </row>
    <row r="209" spans="1:107" s="5" customFormat="1" ht="12.75" customHeight="1">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399"/>
      <c r="AP209" s="399"/>
      <c r="AQ209" s="94"/>
      <c r="AR209" s="94"/>
      <c r="AS209" s="94"/>
      <c r="AT209" s="94"/>
      <c r="AU209" s="94"/>
      <c r="AV209" s="98"/>
      <c r="AW209" s="94"/>
      <c r="AX209" s="94"/>
      <c r="AY209" s="94"/>
      <c r="AZ209" s="94"/>
      <c r="BA209" s="94"/>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684"/>
      <c r="CB209" s="684"/>
      <c r="CC209" s="684"/>
      <c r="CD209" s="684"/>
      <c r="CE209" s="684"/>
      <c r="CF209" s="684"/>
      <c r="CG209" s="684"/>
      <c r="CH209" s="684"/>
      <c r="CI209" s="684"/>
      <c r="CJ209" s="684"/>
      <c r="CK209" s="684"/>
      <c r="CL209" s="684"/>
      <c r="CM209" s="684"/>
      <c r="CN209" s="684"/>
      <c r="CO209" s="684"/>
      <c r="CP209" s="684"/>
      <c r="CQ209" s="684"/>
      <c r="CR209" s="684"/>
      <c r="CS209" s="684"/>
      <c r="CT209" s="684"/>
      <c r="CU209" s="684"/>
      <c r="CV209" s="684"/>
      <c r="CW209" s="684"/>
      <c r="CX209" s="684"/>
      <c r="CY209" s="684"/>
      <c r="CZ209" s="684"/>
      <c r="DA209" s="684"/>
      <c r="DB209" s="684"/>
      <c r="DC209" s="684"/>
    </row>
    <row r="210" spans="1:107" s="5" customFormat="1" ht="12.75" customHeight="1">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399"/>
      <c r="AP210" s="399"/>
      <c r="AQ210" s="94"/>
      <c r="AR210" s="94"/>
      <c r="AS210" s="94"/>
      <c r="AT210" s="94"/>
      <c r="AU210" s="94"/>
      <c r="AV210" s="98"/>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c r="CA210" s="684"/>
      <c r="CB210" s="684"/>
      <c r="CC210" s="684"/>
      <c r="CD210" s="684"/>
      <c r="CE210" s="684"/>
      <c r="CF210" s="684"/>
      <c r="CG210" s="684"/>
      <c r="CH210" s="684"/>
      <c r="CI210" s="684"/>
      <c r="CJ210" s="684"/>
      <c r="CK210" s="684"/>
      <c r="CL210" s="684"/>
      <c r="CM210" s="684"/>
      <c r="CN210" s="684"/>
      <c r="CO210" s="684"/>
      <c r="CP210" s="684"/>
      <c r="CQ210" s="684"/>
      <c r="CR210" s="684"/>
      <c r="CS210" s="684"/>
      <c r="CT210" s="684"/>
      <c r="CU210" s="684"/>
      <c r="CV210" s="684"/>
      <c r="CW210" s="684"/>
      <c r="CX210" s="684"/>
      <c r="CY210" s="684"/>
      <c r="CZ210" s="684"/>
      <c r="DA210" s="684"/>
      <c r="DB210" s="684"/>
      <c r="DC210" s="684"/>
    </row>
    <row r="211" spans="1:107" s="5" customFormat="1" ht="12.75" customHeight="1">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399"/>
      <c r="AP211" s="399"/>
      <c r="AQ211" s="94"/>
      <c r="AR211" s="94"/>
      <c r="AS211" s="94"/>
      <c r="AT211" s="94"/>
      <c r="AU211" s="94"/>
      <c r="AV211" s="98"/>
      <c r="AW211" s="94"/>
      <c r="AX211" s="94"/>
      <c r="AY211" s="94"/>
      <c r="AZ211" s="94"/>
      <c r="BA211" s="94"/>
      <c r="BB211" s="94"/>
      <c r="BC211" s="94"/>
      <c r="BD211" s="94"/>
      <c r="BE211" s="94"/>
      <c r="BF211" s="94"/>
      <c r="BG211" s="94"/>
      <c r="BH211" s="94"/>
      <c r="BI211" s="94"/>
      <c r="BJ211" s="94"/>
      <c r="BK211" s="94"/>
      <c r="BL211" s="94"/>
      <c r="BM211" s="94"/>
      <c r="BN211" s="94"/>
      <c r="BO211" s="94"/>
      <c r="BP211" s="94"/>
      <c r="BQ211" s="94"/>
      <c r="BR211" s="94"/>
      <c r="BS211" s="94"/>
      <c r="BT211" s="94"/>
      <c r="BU211" s="94"/>
      <c r="BV211" s="94"/>
      <c r="BW211" s="94"/>
      <c r="BX211" s="94"/>
      <c r="BY211" s="94"/>
      <c r="BZ211" s="94"/>
      <c r="CA211" s="684"/>
      <c r="CB211" s="684"/>
      <c r="CC211" s="684"/>
      <c r="CD211" s="684"/>
      <c r="CE211" s="684"/>
      <c r="CF211" s="684"/>
      <c r="CG211" s="684"/>
      <c r="CH211" s="684"/>
      <c r="CI211" s="684"/>
      <c r="CJ211" s="684"/>
      <c r="CK211" s="684"/>
      <c r="CL211" s="684"/>
      <c r="CM211" s="684"/>
      <c r="CN211" s="684"/>
      <c r="CO211" s="684"/>
      <c r="CP211" s="684"/>
      <c r="CQ211" s="684"/>
      <c r="CR211" s="684"/>
      <c r="CS211" s="684"/>
      <c r="CT211" s="684"/>
      <c r="CU211" s="684"/>
      <c r="CV211" s="684"/>
      <c r="CW211" s="684"/>
      <c r="CX211" s="684"/>
      <c r="CY211" s="684"/>
      <c r="CZ211" s="684"/>
      <c r="DA211" s="684"/>
      <c r="DB211" s="684"/>
      <c r="DC211" s="684"/>
    </row>
    <row r="212" spans="1:107" s="5" customFormat="1" ht="12.75" customHeight="1">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399"/>
      <c r="AP212" s="399"/>
      <c r="AQ212" s="94"/>
      <c r="AR212" s="94"/>
      <c r="AS212" s="94"/>
      <c r="AT212" s="94"/>
      <c r="AU212" s="94"/>
      <c r="AV212" s="98"/>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684"/>
      <c r="CB212" s="684"/>
      <c r="CC212" s="684"/>
      <c r="CD212" s="684"/>
      <c r="CE212" s="684"/>
      <c r="CF212" s="684"/>
      <c r="CG212" s="684"/>
      <c r="CH212" s="684"/>
      <c r="CI212" s="684"/>
      <c r="CJ212" s="684"/>
      <c r="CK212" s="684"/>
      <c r="CL212" s="684"/>
      <c r="CM212" s="684"/>
      <c r="CN212" s="684"/>
      <c r="CO212" s="684"/>
      <c r="CP212" s="684"/>
      <c r="CQ212" s="684"/>
      <c r="CR212" s="684"/>
      <c r="CS212" s="684"/>
      <c r="CT212" s="684"/>
      <c r="CU212" s="684"/>
      <c r="CV212" s="684"/>
      <c r="CW212" s="684"/>
      <c r="CX212" s="684"/>
      <c r="CY212" s="684"/>
      <c r="CZ212" s="684"/>
      <c r="DA212" s="684"/>
      <c r="DB212" s="684"/>
      <c r="DC212" s="684"/>
    </row>
    <row r="213" spans="1:107" s="5" customFormat="1" ht="12.75" customHeight="1">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399"/>
      <c r="AP213" s="399"/>
      <c r="AQ213" s="94"/>
      <c r="AR213" s="94"/>
      <c r="AS213" s="94"/>
      <c r="AT213" s="94"/>
      <c r="AU213" s="94"/>
      <c r="AV213" s="98"/>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684"/>
      <c r="CB213" s="684"/>
      <c r="CC213" s="684"/>
      <c r="CD213" s="684"/>
      <c r="CE213" s="684"/>
      <c r="CF213" s="684"/>
      <c r="CG213" s="684"/>
      <c r="CH213" s="684"/>
      <c r="CI213" s="684"/>
      <c r="CJ213" s="684"/>
      <c r="CK213" s="684"/>
      <c r="CL213" s="684"/>
      <c r="CM213" s="684"/>
      <c r="CN213" s="684"/>
      <c r="CO213" s="684"/>
      <c r="CP213" s="684"/>
      <c r="CQ213" s="684"/>
      <c r="CR213" s="684"/>
      <c r="CS213" s="684"/>
      <c r="CT213" s="684"/>
      <c r="CU213" s="684"/>
      <c r="CV213" s="684"/>
      <c r="CW213" s="684"/>
      <c r="CX213" s="684"/>
      <c r="CY213" s="684"/>
      <c r="CZ213" s="684"/>
      <c r="DA213" s="684"/>
      <c r="DB213" s="684"/>
      <c r="DC213" s="684"/>
    </row>
    <row r="214" spans="1:107" s="5" customFormat="1" ht="12.75" customHeight="1">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399"/>
      <c r="AP214" s="399"/>
      <c r="AQ214" s="94"/>
      <c r="AR214" s="94"/>
      <c r="AS214" s="94"/>
      <c r="AT214" s="94"/>
      <c r="AU214" s="94"/>
      <c r="AV214" s="98"/>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684"/>
      <c r="CB214" s="684"/>
      <c r="CC214" s="684"/>
      <c r="CD214" s="684"/>
      <c r="CE214" s="684"/>
      <c r="CF214" s="684"/>
      <c r="CG214" s="684"/>
      <c r="CH214" s="684"/>
      <c r="CI214" s="684"/>
      <c r="CJ214" s="684"/>
      <c r="CK214" s="684"/>
      <c r="CL214" s="684"/>
      <c r="CM214" s="684"/>
      <c r="CN214" s="684"/>
      <c r="CO214" s="684"/>
      <c r="CP214" s="684"/>
      <c r="CQ214" s="684"/>
      <c r="CR214" s="684"/>
      <c r="CS214" s="684"/>
      <c r="CT214" s="684"/>
      <c r="CU214" s="684"/>
      <c r="CV214" s="684"/>
      <c r="CW214" s="684"/>
      <c r="CX214" s="684"/>
      <c r="CY214" s="684"/>
      <c r="CZ214" s="684"/>
      <c r="DA214" s="684"/>
      <c r="DB214" s="684"/>
      <c r="DC214" s="684"/>
    </row>
    <row r="215" spans="1:107" s="5" customFormat="1" ht="13.5" customHeight="1">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8"/>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684"/>
      <c r="CB215" s="684"/>
      <c r="CC215" s="684"/>
      <c r="CD215" s="684"/>
      <c r="CE215" s="684"/>
      <c r="CF215" s="684"/>
      <c r="CG215" s="684"/>
      <c r="CH215" s="684"/>
      <c r="CI215" s="684"/>
      <c r="CJ215" s="684"/>
      <c r="CK215" s="684"/>
      <c r="CL215" s="684"/>
      <c r="CM215" s="684"/>
      <c r="CN215" s="684"/>
      <c r="CO215" s="684"/>
      <c r="CP215" s="684"/>
      <c r="CQ215" s="684"/>
      <c r="CR215" s="684"/>
      <c r="CS215" s="684"/>
      <c r="CT215" s="684"/>
      <c r="CU215" s="684"/>
      <c r="CV215" s="684"/>
      <c r="CW215" s="684"/>
      <c r="CX215" s="684"/>
      <c r="CY215" s="684"/>
      <c r="CZ215" s="684"/>
      <c r="DA215" s="684"/>
      <c r="DB215" s="684"/>
      <c r="DC215" s="684"/>
    </row>
    <row r="216" spans="1:107" s="5" customFormat="1" ht="20.25">
      <c r="A216" s="1"/>
      <c r="B216" s="16" t="str">
        <f>IF(B1="","",B1)</f>
        <v>Multifamily (5 units or more per building)</v>
      </c>
      <c r="C216" s="16"/>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7" t="s">
        <v>102</v>
      </c>
      <c r="AJ216" s="1"/>
      <c r="AK216" s="94"/>
      <c r="AL216" s="98"/>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684"/>
      <c r="CB216" s="684"/>
      <c r="CC216" s="684"/>
      <c r="CD216" s="684"/>
      <c r="CE216" s="684"/>
      <c r="CF216" s="684"/>
      <c r="CG216" s="684"/>
      <c r="CH216" s="684"/>
      <c r="CI216" s="684"/>
      <c r="CJ216" s="684"/>
      <c r="CK216" s="684"/>
      <c r="CL216" s="684"/>
      <c r="CM216" s="684"/>
      <c r="CN216" s="684"/>
      <c r="CO216" s="684"/>
      <c r="CP216" s="684"/>
      <c r="CQ216" s="684"/>
      <c r="CR216" s="684"/>
      <c r="CS216" s="684"/>
      <c r="CT216" s="684"/>
      <c r="CU216" s="684"/>
      <c r="CV216" s="684"/>
      <c r="CW216" s="684"/>
      <c r="CX216" s="684"/>
      <c r="CY216" s="684"/>
      <c r="CZ216" s="684"/>
      <c r="DA216" s="684"/>
      <c r="DB216" s="684"/>
      <c r="DC216" s="684"/>
    </row>
    <row r="217" spans="1:107" s="5" customFormat="1" ht="18">
      <c r="A217" s="1"/>
      <c r="B217" s="18" t="str">
        <f t="shared" ref="B217:Q242" si="31">IF(B2="","",B2)</f>
        <v>Energy Efficiency Incentives</v>
      </c>
      <c r="C217" s="18"/>
      <c r="D217" s="3"/>
      <c r="E217" s="3"/>
      <c r="F217" s="3"/>
      <c r="G217" s="3"/>
      <c r="H217" s="3"/>
      <c r="I217" s="3"/>
      <c r="J217" s="3"/>
      <c r="K217" s="3"/>
      <c r="L217" s="3"/>
      <c r="M217" s="3"/>
      <c r="N217" s="3"/>
      <c r="O217" s="3"/>
      <c r="P217" s="3"/>
      <c r="Q217" s="3"/>
      <c r="R217" s="3"/>
      <c r="S217" s="3"/>
      <c r="T217" s="3"/>
      <c r="U217" s="3"/>
      <c r="V217" s="3"/>
      <c r="W217" s="3"/>
      <c r="X217" s="3"/>
      <c r="Y217" s="1"/>
      <c r="Z217" s="1"/>
      <c r="AA217" s="1"/>
      <c r="AB217" s="1"/>
      <c r="AC217" s="1"/>
      <c r="AD217" s="1"/>
      <c r="AE217" s="1"/>
      <c r="AF217" s="1"/>
      <c r="AG217" s="1"/>
      <c r="AH217" s="1"/>
      <c r="AI217" s="141" t="str">
        <f>AI1</f>
        <v>Effective November 1, 2023</v>
      </c>
      <c r="AJ217" s="1"/>
      <c r="AK217" s="94"/>
      <c r="AL217" s="98"/>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684"/>
      <c r="CB217" s="684"/>
      <c r="CC217" s="684"/>
      <c r="CD217" s="684"/>
      <c r="CE217" s="684"/>
      <c r="CF217" s="684"/>
      <c r="CG217" s="684"/>
      <c r="CH217" s="684"/>
      <c r="CI217" s="684"/>
      <c r="CJ217" s="684"/>
      <c r="CK217" s="684"/>
      <c r="CL217" s="684"/>
      <c r="CM217" s="684"/>
      <c r="CN217" s="684"/>
      <c r="CO217" s="684"/>
      <c r="CP217" s="684"/>
      <c r="CQ217" s="684"/>
      <c r="CR217" s="684"/>
      <c r="CS217" s="684"/>
      <c r="CT217" s="684"/>
      <c r="CU217" s="684"/>
      <c r="CV217" s="684"/>
      <c r="CW217" s="684"/>
      <c r="CX217" s="684"/>
      <c r="CY217" s="684"/>
      <c r="CZ217" s="684"/>
      <c r="DA217" s="684"/>
      <c r="DB217" s="684"/>
      <c r="DC217" s="684"/>
    </row>
    <row r="218" spans="1:107" s="5" customFormat="1" ht="18">
      <c r="A218" s="1"/>
      <c r="B218" s="67" t="str">
        <f t="shared" si="31"/>
        <v>New Construction and Major Renovation Worksheet</v>
      </c>
      <c r="C218" s="18"/>
      <c r="D218" s="3"/>
      <c r="E218" s="3"/>
      <c r="F218" s="3"/>
      <c r="G218" s="3"/>
      <c r="H218" s="3"/>
      <c r="I218" s="3"/>
      <c r="J218" s="3"/>
      <c r="K218" s="3"/>
      <c r="L218" s="3"/>
      <c r="M218" s="3"/>
      <c r="N218" s="3"/>
      <c r="O218" s="3"/>
      <c r="P218" s="3"/>
      <c r="Q218" s="3"/>
      <c r="R218" s="3"/>
      <c r="S218" s="3"/>
      <c r="T218" s="3"/>
      <c r="U218" s="3"/>
      <c r="V218" s="3"/>
      <c r="W218" s="3"/>
      <c r="X218" s="3"/>
      <c r="Y218" s="3"/>
      <c r="Z218" s="1"/>
      <c r="AA218" s="1"/>
      <c r="AB218" s="1"/>
      <c r="AC218" s="1"/>
      <c r="AD218" s="1"/>
      <c r="AE218" s="1"/>
      <c r="AF218" s="1"/>
      <c r="AG218" s="1"/>
      <c r="AH218" s="1"/>
      <c r="AI218" s="1"/>
      <c r="AJ218" s="1"/>
      <c r="AK218" s="94"/>
      <c r="AL218" s="98"/>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684"/>
      <c r="CB218" s="684"/>
      <c r="CC218" s="684"/>
      <c r="CD218" s="684"/>
      <c r="CE218" s="684"/>
      <c r="CF218" s="684"/>
      <c r="CG218" s="684"/>
      <c r="CH218" s="684"/>
      <c r="CI218" s="684"/>
      <c r="CJ218" s="684"/>
      <c r="CK218" s="684"/>
      <c r="CL218" s="684"/>
      <c r="CM218" s="684"/>
      <c r="CN218" s="684"/>
      <c r="CO218" s="684"/>
      <c r="CP218" s="684"/>
      <c r="CQ218" s="684"/>
      <c r="CR218" s="684"/>
      <c r="CS218" s="684"/>
      <c r="CT218" s="684"/>
      <c r="CU218" s="684"/>
      <c r="CV218" s="684"/>
      <c r="CW218" s="684"/>
      <c r="CX218" s="684"/>
      <c r="CY218" s="684"/>
      <c r="CZ218" s="684"/>
      <c r="DA218" s="684"/>
      <c r="DB218" s="684"/>
      <c r="DC218" s="684"/>
    </row>
    <row r="219" spans="1:107" s="5" customFormat="1" ht="15.75">
      <c r="A219" s="1"/>
      <c r="B219" s="80" t="str">
        <f t="shared" si="31"/>
        <v>For new buildings, expansions, additions, major renovations or changes in space usage type projects</v>
      </c>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1"/>
      <c r="AA219" s="1"/>
      <c r="AB219" s="1"/>
      <c r="AC219" s="1"/>
      <c r="AD219" s="1"/>
      <c r="AE219" s="1"/>
      <c r="AF219" s="1"/>
      <c r="AG219" s="1"/>
      <c r="AH219" s="1"/>
      <c r="AI219" s="1"/>
      <c r="AJ219" s="1"/>
      <c r="AK219" s="94"/>
      <c r="AL219" s="98"/>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684"/>
      <c r="CB219" s="684"/>
      <c r="CC219" s="684"/>
      <c r="CD219" s="684"/>
      <c r="CE219" s="684"/>
      <c r="CF219" s="684"/>
      <c r="CG219" s="684"/>
      <c r="CH219" s="684"/>
      <c r="CI219" s="684"/>
      <c r="CJ219" s="684"/>
      <c r="CK219" s="684"/>
      <c r="CL219" s="684"/>
      <c r="CM219" s="684"/>
      <c r="CN219" s="684"/>
      <c r="CO219" s="684"/>
      <c r="CP219" s="684"/>
      <c r="CQ219" s="684"/>
      <c r="CR219" s="684"/>
      <c r="CS219" s="684"/>
      <c r="CT219" s="684"/>
      <c r="CU219" s="684"/>
      <c r="CV219" s="684"/>
      <c r="CW219" s="684"/>
      <c r="CX219" s="684"/>
      <c r="CY219" s="684"/>
      <c r="CZ219" s="684"/>
      <c r="DA219" s="684"/>
      <c r="DB219" s="684"/>
      <c r="DC219" s="684"/>
    </row>
    <row r="220" spans="1:107" s="5" customFormat="1" ht="12.75" customHeight="1">
      <c r="A220" s="1"/>
      <c r="B220" s="9" t="str">
        <f t="shared" si="31"/>
        <v>For question regarding this worksheet, please contact Idaho Power by emailing multifamily@idahopower.com</v>
      </c>
      <c r="C220" s="1"/>
      <c r="D220" s="1"/>
      <c r="E220" s="4"/>
      <c r="F220" s="4"/>
      <c r="G220" s="4"/>
      <c r="H220" s="4"/>
      <c r="I220" s="4"/>
      <c r="J220" s="4"/>
      <c r="K220" s="4"/>
      <c r="L220" s="4"/>
      <c r="M220" s="4"/>
      <c r="N220" s="4"/>
      <c r="O220" s="4"/>
      <c r="P220" s="4"/>
      <c r="Q220" s="4"/>
      <c r="R220" s="1"/>
      <c r="S220" s="1"/>
      <c r="T220" s="1"/>
      <c r="U220" s="1"/>
      <c r="V220" s="1"/>
      <c r="W220" s="1"/>
      <c r="X220" s="1"/>
      <c r="Y220" s="142"/>
      <c r="Z220" s="1"/>
      <c r="AA220" s="1"/>
      <c r="AB220" s="1"/>
      <c r="AC220" s="1"/>
      <c r="AD220" s="1"/>
      <c r="AE220" s="1"/>
      <c r="AF220" s="1"/>
      <c r="AG220" s="1"/>
      <c r="AH220" s="1"/>
      <c r="AI220" s="232"/>
      <c r="AJ220" s="1"/>
      <c r="AK220" s="94"/>
      <c r="AL220" s="98"/>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684"/>
      <c r="CB220" s="684"/>
      <c r="CC220" s="684"/>
      <c r="CD220" s="684"/>
      <c r="CE220" s="684"/>
      <c r="CF220" s="684"/>
      <c r="CG220" s="684"/>
      <c r="CH220" s="684"/>
      <c r="CI220" s="684"/>
      <c r="CJ220" s="684"/>
      <c r="CK220" s="684"/>
      <c r="CL220" s="684"/>
      <c r="CM220" s="684"/>
      <c r="CN220" s="684"/>
      <c r="CO220" s="684"/>
      <c r="CP220" s="684"/>
      <c r="CQ220" s="684"/>
      <c r="CR220" s="684"/>
      <c r="CS220" s="684"/>
      <c r="CT220" s="684"/>
      <c r="CU220" s="684"/>
      <c r="CV220" s="684"/>
      <c r="CW220" s="684"/>
      <c r="CX220" s="684"/>
      <c r="CY220" s="684"/>
      <c r="CZ220" s="684"/>
      <c r="DA220" s="684"/>
      <c r="DB220" s="684"/>
      <c r="DC220" s="684"/>
    </row>
    <row r="221" spans="1:107" s="5" customFormat="1" ht="19.149999999999999" customHeight="1">
      <c r="A221" s="1"/>
      <c r="B221" s="18" t="str">
        <f t="shared" si="31"/>
        <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1"/>
      <c r="AK221" s="94"/>
      <c r="AL221" s="98"/>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684"/>
      <c r="CB221" s="684"/>
      <c r="CC221" s="684"/>
      <c r="CD221" s="684"/>
      <c r="CE221" s="684"/>
      <c r="CF221" s="684"/>
      <c r="CG221" s="684"/>
      <c r="CH221" s="684"/>
      <c r="CI221" s="684"/>
      <c r="CJ221" s="684"/>
      <c r="CK221" s="684"/>
      <c r="CL221" s="684"/>
      <c r="CM221" s="684"/>
      <c r="CN221" s="684"/>
      <c r="CO221" s="684"/>
      <c r="CP221" s="684"/>
      <c r="CQ221" s="684"/>
      <c r="CR221" s="684"/>
      <c r="CS221" s="684"/>
      <c r="CT221" s="684"/>
      <c r="CU221" s="684"/>
      <c r="CV221" s="684"/>
      <c r="CW221" s="684"/>
      <c r="CX221" s="684"/>
      <c r="CY221" s="684"/>
      <c r="CZ221" s="684"/>
      <c r="DA221" s="684"/>
      <c r="DB221" s="684"/>
      <c r="DC221" s="684"/>
    </row>
    <row r="222" spans="1:107" s="5" customFormat="1" ht="12.75" customHeight="1">
      <c r="A222" s="1"/>
      <c r="B222" s="625" t="str">
        <f t="shared" si="31"/>
        <v>Dwelling Unit Energy Efficiency Incentives for New Construction and Major Renovations</v>
      </c>
      <c r="C222" s="527"/>
      <c r="D222" s="527"/>
      <c r="E222" s="527"/>
      <c r="F222" s="527"/>
      <c r="G222" s="527"/>
      <c r="H222" s="527"/>
      <c r="I222" s="527"/>
      <c r="J222" s="527"/>
      <c r="K222" s="527"/>
      <c r="L222" s="527"/>
      <c r="M222" s="527"/>
      <c r="N222" s="527"/>
      <c r="O222" s="527"/>
      <c r="P222" s="527"/>
      <c r="Q222" s="527"/>
      <c r="R222" s="527"/>
      <c r="S222" s="527"/>
      <c r="T222" s="527"/>
      <c r="U222" s="527"/>
      <c r="V222" s="527"/>
      <c r="W222" s="527"/>
      <c r="X222" s="527"/>
      <c r="Y222" s="527"/>
      <c r="Z222" s="527"/>
      <c r="AA222" s="527"/>
      <c r="AB222" s="527"/>
      <c r="AC222" s="527"/>
      <c r="AD222" s="527"/>
      <c r="AE222" s="527"/>
      <c r="AF222" s="528"/>
      <c r="AG222" s="528"/>
      <c r="AH222" s="528"/>
      <c r="AI222" s="528"/>
      <c r="AJ222" s="1"/>
      <c r="AK222" s="94"/>
      <c r="AL222" s="98"/>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684"/>
      <c r="CB222" s="684"/>
      <c r="CC222" s="684"/>
      <c r="CD222" s="684"/>
      <c r="CE222" s="684"/>
      <c r="CF222" s="684"/>
      <c r="CG222" s="684"/>
      <c r="CH222" s="684"/>
      <c r="CI222" s="684"/>
      <c r="CJ222" s="684"/>
      <c r="CK222" s="684"/>
      <c r="CL222" s="684"/>
      <c r="CM222" s="684"/>
      <c r="CN222" s="684"/>
      <c r="CO222" s="684"/>
      <c r="CP222" s="684"/>
      <c r="CQ222" s="684"/>
      <c r="CR222" s="684"/>
      <c r="CS222" s="684"/>
      <c r="CT222" s="684"/>
      <c r="CU222" s="684"/>
      <c r="CV222" s="684"/>
      <c r="CW222" s="684"/>
      <c r="CX222" s="684"/>
      <c r="CY222" s="684"/>
      <c r="CZ222" s="684"/>
      <c r="DA222" s="684"/>
      <c r="DB222" s="684"/>
      <c r="DC222" s="684"/>
    </row>
    <row r="223" spans="1:107" s="5" customFormat="1" ht="12.75" customHeight="1">
      <c r="A223" s="1"/>
      <c r="B223" s="9" t="str">
        <f t="shared" si="31"/>
        <v/>
      </c>
      <c r="C223" s="9" t="str">
        <f t="shared" si="31"/>
        <v/>
      </c>
      <c r="D223" s="9" t="str">
        <f t="shared" si="31"/>
        <v/>
      </c>
      <c r="E223" s="9" t="str">
        <f t="shared" si="31"/>
        <v/>
      </c>
      <c r="F223" s="9" t="str">
        <f t="shared" si="31"/>
        <v/>
      </c>
      <c r="G223" s="9" t="str">
        <f t="shared" si="31"/>
        <v/>
      </c>
      <c r="H223" s="9" t="str">
        <f t="shared" si="31"/>
        <v/>
      </c>
      <c r="I223" s="9" t="str">
        <f t="shared" si="31"/>
        <v/>
      </c>
      <c r="J223" s="9" t="str">
        <f t="shared" si="31"/>
        <v/>
      </c>
      <c r="K223" s="9" t="str">
        <f t="shared" si="31"/>
        <v/>
      </c>
      <c r="L223" s="9" t="str">
        <f t="shared" si="31"/>
        <v/>
      </c>
      <c r="M223" s="9" t="str">
        <f t="shared" si="31"/>
        <v/>
      </c>
      <c r="N223" s="9" t="str">
        <f t="shared" si="31"/>
        <v/>
      </c>
      <c r="O223" s="9" t="str">
        <f t="shared" si="31"/>
        <v/>
      </c>
      <c r="P223" s="9" t="str">
        <f t="shared" si="31"/>
        <v/>
      </c>
      <c r="Q223" s="9" t="str">
        <f t="shared" si="31"/>
        <v/>
      </c>
      <c r="R223" s="9" t="str">
        <f t="shared" ref="C223:AI231" si="32">IF(R8="","",R8)</f>
        <v/>
      </c>
      <c r="S223" s="9" t="str">
        <f t="shared" si="32"/>
        <v/>
      </c>
      <c r="T223" s="9" t="str">
        <f t="shared" si="32"/>
        <v/>
      </c>
      <c r="U223" s="9" t="str">
        <f t="shared" si="32"/>
        <v/>
      </c>
      <c r="V223" s="9" t="str">
        <f t="shared" si="32"/>
        <v/>
      </c>
      <c r="W223" s="9" t="str">
        <f t="shared" si="32"/>
        <v/>
      </c>
      <c r="X223" s="9" t="str">
        <f t="shared" si="32"/>
        <v/>
      </c>
      <c r="Y223" s="9" t="str">
        <f t="shared" si="32"/>
        <v/>
      </c>
      <c r="Z223" s="9" t="str">
        <f t="shared" si="32"/>
        <v/>
      </c>
      <c r="AA223" s="9" t="str">
        <f t="shared" si="32"/>
        <v/>
      </c>
      <c r="AB223" s="9" t="str">
        <f t="shared" si="32"/>
        <v/>
      </c>
      <c r="AC223" s="9" t="str">
        <f t="shared" si="32"/>
        <v/>
      </c>
      <c r="AD223" s="9" t="str">
        <f t="shared" si="32"/>
        <v/>
      </c>
      <c r="AE223" s="9" t="str">
        <f t="shared" si="32"/>
        <v/>
      </c>
      <c r="AF223" s="9" t="str">
        <f t="shared" si="32"/>
        <v/>
      </c>
      <c r="AG223" s="9" t="str">
        <f t="shared" si="32"/>
        <v/>
      </c>
      <c r="AH223" s="9" t="str">
        <f t="shared" si="32"/>
        <v/>
      </c>
      <c r="AI223" s="9" t="str">
        <f t="shared" si="32"/>
        <v/>
      </c>
      <c r="AJ223" s="1"/>
      <c r="AK223" s="94"/>
      <c r="AL223" s="98"/>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684"/>
      <c r="CB223" s="684"/>
      <c r="CC223" s="684"/>
      <c r="CD223" s="684"/>
      <c r="CE223" s="684"/>
      <c r="CF223" s="684"/>
      <c r="CG223" s="684"/>
      <c r="CH223" s="684"/>
      <c r="CI223" s="684"/>
      <c r="CJ223" s="684"/>
      <c r="CK223" s="684"/>
      <c r="CL223" s="684"/>
      <c r="CM223" s="684"/>
      <c r="CN223" s="684"/>
      <c r="CO223" s="684"/>
      <c r="CP223" s="684"/>
      <c r="CQ223" s="684"/>
      <c r="CR223" s="684"/>
      <c r="CS223" s="684"/>
      <c r="CT223" s="684"/>
      <c r="CU223" s="684"/>
      <c r="CV223" s="684"/>
      <c r="CW223" s="684"/>
      <c r="CX223" s="684"/>
      <c r="CY223" s="684"/>
      <c r="CZ223" s="684"/>
      <c r="DA223" s="684"/>
      <c r="DB223" s="684"/>
      <c r="DC223" s="684"/>
    </row>
    <row r="224" spans="1:107" s="5" customFormat="1" ht="12.75" customHeight="1">
      <c r="A224" s="1"/>
      <c r="B224" s="240" t="str">
        <f t="shared" si="31"/>
        <v/>
      </c>
      <c r="C224" s="241" t="str">
        <f t="shared" si="32"/>
        <v/>
      </c>
      <c r="D224" s="241" t="str">
        <f t="shared" si="32"/>
        <v/>
      </c>
      <c r="E224" s="241" t="str">
        <f t="shared" si="32"/>
        <v/>
      </c>
      <c r="F224" s="241" t="str">
        <f t="shared" si="32"/>
        <v/>
      </c>
      <c r="G224" s="241" t="str">
        <f t="shared" si="32"/>
        <v/>
      </c>
      <c r="H224" s="241" t="str">
        <f t="shared" si="32"/>
        <v/>
      </c>
      <c r="I224" s="241" t="str">
        <f t="shared" si="32"/>
        <v/>
      </c>
      <c r="J224" s="241" t="str">
        <f t="shared" si="32"/>
        <v/>
      </c>
      <c r="K224" s="241" t="str">
        <f t="shared" si="32"/>
        <v/>
      </c>
      <c r="L224" s="241" t="str">
        <f t="shared" si="32"/>
        <v/>
      </c>
      <c r="M224" s="241" t="str">
        <f t="shared" si="32"/>
        <v/>
      </c>
      <c r="N224" s="241" t="str">
        <f t="shared" si="32"/>
        <v/>
      </c>
      <c r="O224" s="241" t="str">
        <f t="shared" si="32"/>
        <v/>
      </c>
      <c r="P224" s="241" t="str">
        <f t="shared" si="32"/>
        <v/>
      </c>
      <c r="Q224" s="241" t="str">
        <f t="shared" si="32"/>
        <v/>
      </c>
      <c r="R224" s="241" t="str">
        <f t="shared" si="32"/>
        <v/>
      </c>
      <c r="S224" s="241" t="str">
        <f t="shared" si="32"/>
        <v/>
      </c>
      <c r="T224" s="241" t="str">
        <f t="shared" si="32"/>
        <v/>
      </c>
      <c r="U224" s="241" t="str">
        <f t="shared" si="32"/>
        <v/>
      </c>
      <c r="V224" s="241" t="str">
        <f t="shared" si="32"/>
        <v/>
      </c>
      <c r="W224" s="241" t="str">
        <f t="shared" si="32"/>
        <v/>
      </c>
      <c r="X224" s="241" t="str">
        <f t="shared" si="32"/>
        <v/>
      </c>
      <c r="Y224" s="241" t="str">
        <f t="shared" si="32"/>
        <v/>
      </c>
      <c r="Z224" s="241" t="str">
        <f t="shared" si="32"/>
        <v/>
      </c>
      <c r="AA224" s="241" t="str">
        <f t="shared" si="32"/>
        <v/>
      </c>
      <c r="AB224" s="241" t="str">
        <f t="shared" si="32"/>
        <v/>
      </c>
      <c r="AC224" s="241" t="str">
        <f t="shared" si="32"/>
        <v/>
      </c>
      <c r="AD224" s="241" t="str">
        <f t="shared" si="32"/>
        <v/>
      </c>
      <c r="AE224" s="241" t="str">
        <f t="shared" si="32"/>
        <v/>
      </c>
      <c r="AF224" s="241" t="str">
        <f t="shared" si="32"/>
        <v>Incentive</v>
      </c>
      <c r="AG224" s="241"/>
      <c r="AH224" s="241"/>
      <c r="AI224" s="242"/>
      <c r="AJ224" s="1"/>
      <c r="AK224" s="94"/>
      <c r="AL224" s="98"/>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684"/>
      <c r="CB224" s="684"/>
      <c r="CC224" s="684"/>
      <c r="CD224" s="684"/>
      <c r="CE224" s="684"/>
      <c r="CF224" s="684"/>
      <c r="CG224" s="684"/>
      <c r="CH224" s="684"/>
      <c r="CI224" s="684"/>
      <c r="CJ224" s="684"/>
      <c r="CK224" s="684"/>
      <c r="CL224" s="684"/>
      <c r="CM224" s="684"/>
      <c r="CN224" s="684"/>
      <c r="CO224" s="684"/>
      <c r="CP224" s="684"/>
      <c r="CQ224" s="684"/>
      <c r="CR224" s="684"/>
      <c r="CS224" s="684"/>
      <c r="CT224" s="684"/>
      <c r="CU224" s="684"/>
      <c r="CV224" s="684"/>
      <c r="CW224" s="684"/>
      <c r="CX224" s="684"/>
      <c r="CY224" s="684"/>
      <c r="CZ224" s="684"/>
      <c r="DA224" s="684"/>
      <c r="DB224" s="684"/>
      <c r="DC224" s="684"/>
    </row>
    <row r="225" spans="1:107" s="5" customFormat="1" ht="12.75" customHeight="1">
      <c r="A225" s="1"/>
      <c r="B225" s="253" t="str">
        <f t="shared" si="31"/>
        <v/>
      </c>
      <c r="C225" s="9" t="str">
        <f t="shared" si="32"/>
        <v xml:space="preserve"> MF1 - Ductless Mini-Split Heat Pump</v>
      </c>
      <c r="D225" s="9"/>
      <c r="E225" s="9"/>
      <c r="F225" s="9"/>
      <c r="G225" s="9"/>
      <c r="H225" s="9"/>
      <c r="I225" s="9"/>
      <c r="J225" s="9"/>
      <c r="K225" s="848" t="str">
        <f t="shared" si="32"/>
        <v>Complete NC HVAC Worksheet</v>
      </c>
      <c r="L225" s="848"/>
      <c r="M225" s="848"/>
      <c r="N225" s="848"/>
      <c r="O225" s="848"/>
      <c r="P225" s="848"/>
      <c r="Q225" s="848"/>
      <c r="R225" s="9"/>
      <c r="S225" s="9"/>
      <c r="T225" s="9"/>
      <c r="U225" s="9"/>
      <c r="V225" s="9"/>
      <c r="W225" s="9"/>
      <c r="X225" s="9"/>
      <c r="Y225" s="9"/>
      <c r="Z225" s="9"/>
      <c r="AA225" s="9"/>
      <c r="AB225" s="9"/>
      <c r="AC225" s="9"/>
      <c r="AD225" s="623" t="str">
        <f t="shared" si="32"/>
        <v>x $125 per ton=</v>
      </c>
      <c r="AE225" s="9" t="str">
        <f t="shared" si="32"/>
        <v>$</v>
      </c>
      <c r="AF225" s="846" t="str">
        <f>IF(AF10="","",AF10)</f>
        <v/>
      </c>
      <c r="AG225" s="846"/>
      <c r="AH225" s="846"/>
      <c r="AI225" s="633" t="str">
        <f t="shared" si="32"/>
        <v/>
      </c>
      <c r="AJ225" s="1"/>
      <c r="AK225" s="94"/>
      <c r="AL225" s="98"/>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684"/>
      <c r="CB225" s="684"/>
      <c r="CC225" s="684"/>
      <c r="CD225" s="684"/>
      <c r="CE225" s="684"/>
      <c r="CF225" s="684"/>
      <c r="CG225" s="684"/>
      <c r="CH225" s="684"/>
      <c r="CI225" s="684"/>
      <c r="CJ225" s="684"/>
      <c r="CK225" s="684"/>
      <c r="CL225" s="684"/>
      <c r="CM225" s="684"/>
      <c r="CN225" s="684"/>
      <c r="CO225" s="684"/>
      <c r="CP225" s="684"/>
      <c r="CQ225" s="684"/>
      <c r="CR225" s="684"/>
      <c r="CS225" s="684"/>
      <c r="CT225" s="684"/>
      <c r="CU225" s="684"/>
      <c r="CV225" s="684"/>
      <c r="CW225" s="684"/>
      <c r="CX225" s="684"/>
      <c r="CY225" s="684"/>
      <c r="CZ225" s="684"/>
      <c r="DA225" s="684"/>
      <c r="DB225" s="684"/>
      <c r="DC225" s="684"/>
    </row>
    <row r="226" spans="1:107" s="5" customFormat="1" ht="12.75" customHeight="1">
      <c r="A226" s="1"/>
      <c r="B226" s="253" t="str">
        <f t="shared" si="31"/>
        <v/>
      </c>
      <c r="C226" s="9" t="str">
        <f t="shared" si="32"/>
        <v xml:space="preserve"> MF2 - Air Source Heat Pump</v>
      </c>
      <c r="D226" s="9"/>
      <c r="E226" s="9"/>
      <c r="F226" s="9"/>
      <c r="G226" s="9"/>
      <c r="H226" s="9"/>
      <c r="I226" s="9"/>
      <c r="J226" s="9"/>
      <c r="K226" s="848" t="str">
        <f t="shared" ref="K226:K228" si="33">IF(K11="","",K11)</f>
        <v>Complete NC HVAC Worksheet</v>
      </c>
      <c r="L226" s="848"/>
      <c r="M226" s="848"/>
      <c r="N226" s="848"/>
      <c r="O226" s="848"/>
      <c r="P226" s="848"/>
      <c r="Q226" s="848"/>
      <c r="R226" s="9"/>
      <c r="S226" s="9"/>
      <c r="T226" s="9"/>
      <c r="U226" s="9"/>
      <c r="V226" s="9"/>
      <c r="W226" s="9"/>
      <c r="X226" s="9"/>
      <c r="Y226" s="9"/>
      <c r="Z226" s="9"/>
      <c r="AA226" s="9"/>
      <c r="AB226" s="9"/>
      <c r="AC226" s="9"/>
      <c r="AD226" s="623" t="str">
        <f t="shared" si="32"/>
        <v>x $75 to $125 per ton=</v>
      </c>
      <c r="AE226" s="9" t="str">
        <f t="shared" si="32"/>
        <v>$</v>
      </c>
      <c r="AF226" s="846" t="str">
        <f t="shared" ref="AF226:AF239" si="34">IF(AF11="","",AF11)</f>
        <v/>
      </c>
      <c r="AG226" s="846"/>
      <c r="AH226" s="846"/>
      <c r="AI226" s="633" t="str">
        <f t="shared" si="32"/>
        <v/>
      </c>
      <c r="AJ226" s="1"/>
      <c r="AK226" s="94"/>
      <c r="AL226" s="98"/>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684"/>
      <c r="CB226" s="684"/>
      <c r="CC226" s="684"/>
      <c r="CD226" s="684"/>
      <c r="CE226" s="684"/>
      <c r="CF226" s="684"/>
      <c r="CG226" s="684"/>
      <c r="CH226" s="684"/>
      <c r="CI226" s="684"/>
      <c r="CJ226" s="684"/>
      <c r="CK226" s="684"/>
      <c r="CL226" s="684"/>
      <c r="CM226" s="684"/>
      <c r="CN226" s="684"/>
      <c r="CO226" s="684"/>
      <c r="CP226" s="684"/>
      <c r="CQ226" s="684"/>
      <c r="CR226" s="684"/>
      <c r="CS226" s="684"/>
      <c r="CT226" s="684"/>
      <c r="CU226" s="684"/>
      <c r="CV226" s="684"/>
      <c r="CW226" s="684"/>
      <c r="CX226" s="684"/>
      <c r="CY226" s="684"/>
      <c r="CZ226" s="684"/>
      <c r="DA226" s="684"/>
      <c r="DB226" s="684"/>
      <c r="DC226" s="684"/>
    </row>
    <row r="227" spans="1:107" s="5" customFormat="1" ht="12.75" customHeight="1">
      <c r="A227" s="1"/>
      <c r="B227" s="253" t="str">
        <f t="shared" si="31"/>
        <v/>
      </c>
      <c r="C227" s="9" t="str">
        <f t="shared" si="32"/>
        <v xml:space="preserve"> MF3a - Package Terminal Air Conditioners</v>
      </c>
      <c r="D227" s="9"/>
      <c r="E227" s="9"/>
      <c r="F227" s="9"/>
      <c r="G227" s="9"/>
      <c r="H227" s="9"/>
      <c r="I227" s="9"/>
      <c r="J227" s="9"/>
      <c r="K227" s="848" t="str">
        <f t="shared" si="33"/>
        <v>Complete NC HVAC Worksheet</v>
      </c>
      <c r="L227" s="848"/>
      <c r="M227" s="848"/>
      <c r="N227" s="848"/>
      <c r="O227" s="848"/>
      <c r="P227" s="848"/>
      <c r="Q227" s="848"/>
      <c r="R227" s="9"/>
      <c r="S227" s="9"/>
      <c r="T227" s="9"/>
      <c r="U227" s="9"/>
      <c r="V227" s="9"/>
      <c r="W227" s="9"/>
      <c r="X227" s="9"/>
      <c r="Y227" s="9"/>
      <c r="Z227" s="9"/>
      <c r="AA227" s="9"/>
      <c r="AB227" s="9"/>
      <c r="AC227" s="9"/>
      <c r="AD227" s="623" t="str">
        <f t="shared" si="32"/>
        <v>x $25 or $50 per ton=</v>
      </c>
      <c r="AE227" s="9" t="str">
        <f t="shared" si="32"/>
        <v>$</v>
      </c>
      <c r="AF227" s="846" t="str">
        <f t="shared" si="34"/>
        <v/>
      </c>
      <c r="AG227" s="846"/>
      <c r="AH227" s="846"/>
      <c r="AI227" s="633" t="str">
        <f t="shared" si="32"/>
        <v/>
      </c>
      <c r="AJ227" s="1"/>
      <c r="AK227" s="94"/>
      <c r="AL227" s="98"/>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684"/>
      <c r="CB227" s="684"/>
      <c r="CC227" s="684"/>
      <c r="CD227" s="684"/>
      <c r="CE227" s="684"/>
      <c r="CF227" s="684"/>
      <c r="CG227" s="684"/>
      <c r="CH227" s="684"/>
      <c r="CI227" s="684"/>
      <c r="CJ227" s="684"/>
      <c r="CK227" s="684"/>
      <c r="CL227" s="684"/>
      <c r="CM227" s="684"/>
      <c r="CN227" s="684"/>
      <c r="CO227" s="684"/>
      <c r="CP227" s="684"/>
      <c r="CQ227" s="684"/>
      <c r="CR227" s="684"/>
      <c r="CS227" s="684"/>
      <c r="CT227" s="684"/>
      <c r="CU227" s="684"/>
      <c r="CV227" s="684"/>
      <c r="CW227" s="684"/>
      <c r="CX227" s="684"/>
      <c r="CY227" s="684"/>
      <c r="CZ227" s="684"/>
      <c r="DA227" s="684"/>
      <c r="DB227" s="684"/>
      <c r="DC227" s="684"/>
    </row>
    <row r="228" spans="1:107" s="5" customFormat="1" ht="12.75" customHeight="1">
      <c r="A228" s="1"/>
      <c r="B228" s="253" t="str">
        <f t="shared" si="31"/>
        <v/>
      </c>
      <c r="C228" s="9" t="str">
        <f t="shared" si="32"/>
        <v xml:space="preserve"> MF3b - Package Terminal Heat Pump</v>
      </c>
      <c r="D228" s="9"/>
      <c r="E228" s="9"/>
      <c r="F228" s="9"/>
      <c r="G228" s="9"/>
      <c r="H228" s="9"/>
      <c r="I228" s="9"/>
      <c r="J228" s="9"/>
      <c r="K228" s="848" t="str">
        <f t="shared" si="33"/>
        <v>Complete NC HVAC Worksheet</v>
      </c>
      <c r="L228" s="848"/>
      <c r="M228" s="848"/>
      <c r="N228" s="848"/>
      <c r="O228" s="848"/>
      <c r="P228" s="848"/>
      <c r="Q228" s="848"/>
      <c r="R228" s="9"/>
      <c r="S228" s="9"/>
      <c r="T228" s="9"/>
      <c r="U228" s="9"/>
      <c r="V228" s="9"/>
      <c r="W228" s="9"/>
      <c r="X228" s="9"/>
      <c r="Y228" s="9"/>
      <c r="Z228" s="9"/>
      <c r="AA228" s="9"/>
      <c r="AB228" s="9"/>
      <c r="AC228" s="9"/>
      <c r="AD228" s="623" t="str">
        <f t="shared" si="32"/>
        <v>x $75 or $100 per ton=</v>
      </c>
      <c r="AE228" s="9" t="str">
        <f t="shared" si="32"/>
        <v>$</v>
      </c>
      <c r="AF228" s="846" t="str">
        <f t="shared" si="34"/>
        <v/>
      </c>
      <c r="AG228" s="846"/>
      <c r="AH228" s="846"/>
      <c r="AI228" s="633" t="str">
        <f t="shared" si="32"/>
        <v/>
      </c>
      <c r="AJ228" s="1"/>
      <c r="AK228" s="94"/>
      <c r="AL228" s="98"/>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684"/>
      <c r="CB228" s="684"/>
      <c r="CC228" s="684"/>
      <c r="CD228" s="684"/>
      <c r="CE228" s="684"/>
      <c r="CF228" s="684"/>
      <c r="CG228" s="684"/>
      <c r="CH228" s="684"/>
      <c r="CI228" s="684"/>
      <c r="CJ228" s="684"/>
      <c r="CK228" s="684"/>
      <c r="CL228" s="684"/>
      <c r="CM228" s="684"/>
      <c r="CN228" s="684"/>
      <c r="CO228" s="684"/>
      <c r="CP228" s="684"/>
      <c r="CQ228" s="684"/>
      <c r="CR228" s="684"/>
      <c r="CS228" s="684"/>
      <c r="CT228" s="684"/>
      <c r="CU228" s="684"/>
      <c r="CV228" s="684"/>
      <c r="CW228" s="684"/>
      <c r="CX228" s="684"/>
      <c r="CY228" s="684"/>
      <c r="CZ228" s="684"/>
      <c r="DA228" s="684"/>
      <c r="DB228" s="684"/>
      <c r="DC228" s="684"/>
    </row>
    <row r="229" spans="1:107" s="5" customFormat="1" ht="12.75" customHeight="1">
      <c r="A229" s="1"/>
      <c r="B229" s="253" t="str">
        <f t="shared" si="31"/>
        <v/>
      </c>
      <c r="C229" s="9" t="str">
        <f t="shared" si="32"/>
        <v xml:space="preserve"> MF4 - ENERGY STAR Continuous Exhaust Fan</v>
      </c>
      <c r="D229" s="9"/>
      <c r="E229" s="9"/>
      <c r="F229" s="9"/>
      <c r="G229" s="9"/>
      <c r="H229" s="9"/>
      <c r="I229" s="9"/>
      <c r="J229" s="9"/>
      <c r="K229" s="9"/>
      <c r="L229" s="9"/>
      <c r="M229" s="9"/>
      <c r="N229" s="9" t="str">
        <f t="shared" si="32"/>
        <v>Qty:</v>
      </c>
      <c r="O229" s="844" t="str">
        <f t="shared" si="32"/>
        <v/>
      </c>
      <c r="P229" s="845"/>
      <c r="Q229" s="9" t="str">
        <f t="shared" si="32"/>
        <v>Single Speed Fans</v>
      </c>
      <c r="R229" s="9"/>
      <c r="S229" s="9"/>
      <c r="T229" s="9"/>
      <c r="U229" s="9"/>
      <c r="V229" s="623" t="str">
        <f t="shared" si="32"/>
        <v>Qty:</v>
      </c>
      <c r="W229" s="844" t="str">
        <f t="shared" si="32"/>
        <v/>
      </c>
      <c r="X229" s="845"/>
      <c r="Y229" s="9" t="str">
        <f t="shared" si="32"/>
        <v>Two Speed Fans</v>
      </c>
      <c r="Z229" s="9"/>
      <c r="AA229" s="9"/>
      <c r="AB229" s="9"/>
      <c r="AC229" s="9"/>
      <c r="AD229" s="623" t="str">
        <f t="shared" si="32"/>
        <v>x $25 per fan=</v>
      </c>
      <c r="AE229" s="9" t="str">
        <f t="shared" si="32"/>
        <v>$</v>
      </c>
      <c r="AF229" s="846" t="str">
        <f t="shared" si="34"/>
        <v/>
      </c>
      <c r="AG229" s="846"/>
      <c r="AH229" s="846"/>
      <c r="AI229" s="633" t="str">
        <f t="shared" si="32"/>
        <v/>
      </c>
      <c r="AJ229" s="1"/>
      <c r="AK229" s="94"/>
      <c r="AL229" s="98"/>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684"/>
      <c r="CB229" s="684"/>
      <c r="CC229" s="684"/>
      <c r="CD229" s="684"/>
      <c r="CE229" s="684"/>
      <c r="CF229" s="684"/>
      <c r="CG229" s="684"/>
      <c r="CH229" s="684"/>
      <c r="CI229" s="684"/>
      <c r="CJ229" s="684"/>
      <c r="CK229" s="684"/>
      <c r="CL229" s="684"/>
      <c r="CM229" s="684"/>
      <c r="CN229" s="684"/>
      <c r="CO229" s="684"/>
      <c r="CP229" s="684"/>
      <c r="CQ229" s="684"/>
      <c r="CR229" s="684"/>
      <c r="CS229" s="684"/>
      <c r="CT229" s="684"/>
      <c r="CU229" s="684"/>
      <c r="CV229" s="684"/>
      <c r="CW229" s="684"/>
      <c r="CX229" s="684"/>
      <c r="CY229" s="684"/>
      <c r="CZ229" s="684"/>
      <c r="DA229" s="684"/>
      <c r="DB229" s="684"/>
      <c r="DC229" s="684"/>
    </row>
    <row r="230" spans="1:107" s="5" customFormat="1" ht="12.75" customHeight="1">
      <c r="A230" s="1"/>
      <c r="B230" s="253" t="str">
        <f t="shared" si="31"/>
        <v/>
      </c>
      <c r="C230" s="9" t="str">
        <f t="shared" si="32"/>
        <v xml:space="preserve"> MF5 - ENERGY STAR Most Efficient Manual Exhaust Fan</v>
      </c>
      <c r="D230" s="9"/>
      <c r="E230" s="9"/>
      <c r="F230" s="9"/>
      <c r="G230" s="9"/>
      <c r="H230" s="9"/>
      <c r="I230" s="9"/>
      <c r="J230" s="9"/>
      <c r="K230" s="9"/>
      <c r="L230" s="9"/>
      <c r="M230" s="9"/>
      <c r="N230" s="9" t="str">
        <f t="shared" si="32"/>
        <v>Qty:</v>
      </c>
      <c r="O230" s="844" t="str">
        <f t="shared" ref="O230" si="35">IF(O15="","",O15)</f>
        <v/>
      </c>
      <c r="P230" s="845"/>
      <c r="Q230" s="9" t="str">
        <f t="shared" si="32"/>
        <v>Fan w/o Light</v>
      </c>
      <c r="R230" s="9"/>
      <c r="S230" s="9"/>
      <c r="T230" s="9"/>
      <c r="U230" s="9"/>
      <c r="V230" s="623" t="str">
        <f t="shared" si="32"/>
        <v>Qty:</v>
      </c>
      <c r="W230" s="844" t="str">
        <f t="shared" ref="W230:W231" si="36">IF(W15="","",W15)</f>
        <v/>
      </c>
      <c r="X230" s="845"/>
      <c r="Y230" s="9" t="str">
        <f t="shared" si="32"/>
        <v>Fan w/ Light</v>
      </c>
      <c r="Z230" s="9"/>
      <c r="AA230" s="9"/>
      <c r="AB230" s="9"/>
      <c r="AC230" s="9"/>
      <c r="AD230" s="623" t="str">
        <f t="shared" si="32"/>
        <v>x $25 per fan=</v>
      </c>
      <c r="AE230" s="9" t="str">
        <f t="shared" si="32"/>
        <v>$</v>
      </c>
      <c r="AF230" s="846" t="str">
        <f t="shared" si="34"/>
        <v/>
      </c>
      <c r="AG230" s="846"/>
      <c r="AH230" s="846"/>
      <c r="AI230" s="633" t="str">
        <f t="shared" si="32"/>
        <v/>
      </c>
      <c r="AJ230" s="1"/>
      <c r="AK230" s="94"/>
      <c r="AL230" s="98"/>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684"/>
      <c r="CB230" s="684"/>
      <c r="CC230" s="684"/>
      <c r="CD230" s="684"/>
      <c r="CE230" s="684"/>
      <c r="CF230" s="684"/>
      <c r="CG230" s="684"/>
      <c r="CH230" s="684"/>
      <c r="CI230" s="684"/>
      <c r="CJ230" s="684"/>
      <c r="CK230" s="684"/>
      <c r="CL230" s="684"/>
      <c r="CM230" s="684"/>
      <c r="CN230" s="684"/>
      <c r="CO230" s="684"/>
      <c r="CP230" s="684"/>
      <c r="CQ230" s="684"/>
      <c r="CR230" s="684"/>
      <c r="CS230" s="684"/>
      <c r="CT230" s="684"/>
      <c r="CU230" s="684"/>
      <c r="CV230" s="684"/>
      <c r="CW230" s="684"/>
      <c r="CX230" s="684"/>
      <c r="CY230" s="684"/>
      <c r="CZ230" s="684"/>
      <c r="DA230" s="684"/>
      <c r="DB230" s="684"/>
      <c r="DC230" s="684"/>
    </row>
    <row r="231" spans="1:107" s="5" customFormat="1" ht="12.75" customHeight="1">
      <c r="A231" s="1"/>
      <c r="B231" s="253" t="str">
        <f t="shared" si="31"/>
        <v/>
      </c>
      <c r="C231" s="9" t="str">
        <f t="shared" si="32"/>
        <v xml:space="preserve"> MF6  - Reflective Roof Treatment (sq ft over dwelling units only)</v>
      </c>
      <c r="D231" s="9"/>
      <c r="E231" s="9"/>
      <c r="F231" s="9"/>
      <c r="G231" s="9"/>
      <c r="H231" s="9"/>
      <c r="I231" s="9"/>
      <c r="J231" s="9"/>
      <c r="K231" s="9"/>
      <c r="L231" s="9"/>
      <c r="M231" s="9"/>
      <c r="N231" s="9"/>
      <c r="O231" s="9"/>
      <c r="P231" s="9"/>
      <c r="Q231" s="9"/>
      <c r="R231" s="9"/>
      <c r="S231" s="9"/>
      <c r="T231" s="9"/>
      <c r="U231" s="9"/>
      <c r="V231" s="623" t="str">
        <f t="shared" ref="C231:AI238" si="37">IF(V16="","",V16)</f>
        <v xml:space="preserve">Roof Area: </v>
      </c>
      <c r="W231" s="844" t="str">
        <f t="shared" si="36"/>
        <v/>
      </c>
      <c r="X231" s="845"/>
      <c r="Y231" s="9" t="str">
        <f t="shared" si="37"/>
        <v>sq ft</v>
      </c>
      <c r="Z231" s="9"/>
      <c r="AA231" s="9"/>
      <c r="AB231" s="9"/>
      <c r="AC231" s="9"/>
      <c r="AD231" s="623" t="str">
        <f t="shared" si="37"/>
        <v>x $0.05 per sq ft=</v>
      </c>
      <c r="AE231" s="9" t="str">
        <f t="shared" si="37"/>
        <v>$</v>
      </c>
      <c r="AF231" s="846" t="str">
        <f t="shared" si="34"/>
        <v/>
      </c>
      <c r="AG231" s="846"/>
      <c r="AH231" s="846"/>
      <c r="AI231" s="633" t="str">
        <f t="shared" si="37"/>
        <v/>
      </c>
      <c r="AJ231" s="1"/>
      <c r="AK231" s="94"/>
      <c r="AL231" s="98"/>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684"/>
      <c r="CB231" s="684"/>
      <c r="CC231" s="684"/>
      <c r="CD231" s="684"/>
      <c r="CE231" s="684"/>
      <c r="CF231" s="684"/>
      <c r="CG231" s="684"/>
      <c r="CH231" s="684"/>
      <c r="CI231" s="684"/>
      <c r="CJ231" s="684"/>
      <c r="CK231" s="684"/>
      <c r="CL231" s="684"/>
      <c r="CM231" s="684"/>
      <c r="CN231" s="684"/>
      <c r="CO231" s="684"/>
      <c r="CP231" s="684"/>
      <c r="CQ231" s="684"/>
      <c r="CR231" s="684"/>
      <c r="CS231" s="684"/>
      <c r="CT231" s="684"/>
      <c r="CU231" s="684"/>
      <c r="CV231" s="684"/>
      <c r="CW231" s="684"/>
      <c r="CX231" s="684"/>
      <c r="CY231" s="684"/>
      <c r="CZ231" s="684"/>
      <c r="DA231" s="684"/>
      <c r="DB231" s="684"/>
      <c r="DC231" s="684"/>
    </row>
    <row r="232" spans="1:107" s="5" customFormat="1" ht="12.75" customHeight="1">
      <c r="A232" s="1"/>
      <c r="B232" s="253" t="str">
        <f t="shared" si="31"/>
        <v/>
      </c>
      <c r="C232" s="9" t="str">
        <f t="shared" si="37"/>
        <v xml:space="preserve"> MF7 - Connected Smart Thermostat (electric heat only)</v>
      </c>
      <c r="D232" s="9"/>
      <c r="E232" s="9"/>
      <c r="F232" s="9"/>
      <c r="G232" s="9"/>
      <c r="H232" s="9"/>
      <c r="I232" s="9"/>
      <c r="J232" s="9"/>
      <c r="K232" s="9"/>
      <c r="L232" s="9"/>
      <c r="M232" s="9"/>
      <c r="N232" s="847" t="str">
        <f>IF(N17="","",N17)</f>
        <v/>
      </c>
      <c r="O232" s="847"/>
      <c r="P232" s="847"/>
      <c r="Q232" s="847"/>
      <c r="R232" s="847"/>
      <c r="S232" s="847"/>
      <c r="T232" s="847"/>
      <c r="U232" s="847"/>
      <c r="V232" s="847"/>
      <c r="W232" s="847"/>
      <c r="X232" s="847"/>
      <c r="Y232" s="847"/>
      <c r="Z232" s="847"/>
      <c r="AA232" s="847"/>
      <c r="AB232" s="847"/>
      <c r="AC232" s="847"/>
      <c r="AD232" s="847"/>
      <c r="AE232" s="9" t="str">
        <f t="shared" si="37"/>
        <v/>
      </c>
      <c r="AF232" s="9" t="str">
        <f t="shared" si="37"/>
        <v/>
      </c>
      <c r="AG232" s="9" t="str">
        <f t="shared" si="37"/>
        <v/>
      </c>
      <c r="AH232" s="9" t="str">
        <f t="shared" si="37"/>
        <v/>
      </c>
      <c r="AI232" s="633" t="str">
        <f t="shared" si="37"/>
        <v/>
      </c>
      <c r="AJ232" s="1"/>
      <c r="AK232" s="94"/>
      <c r="AL232" s="98"/>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684"/>
      <c r="CB232" s="684"/>
      <c r="CC232" s="684"/>
      <c r="CD232" s="684"/>
      <c r="CE232" s="684"/>
      <c r="CF232" s="684"/>
      <c r="CG232" s="684"/>
      <c r="CH232" s="684"/>
      <c r="CI232" s="684"/>
      <c r="CJ232" s="684"/>
      <c r="CK232" s="684"/>
      <c r="CL232" s="684"/>
      <c r="CM232" s="684"/>
      <c r="CN232" s="684"/>
      <c r="CO232" s="684"/>
      <c r="CP232" s="684"/>
      <c r="CQ232" s="684"/>
      <c r="CR232" s="684"/>
      <c r="CS232" s="684"/>
      <c r="CT232" s="684"/>
      <c r="CU232" s="684"/>
      <c r="CV232" s="684"/>
      <c r="CW232" s="684"/>
      <c r="CX232" s="684"/>
      <c r="CY232" s="684"/>
      <c r="CZ232" s="684"/>
      <c r="DA232" s="684"/>
      <c r="DB232" s="684"/>
      <c r="DC232" s="684"/>
    </row>
    <row r="233" spans="1:107" s="5" customFormat="1" ht="12.75" customHeight="1">
      <c r="A233" s="1"/>
      <c r="B233" s="253" t="str">
        <f t="shared" si="31"/>
        <v/>
      </c>
      <c r="C233" s="9" t="str">
        <f t="shared" si="37"/>
        <v/>
      </c>
      <c r="D233" s="9"/>
      <c r="E233" s="9"/>
      <c r="F233" s="9"/>
      <c r="G233" s="9"/>
      <c r="H233" s="9"/>
      <c r="I233" s="9"/>
      <c r="J233" s="9"/>
      <c r="K233" s="9" t="str">
        <f t="shared" si="37"/>
        <v/>
      </c>
      <c r="L233" s="9" t="str">
        <f t="shared" si="37"/>
        <v/>
      </c>
      <c r="M233" s="9" t="str">
        <f t="shared" si="37"/>
        <v/>
      </c>
      <c r="N233" s="9" t="str">
        <f t="shared" si="37"/>
        <v>Qty:</v>
      </c>
      <c r="O233" s="844" t="str">
        <f t="shared" ref="O233" si="38">IF(O18="","",O18)</f>
        <v/>
      </c>
      <c r="P233" s="845"/>
      <c r="Q233" s="9" t="str">
        <f t="shared" si="37"/>
        <v>Electric Heat Pump</v>
      </c>
      <c r="R233" s="9"/>
      <c r="S233" s="9"/>
      <c r="T233" s="9"/>
      <c r="U233" s="9"/>
      <c r="V233" s="623" t="str">
        <f t="shared" si="37"/>
        <v>Qty:</v>
      </c>
      <c r="W233" s="844" t="str">
        <f t="shared" ref="W233" si="39">IF(W18="","",W18)</f>
        <v/>
      </c>
      <c r="X233" s="845"/>
      <c r="Y233" s="9" t="str">
        <f t="shared" si="37"/>
        <v>Electric Furnace</v>
      </c>
      <c r="Z233" s="9"/>
      <c r="AA233" s="9"/>
      <c r="AB233" s="9"/>
      <c r="AC233" s="9"/>
      <c r="AD233" s="623" t="str">
        <f t="shared" si="37"/>
        <v>x $30 per unit=</v>
      </c>
      <c r="AE233" s="9" t="str">
        <f t="shared" si="37"/>
        <v>$</v>
      </c>
      <c r="AF233" s="846" t="str">
        <f t="shared" si="34"/>
        <v/>
      </c>
      <c r="AG233" s="846"/>
      <c r="AH233" s="846"/>
      <c r="AI233" s="633" t="str">
        <f t="shared" si="37"/>
        <v/>
      </c>
      <c r="AJ233" s="1"/>
      <c r="AK233" s="94"/>
      <c r="AL233" s="98"/>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684"/>
      <c r="CB233" s="684"/>
      <c r="CC233" s="684"/>
      <c r="CD233" s="684"/>
      <c r="CE233" s="684"/>
      <c r="CF233" s="684"/>
      <c r="CG233" s="684"/>
      <c r="CH233" s="684"/>
      <c r="CI233" s="684"/>
      <c r="CJ233" s="684"/>
      <c r="CK233" s="684"/>
      <c r="CL233" s="684"/>
      <c r="CM233" s="684"/>
      <c r="CN233" s="684"/>
      <c r="CO233" s="684"/>
      <c r="CP233" s="684"/>
      <c r="CQ233" s="684"/>
      <c r="CR233" s="684"/>
      <c r="CS233" s="684"/>
      <c r="CT233" s="684"/>
      <c r="CU233" s="684"/>
      <c r="CV233" s="684"/>
      <c r="CW233" s="684"/>
      <c r="CX233" s="684"/>
      <c r="CY233" s="684"/>
      <c r="CZ233" s="684"/>
      <c r="DA233" s="684"/>
      <c r="DB233" s="684"/>
      <c r="DC233" s="684"/>
    </row>
    <row r="234" spans="1:107" s="5" customFormat="1" ht="12.75" customHeight="1">
      <c r="A234" s="1"/>
      <c r="B234" s="253" t="str">
        <f t="shared" si="31"/>
        <v/>
      </c>
      <c r="C234" s="9" t="str">
        <f t="shared" si="37"/>
        <v xml:space="preserve"> MF8  - Efficient Windows (low rise and electric heat only) </v>
      </c>
      <c r="D234" s="9"/>
      <c r="E234" s="9"/>
      <c r="F234" s="9"/>
      <c r="G234" s="9"/>
      <c r="H234" s="9"/>
      <c r="I234" s="9"/>
      <c r="J234" s="9"/>
      <c r="K234" s="9"/>
      <c r="L234" s="9"/>
      <c r="M234" s="9"/>
      <c r="N234" s="847" t="str">
        <f>IF(N19="","",N19)</f>
        <v/>
      </c>
      <c r="O234" s="847"/>
      <c r="P234" s="847"/>
      <c r="Q234" s="847"/>
      <c r="R234" s="847"/>
      <c r="S234" s="847"/>
      <c r="T234" s="847"/>
      <c r="U234" s="847"/>
      <c r="V234" s="847"/>
      <c r="W234" s="847"/>
      <c r="X234" s="847"/>
      <c r="Y234" s="847"/>
      <c r="Z234" s="847"/>
      <c r="AA234" s="847"/>
      <c r="AB234" s="847"/>
      <c r="AC234" s="847"/>
      <c r="AD234" s="847"/>
      <c r="AE234" s="9" t="str">
        <f t="shared" si="37"/>
        <v/>
      </c>
      <c r="AF234" s="9" t="str">
        <f t="shared" si="37"/>
        <v/>
      </c>
      <c r="AG234" s="9" t="str">
        <f t="shared" si="37"/>
        <v/>
      </c>
      <c r="AH234" s="9" t="str">
        <f t="shared" si="37"/>
        <v/>
      </c>
      <c r="AI234" s="633" t="str">
        <f t="shared" si="37"/>
        <v/>
      </c>
      <c r="AJ234" s="1"/>
      <c r="AK234" s="94"/>
      <c r="AL234" s="98"/>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684"/>
      <c r="CB234" s="684"/>
      <c r="CC234" s="684"/>
      <c r="CD234" s="684"/>
      <c r="CE234" s="684"/>
      <c r="CF234" s="684"/>
      <c r="CG234" s="684"/>
      <c r="CH234" s="684"/>
      <c r="CI234" s="684"/>
      <c r="CJ234" s="684"/>
      <c r="CK234" s="684"/>
      <c r="CL234" s="684"/>
      <c r="CM234" s="684"/>
      <c r="CN234" s="684"/>
      <c r="CO234" s="684"/>
      <c r="CP234" s="684"/>
      <c r="CQ234" s="684"/>
      <c r="CR234" s="684"/>
      <c r="CS234" s="684"/>
      <c r="CT234" s="684"/>
      <c r="CU234" s="684"/>
      <c r="CV234" s="684"/>
      <c r="CW234" s="684"/>
      <c r="CX234" s="684"/>
      <c r="CY234" s="684"/>
      <c r="CZ234" s="684"/>
      <c r="DA234" s="684"/>
      <c r="DB234" s="684"/>
      <c r="DC234" s="684"/>
    </row>
    <row r="235" spans="1:107" s="5" customFormat="1" ht="12.75" customHeight="1">
      <c r="A235" s="1"/>
      <c r="B235" s="253" t="str">
        <f t="shared" si="31"/>
        <v/>
      </c>
      <c r="C235" s="398" t="str">
        <f t="shared" si="37"/>
        <v xml:space="preserve"> Tier 1 (U-factor &lt;0.30 and &gt;0.27)</v>
      </c>
      <c r="D235" s="9"/>
      <c r="E235" s="9"/>
      <c r="F235" s="9"/>
      <c r="G235" s="9"/>
      <c r="H235" s="9"/>
      <c r="I235" s="9"/>
      <c r="J235" s="9"/>
      <c r="K235" s="9"/>
      <c r="L235" s="9"/>
      <c r="M235" s="9"/>
      <c r="N235" s="623" t="str">
        <f t="shared" si="37"/>
        <v/>
      </c>
      <c r="O235" s="847" t="str">
        <f t="shared" si="37"/>
        <v/>
      </c>
      <c r="P235" s="847"/>
      <c r="Q235" s="847"/>
      <c r="R235" s="847"/>
      <c r="S235" s="847"/>
      <c r="T235" s="9"/>
      <c r="U235" s="9"/>
      <c r="V235" s="623" t="str">
        <f t="shared" si="37"/>
        <v xml:space="preserve">Window area: </v>
      </c>
      <c r="W235" s="844" t="str">
        <f t="shared" ref="W235:W237" si="40">IF(W20="","",W20)</f>
        <v/>
      </c>
      <c r="X235" s="845"/>
      <c r="Y235" s="9" t="str">
        <f t="shared" si="37"/>
        <v>sq ft</v>
      </c>
      <c r="Z235" s="9"/>
      <c r="AA235" s="9"/>
      <c r="AB235" s="9"/>
      <c r="AC235" s="9"/>
      <c r="AD235" s="623" t="str">
        <f t="shared" si="37"/>
        <v>x $0.25 per sq ft=</v>
      </c>
      <c r="AE235" s="9" t="str">
        <f t="shared" si="37"/>
        <v>$</v>
      </c>
      <c r="AF235" s="846" t="str">
        <f t="shared" si="34"/>
        <v/>
      </c>
      <c r="AG235" s="846"/>
      <c r="AH235" s="846"/>
      <c r="AI235" s="633" t="str">
        <f t="shared" si="37"/>
        <v/>
      </c>
      <c r="AJ235" s="1"/>
      <c r="AK235" s="94"/>
      <c r="AL235" s="98"/>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684"/>
      <c r="CB235" s="684"/>
      <c r="CC235" s="684"/>
      <c r="CD235" s="684"/>
      <c r="CE235" s="684"/>
      <c r="CF235" s="684"/>
      <c r="CG235" s="684"/>
      <c r="CH235" s="684"/>
      <c r="CI235" s="684"/>
      <c r="CJ235" s="684"/>
      <c r="CK235" s="684"/>
      <c r="CL235" s="684"/>
      <c r="CM235" s="684"/>
      <c r="CN235" s="684"/>
      <c r="CO235" s="684"/>
      <c r="CP235" s="684"/>
      <c r="CQ235" s="684"/>
      <c r="CR235" s="684"/>
      <c r="CS235" s="684"/>
      <c r="CT235" s="684"/>
      <c r="CU235" s="684"/>
      <c r="CV235" s="684"/>
      <c r="CW235" s="684"/>
      <c r="CX235" s="684"/>
      <c r="CY235" s="684"/>
      <c r="CZ235" s="684"/>
      <c r="DA235" s="684"/>
      <c r="DB235" s="684"/>
      <c r="DC235" s="684"/>
    </row>
    <row r="236" spans="1:107" s="5" customFormat="1" ht="12.75" customHeight="1">
      <c r="A236" s="1"/>
      <c r="B236" s="253" t="str">
        <f t="shared" si="31"/>
        <v/>
      </c>
      <c r="C236" s="398" t="str">
        <f t="shared" si="37"/>
        <v xml:space="preserve"> Tier 2 (U-factor ≤0.27 and &gt;0.24)</v>
      </c>
      <c r="D236" s="9"/>
      <c r="E236" s="9"/>
      <c r="F236" s="9"/>
      <c r="G236" s="9"/>
      <c r="H236" s="9"/>
      <c r="I236" s="9"/>
      <c r="J236" s="9"/>
      <c r="K236" s="9"/>
      <c r="L236" s="9"/>
      <c r="M236" s="9"/>
      <c r="N236" s="623" t="str">
        <f t="shared" si="37"/>
        <v/>
      </c>
      <c r="O236" s="847" t="str">
        <f t="shared" ref="O236:O239" si="41">IF(O21="","",O21)</f>
        <v/>
      </c>
      <c r="P236" s="847"/>
      <c r="Q236" s="847"/>
      <c r="R236" s="847"/>
      <c r="S236" s="847"/>
      <c r="T236" s="9"/>
      <c r="U236" s="9"/>
      <c r="V236" s="623" t="str">
        <f t="shared" si="37"/>
        <v xml:space="preserve">Window area: </v>
      </c>
      <c r="W236" s="844" t="str">
        <f t="shared" si="40"/>
        <v/>
      </c>
      <c r="X236" s="845"/>
      <c r="Y236" s="9" t="str">
        <f t="shared" si="37"/>
        <v>sq ft</v>
      </c>
      <c r="Z236" s="9"/>
      <c r="AA236" s="9"/>
      <c r="AB236" s="9"/>
      <c r="AC236" s="9"/>
      <c r="AD236" s="623" t="str">
        <f t="shared" si="37"/>
        <v>x $0.50 per sq ft=</v>
      </c>
      <c r="AE236" s="9" t="str">
        <f t="shared" si="37"/>
        <v>$</v>
      </c>
      <c r="AF236" s="846" t="str">
        <f t="shared" si="34"/>
        <v/>
      </c>
      <c r="AG236" s="846"/>
      <c r="AH236" s="846"/>
      <c r="AI236" s="633" t="str">
        <f t="shared" si="37"/>
        <v/>
      </c>
      <c r="AJ236" s="1"/>
      <c r="AK236" s="94"/>
      <c r="AL236" s="98"/>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684"/>
      <c r="CB236" s="684"/>
      <c r="CC236" s="684"/>
      <c r="CD236" s="684"/>
      <c r="CE236" s="684"/>
      <c r="CF236" s="684"/>
      <c r="CG236" s="684"/>
      <c r="CH236" s="684"/>
      <c r="CI236" s="684"/>
      <c r="CJ236" s="684"/>
      <c r="CK236" s="684"/>
      <c r="CL236" s="684"/>
      <c r="CM236" s="684"/>
      <c r="CN236" s="684"/>
      <c r="CO236" s="684"/>
      <c r="CP236" s="684"/>
      <c r="CQ236" s="684"/>
      <c r="CR236" s="684"/>
      <c r="CS236" s="684"/>
      <c r="CT236" s="684"/>
      <c r="CU236" s="684"/>
      <c r="CV236" s="684"/>
      <c r="CW236" s="684"/>
      <c r="CX236" s="684"/>
      <c r="CY236" s="684"/>
      <c r="CZ236" s="684"/>
      <c r="DA236" s="684"/>
      <c r="DB236" s="684"/>
      <c r="DC236" s="684"/>
    </row>
    <row r="237" spans="1:107" s="5" customFormat="1" ht="12.75" customHeight="1">
      <c r="A237" s="1"/>
      <c r="B237" s="253" t="str">
        <f t="shared" si="31"/>
        <v/>
      </c>
      <c r="C237" s="398" t="str">
        <f t="shared" si="37"/>
        <v xml:space="preserve"> Tier 3 (U-factor ≤0.24)</v>
      </c>
      <c r="D237" s="9"/>
      <c r="E237" s="9"/>
      <c r="F237" s="9"/>
      <c r="G237" s="9"/>
      <c r="H237" s="9"/>
      <c r="I237" s="9"/>
      <c r="J237" s="9"/>
      <c r="K237" s="9"/>
      <c r="L237" s="9"/>
      <c r="M237" s="9"/>
      <c r="N237" s="623" t="str">
        <f t="shared" si="37"/>
        <v/>
      </c>
      <c r="O237" s="847" t="str">
        <f t="shared" si="41"/>
        <v/>
      </c>
      <c r="P237" s="847"/>
      <c r="Q237" s="847"/>
      <c r="R237" s="847"/>
      <c r="S237" s="847"/>
      <c r="T237" s="9"/>
      <c r="U237" s="9"/>
      <c r="V237" s="623" t="str">
        <f t="shared" si="37"/>
        <v xml:space="preserve">Window area: </v>
      </c>
      <c r="W237" s="844" t="str">
        <f t="shared" si="40"/>
        <v/>
      </c>
      <c r="X237" s="845"/>
      <c r="Y237" s="9" t="str">
        <f t="shared" si="37"/>
        <v>sq ft</v>
      </c>
      <c r="Z237" s="9"/>
      <c r="AA237" s="9"/>
      <c r="AB237" s="9"/>
      <c r="AC237" s="9"/>
      <c r="AD237" s="623" t="str">
        <f t="shared" si="37"/>
        <v>x $1.00 per sq ft=</v>
      </c>
      <c r="AE237" s="9" t="str">
        <f t="shared" si="37"/>
        <v>$</v>
      </c>
      <c r="AF237" s="846" t="str">
        <f t="shared" si="34"/>
        <v/>
      </c>
      <c r="AG237" s="846"/>
      <c r="AH237" s="846"/>
      <c r="AI237" s="633" t="str">
        <f t="shared" si="37"/>
        <v/>
      </c>
      <c r="AJ237" s="1"/>
      <c r="AK237" s="94"/>
      <c r="AL237" s="98"/>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684"/>
      <c r="CB237" s="684"/>
      <c r="CC237" s="684"/>
      <c r="CD237" s="684"/>
      <c r="CE237" s="684"/>
      <c r="CF237" s="684"/>
      <c r="CG237" s="684"/>
      <c r="CH237" s="684"/>
      <c r="CI237" s="684"/>
      <c r="CJ237" s="684"/>
      <c r="CK237" s="684"/>
      <c r="CL237" s="684"/>
      <c r="CM237" s="684"/>
      <c r="CN237" s="684"/>
      <c r="CO237" s="684"/>
      <c r="CP237" s="684"/>
      <c r="CQ237" s="684"/>
      <c r="CR237" s="684"/>
      <c r="CS237" s="684"/>
      <c r="CT237" s="684"/>
      <c r="CU237" s="684"/>
      <c r="CV237" s="684"/>
      <c r="CW237" s="684"/>
      <c r="CX237" s="684"/>
      <c r="CY237" s="684"/>
      <c r="CZ237" s="684"/>
      <c r="DA237" s="684"/>
      <c r="DB237" s="684"/>
      <c r="DC237" s="684"/>
    </row>
    <row r="238" spans="1:107" s="5" customFormat="1" ht="12.75" hidden="1" customHeight="1">
      <c r="A238" s="1"/>
      <c r="B238" s="253" t="str">
        <f t="shared" si="31"/>
        <v/>
      </c>
      <c r="C238" s="9" t="str">
        <f t="shared" si="37"/>
        <v xml:space="preserve"> MF9  - Low E Storm Window (electric heat only)</v>
      </c>
      <c r="D238" s="9"/>
      <c r="E238" s="9"/>
      <c r="F238" s="9"/>
      <c r="G238" s="9"/>
      <c r="H238" s="9"/>
      <c r="I238" s="9"/>
      <c r="J238" s="9"/>
      <c r="K238" s="9"/>
      <c r="L238" s="9"/>
      <c r="M238" s="9"/>
      <c r="N238" s="847" t="str">
        <f>IF(N23="","",N23)</f>
        <v/>
      </c>
      <c r="O238" s="847"/>
      <c r="P238" s="847"/>
      <c r="Q238" s="847"/>
      <c r="R238" s="847"/>
      <c r="S238" s="847"/>
      <c r="T238" s="847"/>
      <c r="U238" s="847"/>
      <c r="V238" s="847"/>
      <c r="W238" s="847"/>
      <c r="X238" s="847"/>
      <c r="Y238" s="847"/>
      <c r="Z238" s="847"/>
      <c r="AA238" s="847"/>
      <c r="AB238" s="847"/>
      <c r="AC238" s="847"/>
      <c r="AD238" s="847"/>
      <c r="AE238" s="9" t="str">
        <f t="shared" si="37"/>
        <v/>
      </c>
      <c r="AF238" s="9" t="str">
        <f t="shared" si="37"/>
        <v/>
      </c>
      <c r="AG238" s="9" t="str">
        <f t="shared" ref="C238:AI244" si="42">IF(AG23="","",AG23)</f>
        <v/>
      </c>
      <c r="AH238" s="9" t="str">
        <f t="shared" si="42"/>
        <v/>
      </c>
      <c r="AI238" s="633" t="str">
        <f t="shared" si="42"/>
        <v/>
      </c>
      <c r="AJ238" s="1"/>
      <c r="AK238" s="94"/>
      <c r="AL238" s="98"/>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684"/>
      <c r="CB238" s="684"/>
      <c r="CC238" s="684"/>
      <c r="CD238" s="684"/>
      <c r="CE238" s="684"/>
      <c r="CF238" s="684"/>
      <c r="CG238" s="684"/>
      <c r="CH238" s="684"/>
      <c r="CI238" s="684"/>
      <c r="CJ238" s="684"/>
      <c r="CK238" s="684"/>
      <c r="CL238" s="684"/>
      <c r="CM238" s="684"/>
      <c r="CN238" s="684"/>
      <c r="CO238" s="684"/>
      <c r="CP238" s="684"/>
      <c r="CQ238" s="684"/>
      <c r="CR238" s="684"/>
      <c r="CS238" s="684"/>
      <c r="CT238" s="684"/>
      <c r="CU238" s="684"/>
      <c r="CV238" s="684"/>
      <c r="CW238" s="684"/>
      <c r="CX238" s="684"/>
      <c r="CY238" s="684"/>
      <c r="CZ238" s="684"/>
      <c r="DA238" s="684"/>
      <c r="DB238" s="684"/>
      <c r="DC238" s="684"/>
    </row>
    <row r="239" spans="1:107" s="5" customFormat="1" ht="12.75" hidden="1" customHeight="1">
      <c r="A239" s="1"/>
      <c r="B239" s="253" t="str">
        <f t="shared" si="31"/>
        <v/>
      </c>
      <c r="C239" s="9"/>
      <c r="D239" s="9"/>
      <c r="E239" s="9"/>
      <c r="F239" s="9"/>
      <c r="G239" s="9"/>
      <c r="H239" s="9"/>
      <c r="I239" s="9"/>
      <c r="J239" s="9"/>
      <c r="K239" s="9"/>
      <c r="L239" s="9"/>
      <c r="M239" s="9"/>
      <c r="N239" s="623" t="str">
        <f t="shared" si="42"/>
        <v/>
      </c>
      <c r="O239" s="847" t="str">
        <f t="shared" si="41"/>
        <v/>
      </c>
      <c r="P239" s="847"/>
      <c r="Q239" s="847"/>
      <c r="R239" s="847"/>
      <c r="S239" s="847"/>
      <c r="T239" s="9"/>
      <c r="U239" s="9"/>
      <c r="V239" s="623" t="str">
        <f t="shared" si="42"/>
        <v xml:space="preserve">Window area: </v>
      </c>
      <c r="W239" s="844" t="str">
        <f t="shared" ref="W239" si="43">IF(W24="","",W24)</f>
        <v/>
      </c>
      <c r="X239" s="845"/>
      <c r="Y239" s="9" t="str">
        <f t="shared" si="42"/>
        <v>sq ft</v>
      </c>
      <c r="Z239" s="9"/>
      <c r="AA239" s="9"/>
      <c r="AB239" s="9"/>
      <c r="AC239" s="9"/>
      <c r="AD239" s="623" t="str">
        <f t="shared" si="42"/>
        <v>x $1.00 per sq ft=</v>
      </c>
      <c r="AE239" s="9" t="str">
        <f t="shared" si="42"/>
        <v>$</v>
      </c>
      <c r="AF239" s="846" t="str">
        <f t="shared" si="34"/>
        <v/>
      </c>
      <c r="AG239" s="846"/>
      <c r="AH239" s="846"/>
      <c r="AI239" s="633" t="str">
        <f t="shared" si="42"/>
        <v/>
      </c>
      <c r="AJ239" s="1"/>
      <c r="AK239" s="94"/>
      <c r="AL239" s="98"/>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684"/>
      <c r="CB239" s="684"/>
      <c r="CC239" s="684"/>
      <c r="CD239" s="684"/>
      <c r="CE239" s="684"/>
      <c r="CF239" s="684"/>
      <c r="CG239" s="684"/>
      <c r="CH239" s="684"/>
      <c r="CI239" s="684"/>
      <c r="CJ239" s="684"/>
      <c r="CK239" s="684"/>
      <c r="CL239" s="684"/>
      <c r="CM239" s="684"/>
      <c r="CN239" s="684"/>
      <c r="CO239" s="684"/>
      <c r="CP239" s="684"/>
      <c r="CQ239" s="684"/>
      <c r="CR239" s="684"/>
      <c r="CS239" s="684"/>
      <c r="CT239" s="684"/>
      <c r="CU239" s="684"/>
      <c r="CV239" s="684"/>
      <c r="CW239" s="684"/>
      <c r="CX239" s="684"/>
      <c r="CY239" s="684"/>
      <c r="CZ239" s="684"/>
      <c r="DA239" s="684"/>
      <c r="DB239" s="684"/>
      <c r="DC239" s="684"/>
    </row>
    <row r="240" spans="1:107" s="5" customFormat="1" ht="12.75" customHeight="1">
      <c r="A240" s="1"/>
      <c r="B240" s="634" t="str">
        <f t="shared" si="31"/>
        <v/>
      </c>
      <c r="C240" s="248" t="str">
        <f t="shared" si="42"/>
        <v/>
      </c>
      <c r="D240" s="248" t="str">
        <f t="shared" si="42"/>
        <v/>
      </c>
      <c r="E240" s="248" t="str">
        <f t="shared" si="42"/>
        <v/>
      </c>
      <c r="F240" s="248" t="str">
        <f t="shared" si="42"/>
        <v/>
      </c>
      <c r="G240" s="248" t="str">
        <f t="shared" si="42"/>
        <v/>
      </c>
      <c r="H240" s="248" t="str">
        <f t="shared" si="42"/>
        <v/>
      </c>
      <c r="I240" s="248" t="str">
        <f t="shared" si="42"/>
        <v/>
      </c>
      <c r="J240" s="248" t="str">
        <f t="shared" si="42"/>
        <v/>
      </c>
      <c r="K240" s="248" t="str">
        <f t="shared" si="42"/>
        <v/>
      </c>
      <c r="L240" s="248" t="str">
        <f t="shared" si="42"/>
        <v/>
      </c>
      <c r="M240" s="248" t="str">
        <f t="shared" si="42"/>
        <v/>
      </c>
      <c r="N240" s="248" t="str">
        <f t="shared" si="42"/>
        <v/>
      </c>
      <c r="O240" s="248" t="str">
        <f t="shared" si="42"/>
        <v/>
      </c>
      <c r="P240" s="248" t="str">
        <f t="shared" si="42"/>
        <v/>
      </c>
      <c r="Q240" s="248" t="str">
        <f t="shared" si="42"/>
        <v/>
      </c>
      <c r="R240" s="248" t="str">
        <f t="shared" si="42"/>
        <v/>
      </c>
      <c r="S240" s="248" t="str">
        <f t="shared" si="42"/>
        <v/>
      </c>
      <c r="T240" s="248" t="str">
        <f t="shared" si="42"/>
        <v/>
      </c>
      <c r="U240" s="248" t="str">
        <f t="shared" si="42"/>
        <v/>
      </c>
      <c r="V240" s="248" t="str">
        <f t="shared" si="42"/>
        <v/>
      </c>
      <c r="W240" s="248" t="str">
        <f t="shared" si="42"/>
        <v/>
      </c>
      <c r="X240" s="248" t="str">
        <f t="shared" si="42"/>
        <v/>
      </c>
      <c r="Y240" s="248" t="str">
        <f t="shared" si="42"/>
        <v/>
      </c>
      <c r="Z240" s="248" t="str">
        <f t="shared" si="42"/>
        <v/>
      </c>
      <c r="AA240" s="248" t="str">
        <f t="shared" si="42"/>
        <v/>
      </c>
      <c r="AB240" s="248" t="str">
        <f t="shared" si="42"/>
        <v/>
      </c>
      <c r="AC240" s="248" t="str">
        <f t="shared" si="42"/>
        <v/>
      </c>
      <c r="AD240" s="248" t="str">
        <f t="shared" si="42"/>
        <v/>
      </c>
      <c r="AE240" s="248" t="str">
        <f t="shared" si="42"/>
        <v/>
      </c>
      <c r="AF240" s="248" t="str">
        <f t="shared" si="42"/>
        <v/>
      </c>
      <c r="AG240" s="248" t="str">
        <f t="shared" si="42"/>
        <v/>
      </c>
      <c r="AH240" s="248" t="str">
        <f t="shared" si="42"/>
        <v/>
      </c>
      <c r="AI240" s="635" t="str">
        <f t="shared" si="42"/>
        <v/>
      </c>
      <c r="AJ240" s="1"/>
      <c r="AK240" s="94"/>
      <c r="AL240" s="98"/>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684"/>
      <c r="CB240" s="684"/>
      <c r="CC240" s="684"/>
      <c r="CD240" s="684"/>
      <c r="CE240" s="684"/>
      <c r="CF240" s="684"/>
      <c r="CG240" s="684"/>
      <c r="CH240" s="684"/>
      <c r="CI240" s="684"/>
      <c r="CJ240" s="684"/>
      <c r="CK240" s="684"/>
      <c r="CL240" s="684"/>
      <c r="CM240" s="684"/>
      <c r="CN240" s="684"/>
      <c r="CO240" s="684"/>
      <c r="CP240" s="684"/>
      <c r="CQ240" s="684"/>
      <c r="CR240" s="684"/>
      <c r="CS240" s="684"/>
      <c r="CT240" s="684"/>
      <c r="CU240" s="684"/>
      <c r="CV240" s="684"/>
      <c r="CW240" s="684"/>
      <c r="CX240" s="684"/>
      <c r="CY240" s="684"/>
      <c r="CZ240" s="684"/>
      <c r="DA240" s="684"/>
      <c r="DB240" s="684"/>
      <c r="DC240" s="684"/>
    </row>
    <row r="241" spans="1:107" s="5" customFormat="1" ht="12.75" customHeight="1">
      <c r="A241" s="1"/>
      <c r="B241" s="9" t="str">
        <f t="shared" si="31"/>
        <v/>
      </c>
      <c r="C241" s="9" t="str">
        <f t="shared" si="42"/>
        <v/>
      </c>
      <c r="D241" s="9" t="str">
        <f t="shared" si="42"/>
        <v/>
      </c>
      <c r="E241" s="9" t="str">
        <f t="shared" si="42"/>
        <v/>
      </c>
      <c r="F241" s="9" t="str">
        <f t="shared" si="42"/>
        <v/>
      </c>
      <c r="G241" s="9" t="str">
        <f t="shared" si="42"/>
        <v/>
      </c>
      <c r="H241" s="9" t="str">
        <f t="shared" si="42"/>
        <v/>
      </c>
      <c r="I241" s="9" t="str">
        <f t="shared" si="42"/>
        <v/>
      </c>
      <c r="J241" s="9" t="str">
        <f t="shared" si="42"/>
        <v/>
      </c>
      <c r="K241" s="9" t="str">
        <f t="shared" si="42"/>
        <v/>
      </c>
      <c r="L241" s="9" t="str">
        <f t="shared" si="42"/>
        <v/>
      </c>
      <c r="M241" s="9" t="str">
        <f t="shared" si="42"/>
        <v/>
      </c>
      <c r="N241" s="9" t="str">
        <f t="shared" si="42"/>
        <v/>
      </c>
      <c r="O241" s="9" t="str">
        <f t="shared" si="42"/>
        <v/>
      </c>
      <c r="P241" s="9" t="str">
        <f t="shared" si="42"/>
        <v/>
      </c>
      <c r="Q241" s="9" t="str">
        <f t="shared" si="42"/>
        <v/>
      </c>
      <c r="R241" s="9" t="str">
        <f t="shared" si="42"/>
        <v/>
      </c>
      <c r="S241" s="9" t="str">
        <f t="shared" si="42"/>
        <v/>
      </c>
      <c r="T241" s="9" t="str">
        <f t="shared" si="42"/>
        <v/>
      </c>
      <c r="U241" s="9" t="str">
        <f t="shared" si="42"/>
        <v/>
      </c>
      <c r="V241" s="9" t="str">
        <f t="shared" si="42"/>
        <v/>
      </c>
      <c r="W241" s="9" t="str">
        <f t="shared" si="42"/>
        <v/>
      </c>
      <c r="X241" s="9" t="str">
        <f t="shared" si="42"/>
        <v/>
      </c>
      <c r="Y241" s="9" t="str">
        <f t="shared" si="42"/>
        <v/>
      </c>
      <c r="Z241" s="9" t="str">
        <f t="shared" si="42"/>
        <v/>
      </c>
      <c r="AA241" s="9" t="str">
        <f t="shared" si="42"/>
        <v/>
      </c>
      <c r="AB241" s="9" t="str">
        <f t="shared" si="42"/>
        <v/>
      </c>
      <c r="AC241" s="9" t="str">
        <f t="shared" si="42"/>
        <v/>
      </c>
      <c r="AD241" s="9" t="str">
        <f t="shared" si="42"/>
        <v/>
      </c>
      <c r="AE241" s="9" t="str">
        <f t="shared" si="42"/>
        <v/>
      </c>
      <c r="AF241" s="9" t="str">
        <f t="shared" si="42"/>
        <v/>
      </c>
      <c r="AG241" s="9" t="str">
        <f t="shared" si="42"/>
        <v/>
      </c>
      <c r="AH241" s="9" t="str">
        <f t="shared" si="42"/>
        <v/>
      </c>
      <c r="AI241" s="9" t="str">
        <f t="shared" si="42"/>
        <v/>
      </c>
      <c r="AJ241" s="1"/>
      <c r="AK241" s="94"/>
      <c r="AL241" s="98"/>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684"/>
      <c r="CB241" s="684"/>
      <c r="CC241" s="684"/>
      <c r="CD241" s="684"/>
      <c r="CE241" s="684"/>
      <c r="CF241" s="684"/>
      <c r="CG241" s="684"/>
      <c r="CH241" s="684"/>
      <c r="CI241" s="684"/>
      <c r="CJ241" s="684"/>
      <c r="CK241" s="684"/>
      <c r="CL241" s="684"/>
      <c r="CM241" s="684"/>
      <c r="CN241" s="684"/>
      <c r="CO241" s="684"/>
      <c r="CP241" s="684"/>
      <c r="CQ241" s="684"/>
      <c r="CR241" s="684"/>
      <c r="CS241" s="684"/>
      <c r="CT241" s="684"/>
      <c r="CU241" s="684"/>
      <c r="CV241" s="684"/>
      <c r="CW241" s="684"/>
      <c r="CX241" s="684"/>
      <c r="CY241" s="684"/>
      <c r="CZ241" s="684"/>
      <c r="DA241" s="684"/>
      <c r="DB241" s="684"/>
      <c r="DC241" s="684"/>
    </row>
    <row r="242" spans="1:107" s="5" customFormat="1" ht="12.75" customHeight="1">
      <c r="A242" s="1"/>
      <c r="B242" s="9" t="str">
        <f t="shared" si="31"/>
        <v/>
      </c>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623" t="str">
        <f t="shared" si="42"/>
        <v>Total Incentive for Dwelling Units</v>
      </c>
      <c r="AE242" s="9" t="str">
        <f t="shared" si="42"/>
        <v>$</v>
      </c>
      <c r="AF242" s="846" t="str">
        <f t="shared" ref="AF242" si="44">IF(AF27="","",AF27)</f>
        <v/>
      </c>
      <c r="AG242" s="846"/>
      <c r="AH242" s="846"/>
      <c r="AI242" s="9" t="str">
        <f t="shared" si="42"/>
        <v/>
      </c>
      <c r="AJ242" s="1"/>
      <c r="AK242" s="94"/>
      <c r="AL242" s="98"/>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684"/>
      <c r="CB242" s="684"/>
      <c r="CC242" s="684"/>
      <c r="CD242" s="684"/>
      <c r="CE242" s="684"/>
      <c r="CF242" s="684"/>
      <c r="CG242" s="684"/>
      <c r="CH242" s="684"/>
      <c r="CI242" s="684"/>
      <c r="CJ242" s="684"/>
      <c r="CK242" s="684"/>
      <c r="CL242" s="684"/>
      <c r="CM242" s="684"/>
      <c r="CN242" s="684"/>
      <c r="CO242" s="684"/>
      <c r="CP242" s="684"/>
      <c r="CQ242" s="684"/>
      <c r="CR242" s="684"/>
      <c r="CS242" s="684"/>
      <c r="CT242" s="684"/>
      <c r="CU242" s="684"/>
      <c r="CV242" s="684"/>
      <c r="CW242" s="684"/>
      <c r="CX242" s="684"/>
      <c r="CY242" s="684"/>
      <c r="CZ242" s="684"/>
      <c r="DA242" s="684"/>
      <c r="DB242" s="684"/>
      <c r="DC242" s="684"/>
    </row>
    <row r="243" spans="1:107" s="5" customFormat="1" ht="12.75" customHeight="1">
      <c r="A243" s="1"/>
      <c r="B243" s="9" t="str">
        <f t="shared" ref="B243:Q243" si="45">IF(B28="","",B28)</f>
        <v/>
      </c>
      <c r="C243" s="9" t="str">
        <f t="shared" si="45"/>
        <v/>
      </c>
      <c r="D243" s="9" t="str">
        <f t="shared" si="45"/>
        <v/>
      </c>
      <c r="E243" s="9" t="str">
        <f t="shared" si="45"/>
        <v/>
      </c>
      <c r="F243" s="9" t="str">
        <f t="shared" si="45"/>
        <v/>
      </c>
      <c r="G243" s="9" t="str">
        <f t="shared" si="45"/>
        <v/>
      </c>
      <c r="H243" s="9" t="str">
        <f t="shared" si="45"/>
        <v/>
      </c>
      <c r="I243" s="9" t="str">
        <f t="shared" si="45"/>
        <v/>
      </c>
      <c r="J243" s="9" t="str">
        <f t="shared" si="45"/>
        <v/>
      </c>
      <c r="K243" s="9" t="str">
        <f t="shared" si="45"/>
        <v/>
      </c>
      <c r="L243" s="9" t="str">
        <f t="shared" si="45"/>
        <v/>
      </c>
      <c r="M243" s="9" t="str">
        <f t="shared" si="45"/>
        <v/>
      </c>
      <c r="N243" s="9" t="str">
        <f t="shared" si="45"/>
        <v/>
      </c>
      <c r="O243" s="9" t="str">
        <f t="shared" si="45"/>
        <v/>
      </c>
      <c r="P243" s="9" t="str">
        <f t="shared" si="45"/>
        <v/>
      </c>
      <c r="Q243" s="9" t="str">
        <f t="shared" si="45"/>
        <v/>
      </c>
      <c r="R243" s="9" t="str">
        <f t="shared" si="42"/>
        <v/>
      </c>
      <c r="S243" s="9" t="str">
        <f t="shared" si="42"/>
        <v/>
      </c>
      <c r="T243" s="9" t="str">
        <f t="shared" si="42"/>
        <v/>
      </c>
      <c r="U243" s="9" t="str">
        <f t="shared" si="42"/>
        <v/>
      </c>
      <c r="V243" s="9" t="str">
        <f t="shared" si="42"/>
        <v/>
      </c>
      <c r="W243" s="9" t="str">
        <f t="shared" si="42"/>
        <v/>
      </c>
      <c r="X243" s="9" t="str">
        <f t="shared" si="42"/>
        <v/>
      </c>
      <c r="Y243" s="9" t="str">
        <f t="shared" si="42"/>
        <v/>
      </c>
      <c r="Z243" s="9" t="str">
        <f t="shared" si="42"/>
        <v/>
      </c>
      <c r="AA243" s="9" t="str">
        <f t="shared" si="42"/>
        <v/>
      </c>
      <c r="AB243" s="9" t="str">
        <f t="shared" si="42"/>
        <v/>
      </c>
      <c r="AC243" s="9" t="str">
        <f t="shared" si="42"/>
        <v/>
      </c>
      <c r="AD243" s="9" t="str">
        <f t="shared" si="42"/>
        <v/>
      </c>
      <c r="AE243" s="9" t="str">
        <f t="shared" si="42"/>
        <v/>
      </c>
      <c r="AF243" s="9" t="str">
        <f t="shared" si="42"/>
        <v/>
      </c>
      <c r="AG243" s="9" t="str">
        <f t="shared" si="42"/>
        <v/>
      </c>
      <c r="AH243" s="9" t="str">
        <f t="shared" si="42"/>
        <v/>
      </c>
      <c r="AI243" s="9" t="str">
        <f t="shared" si="42"/>
        <v/>
      </c>
      <c r="AJ243" s="1"/>
      <c r="AK243" s="94"/>
      <c r="AL243" s="98"/>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684"/>
      <c r="CB243" s="684"/>
      <c r="CC243" s="684"/>
      <c r="CD243" s="684"/>
      <c r="CE243" s="684"/>
      <c r="CF243" s="684"/>
      <c r="CG243" s="684"/>
      <c r="CH243" s="684"/>
      <c r="CI243" s="684"/>
      <c r="CJ243" s="684"/>
      <c r="CK243" s="684"/>
      <c r="CL243" s="684"/>
      <c r="CM243" s="684"/>
      <c r="CN243" s="684"/>
      <c r="CO243" s="684"/>
      <c r="CP243" s="684"/>
      <c r="CQ243" s="684"/>
      <c r="CR243" s="684"/>
      <c r="CS243" s="684"/>
      <c r="CT243" s="684"/>
      <c r="CU243" s="684"/>
      <c r="CV243" s="684"/>
      <c r="CW243" s="684"/>
      <c r="CX243" s="684"/>
      <c r="CY243" s="684"/>
      <c r="CZ243" s="684"/>
      <c r="DA243" s="684"/>
      <c r="DB243" s="684"/>
      <c r="DC243" s="684"/>
    </row>
    <row r="244" spans="1:107" s="5" customFormat="1" ht="6" customHeight="1">
      <c r="A244" s="1"/>
      <c r="B244" s="631" t="str">
        <f t="shared" ref="B244" si="46">IF(B29="","",B29)</f>
        <v/>
      </c>
      <c r="C244" s="631" t="str">
        <f t="shared" si="42"/>
        <v/>
      </c>
      <c r="D244" s="631" t="str">
        <f t="shared" si="42"/>
        <v/>
      </c>
      <c r="E244" s="631" t="str">
        <f t="shared" si="42"/>
        <v/>
      </c>
      <c r="F244" s="631" t="str">
        <f t="shared" si="42"/>
        <v/>
      </c>
      <c r="G244" s="631" t="str">
        <f t="shared" si="42"/>
        <v/>
      </c>
      <c r="H244" s="631" t="str">
        <f t="shared" si="42"/>
        <v/>
      </c>
      <c r="I244" s="631" t="str">
        <f t="shared" si="42"/>
        <v/>
      </c>
      <c r="J244" s="631" t="str">
        <f t="shared" si="42"/>
        <v/>
      </c>
      <c r="K244" s="631" t="str">
        <f t="shared" si="42"/>
        <v/>
      </c>
      <c r="L244" s="631" t="str">
        <f t="shared" si="42"/>
        <v/>
      </c>
      <c r="M244" s="631" t="str">
        <f t="shared" si="42"/>
        <v/>
      </c>
      <c r="N244" s="631" t="str">
        <f t="shared" si="42"/>
        <v/>
      </c>
      <c r="O244" s="631" t="str">
        <f t="shared" si="42"/>
        <v/>
      </c>
      <c r="P244" s="631" t="str">
        <f t="shared" si="42"/>
        <v/>
      </c>
      <c r="Q244" s="631" t="str">
        <f t="shared" si="42"/>
        <v/>
      </c>
      <c r="R244" s="631" t="str">
        <f t="shared" si="42"/>
        <v/>
      </c>
      <c r="S244" s="631" t="str">
        <f t="shared" si="42"/>
        <v/>
      </c>
      <c r="T244" s="631" t="str">
        <f t="shared" si="42"/>
        <v/>
      </c>
      <c r="U244" s="631" t="str">
        <f t="shared" si="42"/>
        <v/>
      </c>
      <c r="V244" s="631" t="str">
        <f t="shared" si="42"/>
        <v/>
      </c>
      <c r="W244" s="631" t="str">
        <f t="shared" si="42"/>
        <v/>
      </c>
      <c r="X244" s="631" t="str">
        <f t="shared" si="42"/>
        <v/>
      </c>
      <c r="Y244" s="631" t="str">
        <f t="shared" si="42"/>
        <v/>
      </c>
      <c r="Z244" s="631" t="str">
        <f t="shared" si="42"/>
        <v/>
      </c>
      <c r="AA244" s="631" t="str">
        <f t="shared" si="42"/>
        <v/>
      </c>
      <c r="AB244" s="631" t="str">
        <f t="shared" si="42"/>
        <v/>
      </c>
      <c r="AC244" s="631" t="str">
        <f t="shared" si="42"/>
        <v/>
      </c>
      <c r="AD244" s="631" t="str">
        <f t="shared" si="42"/>
        <v/>
      </c>
      <c r="AE244" s="631" t="str">
        <f t="shared" si="42"/>
        <v/>
      </c>
      <c r="AF244" s="631" t="str">
        <f t="shared" si="42"/>
        <v/>
      </c>
      <c r="AG244" s="631" t="str">
        <f t="shared" si="42"/>
        <v/>
      </c>
      <c r="AH244" s="631" t="str">
        <f t="shared" si="42"/>
        <v/>
      </c>
      <c r="AI244" s="631" t="str">
        <f t="shared" si="42"/>
        <v/>
      </c>
      <c r="AJ244" s="1"/>
      <c r="AK244" s="94"/>
      <c r="AL244" s="98"/>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684"/>
      <c r="CB244" s="684"/>
      <c r="CC244" s="684"/>
      <c r="CD244" s="684"/>
      <c r="CE244" s="684"/>
      <c r="CF244" s="684"/>
      <c r="CG244" s="684"/>
      <c r="CH244" s="684"/>
      <c r="CI244" s="684"/>
      <c r="CJ244" s="684"/>
      <c r="CK244" s="684"/>
      <c r="CL244" s="684"/>
      <c r="CM244" s="684"/>
      <c r="CN244" s="684"/>
      <c r="CO244" s="684"/>
      <c r="CP244" s="684"/>
      <c r="CQ244" s="684"/>
      <c r="CR244" s="684"/>
      <c r="CS244" s="684"/>
      <c r="CT244" s="684"/>
      <c r="CU244" s="684"/>
      <c r="CV244" s="684"/>
      <c r="CW244" s="684"/>
      <c r="CX244" s="684"/>
      <c r="CY244" s="684"/>
      <c r="CZ244" s="684"/>
      <c r="DA244" s="684"/>
      <c r="DB244" s="684"/>
      <c r="DC244" s="684"/>
    </row>
    <row r="245" spans="1:107" s="5" customFormat="1" ht="12.75" customHeight="1">
      <c r="A245" s="1"/>
      <c r="B245" s="625" t="str">
        <f t="shared" ref="B245" si="47">IF(B30="","",B30)</f>
        <v>Common Area Incentives for New Construction and Major Renovations</v>
      </c>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1"/>
      <c r="AK245" s="94"/>
      <c r="AL245" s="98"/>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684"/>
      <c r="CB245" s="684"/>
      <c r="CC245" s="684"/>
      <c r="CD245" s="684"/>
      <c r="CE245" s="684"/>
      <c r="CF245" s="684"/>
      <c r="CG245" s="684"/>
      <c r="CH245" s="684"/>
      <c r="CI245" s="684"/>
      <c r="CJ245" s="684"/>
      <c r="CK245" s="684"/>
      <c r="CL245" s="684"/>
      <c r="CM245" s="684"/>
      <c r="CN245" s="684"/>
      <c r="CO245" s="684"/>
      <c r="CP245" s="684"/>
      <c r="CQ245" s="684"/>
      <c r="CR245" s="684"/>
      <c r="CS245" s="684"/>
      <c r="CT245" s="684"/>
      <c r="CU245" s="684"/>
      <c r="CV245" s="684"/>
      <c r="CW245" s="684"/>
      <c r="CX245" s="684"/>
      <c r="CY245" s="684"/>
      <c r="CZ245" s="684"/>
      <c r="DA245" s="684"/>
      <c r="DB245" s="684"/>
      <c r="DC245" s="684"/>
    </row>
    <row r="246" spans="1:107" s="5" customFormat="1" ht="12.75" customHeight="1">
      <c r="A246" s="1"/>
      <c r="B246" s="626" t="str">
        <f t="shared" ref="B246" si="48">IF(B31="","",B31)</f>
        <v>Lighting</v>
      </c>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1"/>
      <c r="AK246" s="94"/>
      <c r="AL246" s="98"/>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684"/>
      <c r="CB246" s="684"/>
      <c r="CC246" s="684"/>
      <c r="CD246" s="684"/>
      <c r="CE246" s="684"/>
      <c r="CF246" s="684"/>
      <c r="CG246" s="684"/>
      <c r="CH246" s="684"/>
      <c r="CI246" s="684"/>
      <c r="CJ246" s="684"/>
      <c r="CK246" s="684"/>
      <c r="CL246" s="684"/>
      <c r="CM246" s="684"/>
      <c r="CN246" s="684"/>
      <c r="CO246" s="684"/>
      <c r="CP246" s="684"/>
      <c r="CQ246" s="684"/>
      <c r="CR246" s="684"/>
      <c r="CS246" s="684"/>
      <c r="CT246" s="684"/>
      <c r="CU246" s="684"/>
      <c r="CV246" s="684"/>
      <c r="CW246" s="684"/>
      <c r="CX246" s="684"/>
      <c r="CY246" s="684"/>
      <c r="CZ246" s="684"/>
      <c r="DA246" s="684"/>
      <c r="DB246" s="684"/>
      <c r="DC246" s="684"/>
    </row>
    <row r="247" spans="1:107" s="5" customFormat="1" ht="12.75" customHeight="1">
      <c r="A247" s="1"/>
      <c r="B247" s="240"/>
      <c r="C247" s="241"/>
      <c r="D247" s="241"/>
      <c r="E247" s="241"/>
      <c r="F247" s="241"/>
      <c r="G247" s="241"/>
      <c r="H247" s="241"/>
      <c r="I247" s="241"/>
      <c r="J247" s="878" t="str">
        <f t="shared" ref="C247:AI254" si="49">IF(J32="","",J32)</f>
        <v>Lighting Load</v>
      </c>
      <c r="K247" s="878"/>
      <c r="L247" s="878"/>
      <c r="M247" s="878"/>
      <c r="N247" s="878"/>
      <c r="O247" s="878"/>
      <c r="P247" s="878"/>
      <c r="Q247" s="241" t="str">
        <f t="shared" si="49"/>
        <v/>
      </c>
      <c r="R247" s="241" t="str">
        <f t="shared" si="49"/>
        <v/>
      </c>
      <c r="S247" s="241" t="str">
        <f t="shared" si="49"/>
        <v/>
      </c>
      <c r="T247" s="241" t="str">
        <f t="shared" si="49"/>
        <v/>
      </c>
      <c r="U247" s="241" t="str">
        <f t="shared" si="49"/>
        <v/>
      </c>
      <c r="V247" s="241" t="str">
        <f t="shared" si="49"/>
        <v/>
      </c>
      <c r="W247" s="241" t="str">
        <f t="shared" si="49"/>
        <v/>
      </c>
      <c r="X247" s="241" t="str">
        <f t="shared" si="49"/>
        <v/>
      </c>
      <c r="Y247" s="241" t="str">
        <f t="shared" si="49"/>
        <v/>
      </c>
      <c r="Z247" s="241" t="str">
        <f t="shared" si="49"/>
        <v/>
      </c>
      <c r="AA247" s="879" t="str">
        <f t="shared" si="49"/>
        <v>x $0.10, $0.20 or $0.30 per sq ft    (or calculated) =</v>
      </c>
      <c r="AB247" s="879"/>
      <c r="AC247" s="879"/>
      <c r="AD247" s="879"/>
      <c r="AE247" s="241" t="str">
        <f t="shared" si="49"/>
        <v/>
      </c>
      <c r="AF247" s="241" t="str">
        <f t="shared" si="49"/>
        <v/>
      </c>
      <c r="AG247" s="241" t="str">
        <f t="shared" si="49"/>
        <v/>
      </c>
      <c r="AH247" s="241" t="str">
        <f t="shared" si="49"/>
        <v/>
      </c>
      <c r="AI247" s="242" t="str">
        <f t="shared" si="49"/>
        <v/>
      </c>
      <c r="AJ247" s="1"/>
      <c r="AK247" s="94"/>
      <c r="AL247" s="98"/>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684"/>
      <c r="CB247" s="684"/>
      <c r="CC247" s="684"/>
      <c r="CD247" s="684"/>
      <c r="CE247" s="684"/>
      <c r="CF247" s="684"/>
      <c r="CG247" s="684"/>
      <c r="CH247" s="684"/>
      <c r="CI247" s="684"/>
      <c r="CJ247" s="684"/>
      <c r="CK247" s="684"/>
      <c r="CL247" s="684"/>
      <c r="CM247" s="684"/>
      <c r="CN247" s="684"/>
      <c r="CO247" s="684"/>
      <c r="CP247" s="684"/>
      <c r="CQ247" s="684"/>
      <c r="CR247" s="684"/>
      <c r="CS247" s="684"/>
      <c r="CT247" s="684"/>
      <c r="CU247" s="684"/>
      <c r="CV247" s="684"/>
      <c r="CW247" s="684"/>
      <c r="CX247" s="684"/>
      <c r="CY247" s="684"/>
      <c r="CZ247" s="684"/>
      <c r="DA247" s="684"/>
      <c r="DB247" s="684"/>
      <c r="DC247" s="684"/>
    </row>
    <row r="248" spans="1:107" s="5" customFormat="1">
      <c r="A248" s="1"/>
      <c r="B248" s="253"/>
      <c r="C248" s="9"/>
      <c r="D248" s="9"/>
      <c r="E248" s="9"/>
      <c r="F248" s="9"/>
      <c r="G248" s="9"/>
      <c r="H248" s="9"/>
      <c r="I248" s="9"/>
      <c r="J248" s="9" t="str">
        <f t="shared" si="49"/>
        <v>Actual [kW]</v>
      </c>
      <c r="K248" s="9"/>
      <c r="L248" s="9"/>
      <c r="M248" s="9" t="str">
        <f t="shared" si="49"/>
        <v>Code [kW]</v>
      </c>
      <c r="N248" s="9"/>
      <c r="O248" s="847" t="str">
        <f t="shared" si="49"/>
        <v>% Below Code</v>
      </c>
      <c r="P248" s="847"/>
      <c r="Q248" s="847"/>
      <c r="R248" s="847"/>
      <c r="S248" s="9" t="str">
        <f t="shared" si="49"/>
        <v>Operating Hours</v>
      </c>
      <c r="T248" s="9"/>
      <c r="U248" s="9"/>
      <c r="V248" s="9"/>
      <c r="W248" s="9"/>
      <c r="X248" s="9"/>
      <c r="Y248" s="9"/>
      <c r="Z248" s="9"/>
      <c r="AA248" s="736"/>
      <c r="AB248" s="736"/>
      <c r="AC248" s="736"/>
      <c r="AD248" s="736"/>
      <c r="AE248" s="9"/>
      <c r="AF248" s="9" t="str">
        <f t="shared" si="49"/>
        <v>Incentive</v>
      </c>
      <c r="AG248" s="9"/>
      <c r="AH248" s="9"/>
      <c r="AI248" s="633"/>
      <c r="AJ248" s="1"/>
      <c r="AK248" s="94"/>
      <c r="AL248" s="98"/>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684"/>
      <c r="CB248" s="684"/>
      <c r="CC248" s="684"/>
      <c r="CD248" s="684"/>
      <c r="CE248" s="684"/>
      <c r="CF248" s="684"/>
      <c r="CG248" s="684"/>
      <c r="CH248" s="684"/>
      <c r="CI248" s="684"/>
      <c r="CJ248" s="684"/>
      <c r="CK248" s="684"/>
      <c r="CL248" s="684"/>
      <c r="CM248" s="684"/>
      <c r="CN248" s="684"/>
      <c r="CO248" s="684"/>
      <c r="CP248" s="684"/>
      <c r="CQ248" s="684"/>
      <c r="CR248" s="684"/>
      <c r="CS248" s="684"/>
      <c r="CT248" s="684"/>
      <c r="CU248" s="684"/>
      <c r="CV248" s="684"/>
      <c r="CW248" s="684"/>
      <c r="CX248" s="684"/>
      <c r="CY248" s="684"/>
      <c r="CZ248" s="684"/>
      <c r="DA248" s="684"/>
      <c r="DB248" s="684"/>
      <c r="DC248" s="684"/>
    </row>
    <row r="249" spans="1:107" s="5" customFormat="1" ht="12.75" customHeight="1">
      <c r="A249" s="1"/>
      <c r="B249" s="253" t="str">
        <f t="shared" ref="B249" si="50">IF(B34="","",B34)</f>
        <v/>
      </c>
      <c r="C249" s="9" t="str">
        <f t="shared" si="49"/>
        <v xml:space="preserve"> L1N - Interior Light Load Red.</v>
      </c>
      <c r="D249" s="9"/>
      <c r="E249" s="9"/>
      <c r="F249" s="9"/>
      <c r="G249" s="9"/>
      <c r="H249" s="9"/>
      <c r="I249" s="9"/>
      <c r="J249" s="844" t="str">
        <f t="shared" si="49"/>
        <v/>
      </c>
      <c r="K249" s="845"/>
      <c r="L249" s="9" t="str">
        <f t="shared" si="49"/>
        <v/>
      </c>
      <c r="M249" s="844" t="str">
        <f t="shared" ref="M249:M250" si="51">IF(M34="","",M34)</f>
        <v/>
      </c>
      <c r="N249" s="845"/>
      <c r="O249" s="9" t="str">
        <f t="shared" si="49"/>
        <v/>
      </c>
      <c r="P249" s="846" t="str">
        <f t="shared" ref="P249:P250" si="52">IF(P34="","",P34)</f>
        <v/>
      </c>
      <c r="Q249" s="846"/>
      <c r="R249" s="9" t="str">
        <f t="shared" si="49"/>
        <v/>
      </c>
      <c r="S249" s="844" t="str">
        <f t="shared" ref="S249:S250" si="53">IF(S34="","",S34)</f>
        <v/>
      </c>
      <c r="T249" s="845"/>
      <c r="U249" s="9"/>
      <c r="V249" s="9"/>
      <c r="W249" s="623" t="str">
        <f t="shared" si="49"/>
        <v xml:space="preserve">Floor Area: </v>
      </c>
      <c r="X249" s="844" t="str">
        <f t="shared" ref="X249:X251" si="54">IF(X34="","",X34)</f>
        <v/>
      </c>
      <c r="Y249" s="845"/>
      <c r="Z249" s="9" t="str">
        <f t="shared" si="49"/>
        <v>sq ft</v>
      </c>
      <c r="AA249" s="736"/>
      <c r="AB249" s="736"/>
      <c r="AC249" s="736"/>
      <c r="AD249" s="736"/>
      <c r="AE249" s="9" t="str">
        <f t="shared" si="49"/>
        <v>$</v>
      </c>
      <c r="AF249" s="846" t="str">
        <f t="shared" ref="AF249:AF250" si="55">IF(AF34="","",AF34)</f>
        <v/>
      </c>
      <c r="AG249" s="846"/>
      <c r="AH249" s="846"/>
      <c r="AI249" s="633" t="str">
        <f t="shared" si="49"/>
        <v/>
      </c>
      <c r="AJ249" s="1"/>
      <c r="AK249" s="94"/>
      <c r="AL249" s="98"/>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684"/>
      <c r="CB249" s="684"/>
      <c r="CC249" s="684"/>
      <c r="CD249" s="684"/>
      <c r="CE249" s="684"/>
      <c r="CF249" s="684"/>
      <c r="CG249" s="684"/>
      <c r="CH249" s="684"/>
      <c r="CI249" s="684"/>
      <c r="CJ249" s="684"/>
      <c r="CK249" s="684"/>
      <c r="CL249" s="684"/>
      <c r="CM249" s="684"/>
      <c r="CN249" s="684"/>
      <c r="CO249" s="684"/>
      <c r="CP249" s="684"/>
      <c r="CQ249" s="684"/>
      <c r="CR249" s="684"/>
      <c r="CS249" s="684"/>
      <c r="CT249" s="684"/>
      <c r="CU249" s="684"/>
      <c r="CV249" s="684"/>
      <c r="CW249" s="684"/>
      <c r="CX249" s="684"/>
      <c r="CY249" s="684"/>
      <c r="CZ249" s="684"/>
      <c r="DA249" s="684"/>
      <c r="DB249" s="684"/>
      <c r="DC249" s="684"/>
    </row>
    <row r="250" spans="1:107" s="5" customFormat="1" ht="12.75" customHeight="1">
      <c r="A250" s="1"/>
      <c r="B250" s="253" t="str">
        <f t="shared" ref="B250" si="56">IF(B35="","",B35)</f>
        <v/>
      </c>
      <c r="C250" s="9" t="str">
        <f t="shared" si="49"/>
        <v xml:space="preserve"> L2N - Exterior Light Load Red.</v>
      </c>
      <c r="D250" s="9"/>
      <c r="E250" s="9"/>
      <c r="F250" s="9"/>
      <c r="G250" s="9"/>
      <c r="H250" s="9"/>
      <c r="I250" s="9"/>
      <c r="J250" s="844" t="str">
        <f t="shared" ref="J250" si="57">IF(J35="","",J35)</f>
        <v/>
      </c>
      <c r="K250" s="845"/>
      <c r="L250" s="9" t="str">
        <f t="shared" si="49"/>
        <v/>
      </c>
      <c r="M250" s="844" t="str">
        <f t="shared" si="51"/>
        <v/>
      </c>
      <c r="N250" s="845"/>
      <c r="O250" s="9" t="str">
        <f t="shared" si="49"/>
        <v/>
      </c>
      <c r="P250" s="846" t="str">
        <f t="shared" si="52"/>
        <v/>
      </c>
      <c r="Q250" s="846"/>
      <c r="R250" s="9" t="str">
        <f t="shared" si="49"/>
        <v/>
      </c>
      <c r="S250" s="844" t="str">
        <f t="shared" si="53"/>
        <v/>
      </c>
      <c r="T250" s="845"/>
      <c r="U250" s="9"/>
      <c r="V250" s="9"/>
      <c r="W250" s="623" t="str">
        <f t="shared" si="49"/>
        <v xml:space="preserve">Reduction: </v>
      </c>
      <c r="X250" s="863" t="str">
        <f t="shared" si="49"/>
        <v/>
      </c>
      <c r="Y250" s="863"/>
      <c r="Z250" s="9" t="str">
        <f t="shared" si="49"/>
        <v>kW</v>
      </c>
      <c r="AA250" s="9"/>
      <c r="AB250" s="9"/>
      <c r="AC250" s="9"/>
      <c r="AD250" s="623" t="str">
        <f t="shared" si="49"/>
        <v>x $200 per kW =</v>
      </c>
      <c r="AE250" s="9" t="str">
        <f t="shared" si="49"/>
        <v>$</v>
      </c>
      <c r="AF250" s="846" t="str">
        <f t="shared" si="55"/>
        <v/>
      </c>
      <c r="AG250" s="846"/>
      <c r="AH250" s="846"/>
      <c r="AI250" s="633" t="str">
        <f t="shared" si="49"/>
        <v/>
      </c>
      <c r="AJ250" s="1"/>
      <c r="AK250" s="94"/>
      <c r="AL250" s="98"/>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684"/>
      <c r="CB250" s="684"/>
      <c r="CC250" s="684"/>
      <c r="CD250" s="684"/>
      <c r="CE250" s="684"/>
      <c r="CF250" s="684"/>
      <c r="CG250" s="684"/>
      <c r="CH250" s="684"/>
      <c r="CI250" s="684"/>
      <c r="CJ250" s="684"/>
      <c r="CK250" s="684"/>
      <c r="CL250" s="684"/>
      <c r="CM250" s="684"/>
      <c r="CN250" s="684"/>
      <c r="CO250" s="684"/>
      <c r="CP250" s="684"/>
      <c r="CQ250" s="684"/>
      <c r="CR250" s="684"/>
      <c r="CS250" s="684"/>
      <c r="CT250" s="684"/>
      <c r="CU250" s="684"/>
      <c r="CV250" s="684"/>
      <c r="CW250" s="684"/>
      <c r="CX250" s="684"/>
      <c r="CY250" s="684"/>
      <c r="CZ250" s="684"/>
      <c r="DA250" s="684"/>
      <c r="DB250" s="684"/>
      <c r="DC250" s="684"/>
    </row>
    <row r="251" spans="1:107" s="630" customFormat="1" ht="12.75" hidden="1" customHeight="1">
      <c r="A251" s="504"/>
      <c r="B251" s="636" t="str">
        <f t="shared" ref="B251" si="58">IF(B36="","",B36)</f>
        <v/>
      </c>
      <c r="C251" s="628" t="str">
        <f t="shared" si="49"/>
        <v xml:space="preserve"> L3a - LLLC Interior (Networked)</v>
      </c>
      <c r="D251" s="628" t="str">
        <f t="shared" si="49"/>
        <v/>
      </c>
      <c r="E251" s="628" t="str">
        <f t="shared" si="49"/>
        <v/>
      </c>
      <c r="F251" s="628" t="str">
        <f t="shared" si="49"/>
        <v/>
      </c>
      <c r="G251" s="628" t="str">
        <f t="shared" si="49"/>
        <v/>
      </c>
      <c r="H251" s="628" t="str">
        <f t="shared" si="49"/>
        <v/>
      </c>
      <c r="I251" s="628" t="str">
        <f t="shared" si="49"/>
        <v/>
      </c>
      <c r="J251" s="628" t="str">
        <f t="shared" si="49"/>
        <v/>
      </c>
      <c r="K251" s="628" t="str">
        <f t="shared" si="49"/>
        <v/>
      </c>
      <c r="L251" s="628" t="str">
        <f t="shared" si="49"/>
        <v>See L3 LLLC Tab for Req.</v>
      </c>
      <c r="M251" s="628" t="str">
        <f t="shared" si="49"/>
        <v/>
      </c>
      <c r="N251" s="628" t="str">
        <f t="shared" si="49"/>
        <v/>
      </c>
      <c r="O251" s="628" t="str">
        <f t="shared" si="49"/>
        <v/>
      </c>
      <c r="P251" s="628" t="str">
        <f t="shared" si="49"/>
        <v/>
      </c>
      <c r="Q251" s="628" t="str">
        <f t="shared" si="49"/>
        <v/>
      </c>
      <c r="R251" s="628" t="str">
        <f t="shared" si="49"/>
        <v/>
      </c>
      <c r="S251" s="628" t="str">
        <f t="shared" si="49"/>
        <v/>
      </c>
      <c r="T251" s="628" t="str">
        <f t="shared" si="49"/>
        <v/>
      </c>
      <c r="U251" s="628" t="str">
        <f t="shared" si="49"/>
        <v/>
      </c>
      <c r="V251" s="628" t="str">
        <f t="shared" si="49"/>
        <v/>
      </c>
      <c r="W251" s="637" t="str">
        <f t="shared" si="49"/>
        <v xml:space="preserve">Installed: </v>
      </c>
      <c r="X251" s="857" t="str">
        <f t="shared" si="54"/>
        <v/>
      </c>
      <c r="Y251" s="858"/>
      <c r="Z251" s="628" t="str">
        <f t="shared" si="49"/>
        <v>kW</v>
      </c>
      <c r="AA251" s="628" t="str">
        <f t="shared" si="49"/>
        <v/>
      </c>
      <c r="AB251" s="628" t="str">
        <f t="shared" si="49"/>
        <v/>
      </c>
      <c r="AC251" s="628" t="str">
        <f t="shared" si="49"/>
        <v/>
      </c>
      <c r="AD251" s="637" t="str">
        <f t="shared" si="49"/>
        <v>x $0.26 per kWh=</v>
      </c>
      <c r="AE251" s="628" t="str">
        <f t="shared" si="49"/>
        <v>$</v>
      </c>
      <c r="AF251" s="628" t="str">
        <f t="shared" si="49"/>
        <v/>
      </c>
      <c r="AG251" s="628" t="str">
        <f t="shared" si="49"/>
        <v/>
      </c>
      <c r="AH251" s="628" t="str">
        <f t="shared" si="49"/>
        <v/>
      </c>
      <c r="AI251" s="638" t="str">
        <f t="shared" si="49"/>
        <v/>
      </c>
      <c r="AJ251" s="504"/>
      <c r="AK251" s="627"/>
      <c r="AL251" s="629"/>
      <c r="AM251" s="627"/>
      <c r="AN251" s="627"/>
      <c r="AO251" s="627"/>
      <c r="AP251" s="627"/>
      <c r="AQ251" s="627"/>
      <c r="AR251" s="627"/>
      <c r="AS251" s="627"/>
      <c r="AT251" s="627"/>
      <c r="AU251" s="627"/>
      <c r="AV251" s="627"/>
      <c r="AW251" s="627"/>
      <c r="AX251" s="627"/>
      <c r="AY251" s="627"/>
      <c r="AZ251" s="627"/>
      <c r="BA251" s="627"/>
      <c r="BB251" s="627"/>
      <c r="BC251" s="627"/>
      <c r="BD251" s="627"/>
      <c r="BE251" s="627"/>
      <c r="BF251" s="627"/>
      <c r="BG251" s="627"/>
      <c r="BH251" s="627"/>
      <c r="BI251" s="627"/>
      <c r="BJ251" s="627"/>
      <c r="BK251" s="627"/>
      <c r="BL251" s="627"/>
      <c r="BM251" s="627"/>
      <c r="BN251" s="627"/>
      <c r="BO251" s="627"/>
      <c r="BP251" s="627"/>
      <c r="BQ251" s="627"/>
      <c r="BR251" s="627"/>
      <c r="BS251" s="627"/>
      <c r="BT251" s="627"/>
      <c r="BU251" s="627"/>
      <c r="BV251" s="627"/>
      <c r="BW251" s="627"/>
      <c r="BX251" s="627"/>
      <c r="BY251" s="627"/>
      <c r="BZ251" s="627"/>
      <c r="CA251" s="690"/>
      <c r="CB251" s="690"/>
      <c r="CC251" s="690"/>
      <c r="CD251" s="690"/>
      <c r="CE251" s="690"/>
      <c r="CF251" s="690"/>
      <c r="CG251" s="690"/>
      <c r="CH251" s="690"/>
      <c r="CI251" s="690"/>
      <c r="CJ251" s="690"/>
      <c r="CK251" s="690"/>
      <c r="CL251" s="690"/>
      <c r="CM251" s="690"/>
      <c r="CN251" s="690"/>
      <c r="CO251" s="690"/>
      <c r="CP251" s="690"/>
      <c r="CQ251" s="690"/>
      <c r="CR251" s="690"/>
      <c r="CS251" s="690"/>
      <c r="CT251" s="690"/>
      <c r="CU251" s="690"/>
      <c r="CV251" s="690"/>
      <c r="CW251" s="690"/>
      <c r="CX251" s="690"/>
      <c r="CY251" s="690"/>
      <c r="CZ251" s="690"/>
      <c r="DA251" s="690"/>
      <c r="DB251" s="690"/>
      <c r="DC251" s="690"/>
    </row>
    <row r="252" spans="1:107" s="630" customFormat="1" ht="12.75" hidden="1" customHeight="1">
      <c r="A252" s="504"/>
      <c r="B252" s="636" t="str">
        <f t="shared" ref="B252" si="59">IF(B37="","",B37)</f>
        <v/>
      </c>
      <c r="C252" s="628" t="str">
        <f t="shared" si="49"/>
        <v/>
      </c>
      <c r="D252" s="628" t="str">
        <f t="shared" si="49"/>
        <v/>
      </c>
      <c r="E252" s="628" t="str">
        <f t="shared" si="49"/>
        <v/>
      </c>
      <c r="F252" s="628" t="str">
        <f t="shared" si="49"/>
        <v>Control Strategy 1:</v>
      </c>
      <c r="G252" s="628" t="str">
        <f t="shared" si="49"/>
        <v/>
      </c>
      <c r="H252" s="628" t="str">
        <f t="shared" si="49"/>
        <v/>
      </c>
      <c r="I252" s="628" t="str">
        <f t="shared" si="49"/>
        <v/>
      </c>
      <c r="J252" s="628" t="str">
        <f t="shared" si="49"/>
        <v/>
      </c>
      <c r="K252" s="628" t="str">
        <f t="shared" si="49"/>
        <v/>
      </c>
      <c r="L252" s="628" t="str">
        <f t="shared" si="49"/>
        <v/>
      </c>
      <c r="M252" s="628" t="str">
        <f t="shared" si="49"/>
        <v/>
      </c>
      <c r="N252" s="628" t="str">
        <f t="shared" si="49"/>
        <v/>
      </c>
      <c r="O252" s="628" t="str">
        <f t="shared" si="49"/>
        <v/>
      </c>
      <c r="P252" s="628" t="str">
        <f t="shared" si="49"/>
        <v/>
      </c>
      <c r="Q252" s="628" t="str">
        <f t="shared" si="49"/>
        <v/>
      </c>
      <c r="R252" s="628" t="str">
        <f t="shared" si="49"/>
        <v/>
      </c>
      <c r="S252" s="628" t="str">
        <f t="shared" si="49"/>
        <v/>
      </c>
      <c r="T252" s="628" t="str">
        <f t="shared" si="49"/>
        <v/>
      </c>
      <c r="U252" s="628" t="str">
        <f t="shared" si="49"/>
        <v/>
      </c>
      <c r="V252" s="628" t="str">
        <f t="shared" si="49"/>
        <v>Control Strategy 2:</v>
      </c>
      <c r="W252" s="628" t="str">
        <f t="shared" si="49"/>
        <v/>
      </c>
      <c r="X252" s="628" t="str">
        <f t="shared" si="49"/>
        <v/>
      </c>
      <c r="Y252" s="628" t="str">
        <f t="shared" si="49"/>
        <v/>
      </c>
      <c r="Z252" s="628" t="str">
        <f t="shared" si="49"/>
        <v/>
      </c>
      <c r="AA252" s="628" t="str">
        <f t="shared" si="49"/>
        <v/>
      </c>
      <c r="AB252" s="628" t="str">
        <f t="shared" si="49"/>
        <v/>
      </c>
      <c r="AC252" s="628" t="str">
        <f t="shared" si="49"/>
        <v/>
      </c>
      <c r="AD252" s="637" t="str">
        <f t="shared" si="49"/>
        <v/>
      </c>
      <c r="AE252" s="628" t="str">
        <f t="shared" si="49"/>
        <v/>
      </c>
      <c r="AF252" s="628" t="str">
        <f t="shared" si="49"/>
        <v/>
      </c>
      <c r="AG252" s="628" t="str">
        <f t="shared" si="49"/>
        <v/>
      </c>
      <c r="AH252" s="628" t="str">
        <f t="shared" si="49"/>
        <v/>
      </c>
      <c r="AI252" s="638" t="str">
        <f t="shared" si="49"/>
        <v/>
      </c>
      <c r="AJ252" s="504"/>
      <c r="AK252" s="627"/>
      <c r="AL252" s="629"/>
      <c r="AM252" s="627"/>
      <c r="AN252" s="627"/>
      <c r="AO252" s="627"/>
      <c r="AP252" s="627"/>
      <c r="AQ252" s="627"/>
      <c r="AR252" s="627"/>
      <c r="AS252" s="627"/>
      <c r="AT252" s="627"/>
      <c r="AU252" s="627"/>
      <c r="AV252" s="627"/>
      <c r="AW252" s="627"/>
      <c r="AX252" s="627"/>
      <c r="AY252" s="627"/>
      <c r="AZ252" s="627"/>
      <c r="BA252" s="627"/>
      <c r="BB252" s="627"/>
      <c r="BC252" s="627"/>
      <c r="BD252" s="627"/>
      <c r="BE252" s="627"/>
      <c r="BF252" s="627"/>
      <c r="BG252" s="627"/>
      <c r="BH252" s="627"/>
      <c r="BI252" s="627"/>
      <c r="BJ252" s="627"/>
      <c r="BK252" s="627"/>
      <c r="BL252" s="627"/>
      <c r="BM252" s="627"/>
      <c r="BN252" s="627"/>
      <c r="BO252" s="627"/>
      <c r="BP252" s="627"/>
      <c r="BQ252" s="627"/>
      <c r="BR252" s="627"/>
      <c r="BS252" s="627"/>
      <c r="BT252" s="627"/>
      <c r="BU252" s="627"/>
      <c r="BV252" s="627"/>
      <c r="BW252" s="627"/>
      <c r="BX252" s="627"/>
      <c r="BY252" s="627"/>
      <c r="BZ252" s="627"/>
      <c r="CA252" s="690"/>
      <c r="CB252" s="690"/>
      <c r="CC252" s="690"/>
      <c r="CD252" s="690"/>
      <c r="CE252" s="690"/>
      <c r="CF252" s="690"/>
      <c r="CG252" s="690"/>
      <c r="CH252" s="690"/>
      <c r="CI252" s="690"/>
      <c r="CJ252" s="690"/>
      <c r="CK252" s="690"/>
      <c r="CL252" s="690"/>
      <c r="CM252" s="690"/>
      <c r="CN252" s="690"/>
      <c r="CO252" s="690"/>
      <c r="CP252" s="690"/>
      <c r="CQ252" s="690"/>
      <c r="CR252" s="690"/>
      <c r="CS252" s="690"/>
      <c r="CT252" s="690"/>
      <c r="CU252" s="690"/>
      <c r="CV252" s="690"/>
      <c r="CW252" s="690"/>
      <c r="CX252" s="690"/>
      <c r="CY252" s="690"/>
      <c r="CZ252" s="690"/>
      <c r="DA252" s="690"/>
      <c r="DB252" s="690"/>
      <c r="DC252" s="690"/>
    </row>
    <row r="253" spans="1:107" s="630" customFormat="1" ht="12.75" hidden="1" customHeight="1">
      <c r="A253" s="504"/>
      <c r="B253" s="636" t="str">
        <f t="shared" ref="B253" si="60">IF(B38="","",B38)</f>
        <v/>
      </c>
      <c r="C253" s="628" t="str">
        <f t="shared" si="49"/>
        <v xml:space="preserve"> L3b - LLLC Exterior (Networked)</v>
      </c>
      <c r="D253" s="628" t="str">
        <f t="shared" si="49"/>
        <v/>
      </c>
      <c r="E253" s="628" t="str">
        <f t="shared" si="49"/>
        <v/>
      </c>
      <c r="F253" s="628" t="str">
        <f t="shared" si="49"/>
        <v/>
      </c>
      <c r="G253" s="628" t="str">
        <f t="shared" si="49"/>
        <v/>
      </c>
      <c r="H253" s="628" t="str">
        <f t="shared" si="49"/>
        <v/>
      </c>
      <c r="I253" s="628" t="str">
        <f t="shared" si="49"/>
        <v/>
      </c>
      <c r="J253" s="628" t="str">
        <f t="shared" si="49"/>
        <v/>
      </c>
      <c r="K253" s="628" t="str">
        <f t="shared" si="49"/>
        <v/>
      </c>
      <c r="L253" s="628" t="str">
        <f t="shared" si="49"/>
        <v>See L3 LLLC Tab for Req.</v>
      </c>
      <c r="M253" s="628" t="str">
        <f t="shared" si="49"/>
        <v/>
      </c>
      <c r="N253" s="628" t="str">
        <f t="shared" si="49"/>
        <v/>
      </c>
      <c r="O253" s="628" t="str">
        <f t="shared" si="49"/>
        <v/>
      </c>
      <c r="P253" s="628" t="str">
        <f t="shared" si="49"/>
        <v/>
      </c>
      <c r="Q253" s="628" t="str">
        <f t="shared" si="49"/>
        <v/>
      </c>
      <c r="R253" s="628" t="str">
        <f t="shared" si="49"/>
        <v/>
      </c>
      <c r="S253" s="628" t="str">
        <f t="shared" si="49"/>
        <v/>
      </c>
      <c r="T253" s="628" t="str">
        <f t="shared" si="49"/>
        <v/>
      </c>
      <c r="U253" s="628" t="str">
        <f t="shared" si="49"/>
        <v/>
      </c>
      <c r="V253" s="628" t="str">
        <f t="shared" si="49"/>
        <v/>
      </c>
      <c r="W253" s="628" t="str">
        <f t="shared" si="49"/>
        <v xml:space="preserve">Installed: </v>
      </c>
      <c r="X253" s="628" t="str">
        <f t="shared" si="49"/>
        <v/>
      </c>
      <c r="Y253" s="628" t="str">
        <f t="shared" si="49"/>
        <v/>
      </c>
      <c r="Z253" s="628" t="str">
        <f t="shared" si="49"/>
        <v>kW</v>
      </c>
      <c r="AA253" s="628" t="str">
        <f t="shared" si="49"/>
        <v/>
      </c>
      <c r="AB253" s="628" t="str">
        <f t="shared" si="49"/>
        <v/>
      </c>
      <c r="AC253" s="628" t="str">
        <f t="shared" si="49"/>
        <v/>
      </c>
      <c r="AD253" s="637" t="str">
        <f t="shared" si="49"/>
        <v>x $0.20 per kWh=</v>
      </c>
      <c r="AE253" s="628" t="str">
        <f t="shared" si="49"/>
        <v>$</v>
      </c>
      <c r="AF253" s="628" t="str">
        <f t="shared" si="49"/>
        <v/>
      </c>
      <c r="AG253" s="628" t="str">
        <f t="shared" si="49"/>
        <v/>
      </c>
      <c r="AH253" s="628" t="str">
        <f t="shared" si="49"/>
        <v/>
      </c>
      <c r="AI253" s="638" t="str">
        <f t="shared" si="49"/>
        <v/>
      </c>
      <c r="AJ253" s="504"/>
      <c r="AK253" s="627"/>
      <c r="AL253" s="629"/>
      <c r="AM253" s="627"/>
      <c r="AN253" s="627"/>
      <c r="AO253" s="627"/>
      <c r="AP253" s="627"/>
      <c r="AQ253" s="627"/>
      <c r="AR253" s="627"/>
      <c r="AS253" s="627"/>
      <c r="AT253" s="627"/>
      <c r="AU253" s="627"/>
      <c r="AV253" s="627"/>
      <c r="AW253" s="627"/>
      <c r="AX253" s="627"/>
      <c r="AY253" s="627"/>
      <c r="AZ253" s="627"/>
      <c r="BA253" s="627"/>
      <c r="BB253" s="627"/>
      <c r="BC253" s="627"/>
      <c r="BD253" s="627"/>
      <c r="BE253" s="627"/>
      <c r="BF253" s="627"/>
      <c r="BG253" s="627"/>
      <c r="BH253" s="627"/>
      <c r="BI253" s="627"/>
      <c r="BJ253" s="627"/>
      <c r="BK253" s="627"/>
      <c r="BL253" s="627"/>
      <c r="BM253" s="627"/>
      <c r="BN253" s="627"/>
      <c r="BO253" s="627"/>
      <c r="BP253" s="627"/>
      <c r="BQ253" s="627"/>
      <c r="BR253" s="627"/>
      <c r="BS253" s="627"/>
      <c r="BT253" s="627"/>
      <c r="BU253" s="627"/>
      <c r="BV253" s="627"/>
      <c r="BW253" s="627"/>
      <c r="BX253" s="627"/>
      <c r="BY253" s="627"/>
      <c r="BZ253" s="627"/>
      <c r="CA253" s="690"/>
      <c r="CB253" s="690"/>
      <c r="CC253" s="690"/>
      <c r="CD253" s="690"/>
      <c r="CE253" s="690"/>
      <c r="CF253" s="690"/>
      <c r="CG253" s="690"/>
      <c r="CH253" s="690"/>
      <c r="CI253" s="690"/>
      <c r="CJ253" s="690"/>
      <c r="CK253" s="690"/>
      <c r="CL253" s="690"/>
      <c r="CM253" s="690"/>
      <c r="CN253" s="690"/>
      <c r="CO253" s="690"/>
      <c r="CP253" s="690"/>
      <c r="CQ253" s="690"/>
      <c r="CR253" s="690"/>
      <c r="CS253" s="690"/>
      <c r="CT253" s="690"/>
      <c r="CU253" s="690"/>
      <c r="CV253" s="690"/>
      <c r="CW253" s="690"/>
      <c r="CX253" s="690"/>
      <c r="CY253" s="690"/>
      <c r="CZ253" s="690"/>
      <c r="DA253" s="690"/>
      <c r="DB253" s="690"/>
      <c r="DC253" s="690"/>
    </row>
    <row r="254" spans="1:107" s="630" customFormat="1" ht="12.75" hidden="1" customHeight="1">
      <c r="A254" s="504"/>
      <c r="B254" s="636" t="str">
        <f t="shared" ref="B254" si="61">IF(B39="","",B39)</f>
        <v/>
      </c>
      <c r="C254" s="628" t="str">
        <f t="shared" si="49"/>
        <v/>
      </c>
      <c r="D254" s="628" t="str">
        <f t="shared" si="49"/>
        <v/>
      </c>
      <c r="E254" s="628" t="str">
        <f t="shared" si="49"/>
        <v/>
      </c>
      <c r="F254" s="628" t="str">
        <f t="shared" si="49"/>
        <v>Control Strategy 1:</v>
      </c>
      <c r="G254" s="628" t="str">
        <f t="shared" si="49"/>
        <v/>
      </c>
      <c r="H254" s="628" t="str">
        <f t="shared" si="49"/>
        <v/>
      </c>
      <c r="I254" s="628" t="str">
        <f t="shared" si="49"/>
        <v/>
      </c>
      <c r="J254" s="628" t="str">
        <f t="shared" si="49"/>
        <v/>
      </c>
      <c r="K254" s="628" t="str">
        <f t="shared" si="49"/>
        <v/>
      </c>
      <c r="L254" s="628" t="str">
        <f t="shared" si="49"/>
        <v/>
      </c>
      <c r="M254" s="628" t="str">
        <f t="shared" si="49"/>
        <v/>
      </c>
      <c r="N254" s="628" t="str">
        <f t="shared" si="49"/>
        <v/>
      </c>
      <c r="O254" s="628" t="str">
        <f t="shared" si="49"/>
        <v/>
      </c>
      <c r="P254" s="628" t="str">
        <f t="shared" si="49"/>
        <v/>
      </c>
      <c r="Q254" s="628" t="str">
        <f t="shared" si="49"/>
        <v/>
      </c>
      <c r="R254" s="628" t="str">
        <f t="shared" si="49"/>
        <v/>
      </c>
      <c r="S254" s="628" t="str">
        <f t="shared" si="49"/>
        <v/>
      </c>
      <c r="T254" s="628" t="str">
        <f t="shared" si="49"/>
        <v/>
      </c>
      <c r="U254" s="628" t="str">
        <f t="shared" si="49"/>
        <v/>
      </c>
      <c r="V254" s="628" t="str">
        <f t="shared" si="49"/>
        <v>Control Strategy 2:</v>
      </c>
      <c r="W254" s="628" t="str">
        <f t="shared" si="49"/>
        <v/>
      </c>
      <c r="X254" s="628" t="str">
        <f t="shared" si="49"/>
        <v/>
      </c>
      <c r="Y254" s="628" t="str">
        <f t="shared" si="49"/>
        <v/>
      </c>
      <c r="Z254" s="628" t="str">
        <f t="shared" si="49"/>
        <v/>
      </c>
      <c r="AA254" s="628" t="str">
        <f t="shared" si="49"/>
        <v/>
      </c>
      <c r="AB254" s="628" t="str">
        <f t="shared" si="49"/>
        <v/>
      </c>
      <c r="AC254" s="628" t="str">
        <f t="shared" si="49"/>
        <v/>
      </c>
      <c r="AD254" s="637" t="str">
        <f t="shared" ref="C254:AI261" si="62">IF(AD39="","",AD39)</f>
        <v/>
      </c>
      <c r="AE254" s="628" t="str">
        <f t="shared" si="62"/>
        <v/>
      </c>
      <c r="AF254" s="628" t="str">
        <f t="shared" si="62"/>
        <v/>
      </c>
      <c r="AG254" s="628" t="str">
        <f t="shared" si="62"/>
        <v/>
      </c>
      <c r="AH254" s="628" t="str">
        <f t="shared" si="62"/>
        <v/>
      </c>
      <c r="AI254" s="638" t="str">
        <f t="shared" si="62"/>
        <v/>
      </c>
      <c r="AJ254" s="504"/>
      <c r="AK254" s="627"/>
      <c r="AL254" s="629"/>
      <c r="AM254" s="627"/>
      <c r="AN254" s="627"/>
      <c r="AO254" s="627"/>
      <c r="AP254" s="627"/>
      <c r="AQ254" s="627"/>
      <c r="AR254" s="627"/>
      <c r="AS254" s="627"/>
      <c r="AT254" s="627"/>
      <c r="AU254" s="627"/>
      <c r="AV254" s="627"/>
      <c r="AW254" s="627"/>
      <c r="AX254" s="627"/>
      <c r="AY254" s="627"/>
      <c r="AZ254" s="627"/>
      <c r="BA254" s="627"/>
      <c r="BB254" s="627"/>
      <c r="BC254" s="627"/>
      <c r="BD254" s="627"/>
      <c r="BE254" s="627"/>
      <c r="BF254" s="627"/>
      <c r="BG254" s="627"/>
      <c r="BH254" s="627"/>
      <c r="BI254" s="627"/>
      <c r="BJ254" s="627"/>
      <c r="BK254" s="627"/>
      <c r="BL254" s="627"/>
      <c r="BM254" s="627"/>
      <c r="BN254" s="627"/>
      <c r="BO254" s="627"/>
      <c r="BP254" s="627"/>
      <c r="BQ254" s="627"/>
      <c r="BR254" s="627"/>
      <c r="BS254" s="627"/>
      <c r="BT254" s="627"/>
      <c r="BU254" s="627"/>
      <c r="BV254" s="627"/>
      <c r="BW254" s="627"/>
      <c r="BX254" s="627"/>
      <c r="BY254" s="627"/>
      <c r="BZ254" s="627"/>
      <c r="CA254" s="690"/>
      <c r="CB254" s="690"/>
      <c r="CC254" s="690"/>
      <c r="CD254" s="690"/>
      <c r="CE254" s="690"/>
      <c r="CF254" s="690"/>
      <c r="CG254" s="690"/>
      <c r="CH254" s="690"/>
      <c r="CI254" s="690"/>
      <c r="CJ254" s="690"/>
      <c r="CK254" s="690"/>
      <c r="CL254" s="690"/>
      <c r="CM254" s="690"/>
      <c r="CN254" s="690"/>
      <c r="CO254" s="690"/>
      <c r="CP254" s="690"/>
      <c r="CQ254" s="690"/>
      <c r="CR254" s="690"/>
      <c r="CS254" s="690"/>
      <c r="CT254" s="690"/>
      <c r="CU254" s="690"/>
      <c r="CV254" s="690"/>
      <c r="CW254" s="690"/>
      <c r="CX254" s="690"/>
      <c r="CY254" s="690"/>
      <c r="CZ254" s="690"/>
      <c r="DA254" s="690"/>
      <c r="DB254" s="690"/>
      <c r="DC254" s="690"/>
    </row>
    <row r="255" spans="1:107" s="630" customFormat="1" ht="12.75" hidden="1" customHeight="1">
      <c r="A255" s="504"/>
      <c r="B255" s="636" t="str">
        <f t="shared" ref="B255" si="63">IF(B40="","",B40)</f>
        <v/>
      </c>
      <c r="C255" s="628" t="str">
        <f t="shared" si="62"/>
        <v xml:space="preserve"> L4 - Occupancy Sensors*</v>
      </c>
      <c r="D255" s="628" t="str">
        <f t="shared" si="62"/>
        <v/>
      </c>
      <c r="E255" s="628" t="str">
        <f t="shared" si="62"/>
        <v/>
      </c>
      <c r="F255" s="628" t="str">
        <f t="shared" si="62"/>
        <v/>
      </c>
      <c r="G255" s="628" t="str">
        <f t="shared" si="62"/>
        <v/>
      </c>
      <c r="H255" s="628" t="str">
        <f t="shared" si="62"/>
        <v/>
      </c>
      <c r="I255" s="628" t="str">
        <f t="shared" si="62"/>
        <v/>
      </c>
      <c r="J255" s="628" t="str">
        <f t="shared" si="62"/>
        <v/>
      </c>
      <c r="K255" s="628" t="str">
        <f t="shared" si="62"/>
        <v/>
      </c>
      <c r="L255" s="628" t="str">
        <f t="shared" si="62"/>
        <v/>
      </c>
      <c r="M255" s="628" t="str">
        <f t="shared" si="62"/>
        <v/>
      </c>
      <c r="N255" s="628" t="str">
        <f t="shared" si="62"/>
        <v/>
      </c>
      <c r="O255" s="628" t="str">
        <f t="shared" si="62"/>
        <v/>
      </c>
      <c r="P255" s="628" t="str">
        <f t="shared" si="62"/>
        <v/>
      </c>
      <c r="Q255" s="628" t="str">
        <f t="shared" si="62"/>
        <v/>
      </c>
      <c r="R255" s="628" t="str">
        <f t="shared" si="62"/>
        <v/>
      </c>
      <c r="S255" s="628" t="str">
        <f t="shared" si="62"/>
        <v/>
      </c>
      <c r="T255" s="628" t="str">
        <f t="shared" si="62"/>
        <v/>
      </c>
      <c r="U255" s="628" t="str">
        <f t="shared" si="62"/>
        <v/>
      </c>
      <c r="V255" s="628" t="str">
        <f t="shared" si="62"/>
        <v/>
      </c>
      <c r="W255" s="628" t="str">
        <f t="shared" si="62"/>
        <v xml:space="preserve">Qty: </v>
      </c>
      <c r="X255" s="628" t="str">
        <f t="shared" si="62"/>
        <v/>
      </c>
      <c r="Y255" s="628" t="str">
        <f t="shared" si="62"/>
        <v/>
      </c>
      <c r="Z255" s="628" t="str">
        <f t="shared" si="62"/>
        <v/>
      </c>
      <c r="AA255" s="628" t="str">
        <f t="shared" si="62"/>
        <v/>
      </c>
      <c r="AB255" s="628" t="str">
        <f t="shared" si="62"/>
        <v/>
      </c>
      <c r="AC255" s="628" t="str">
        <f t="shared" si="62"/>
        <v/>
      </c>
      <c r="AD255" s="637" t="str">
        <f t="shared" si="62"/>
        <v>x $25 per sensor=</v>
      </c>
      <c r="AE255" s="628" t="str">
        <f t="shared" si="62"/>
        <v>$</v>
      </c>
      <c r="AF255" s="628" t="str">
        <f t="shared" si="62"/>
        <v/>
      </c>
      <c r="AG255" s="628" t="str">
        <f t="shared" si="62"/>
        <v/>
      </c>
      <c r="AH255" s="628" t="str">
        <f t="shared" si="62"/>
        <v/>
      </c>
      <c r="AI255" s="638" t="str">
        <f t="shared" si="62"/>
        <v/>
      </c>
      <c r="AJ255" s="504"/>
      <c r="AK255" s="627"/>
      <c r="AL255" s="629"/>
      <c r="AM255" s="627"/>
      <c r="AN255" s="627"/>
      <c r="AO255" s="627"/>
      <c r="AP255" s="627"/>
      <c r="AQ255" s="627"/>
      <c r="AR255" s="627"/>
      <c r="AS255" s="627"/>
      <c r="AT255" s="627"/>
      <c r="AU255" s="627"/>
      <c r="AV255" s="627"/>
      <c r="AW255" s="627"/>
      <c r="AX255" s="627"/>
      <c r="AY255" s="627"/>
      <c r="AZ255" s="627"/>
      <c r="BA255" s="627"/>
      <c r="BB255" s="627"/>
      <c r="BC255" s="627"/>
      <c r="BD255" s="627"/>
      <c r="BE255" s="627"/>
      <c r="BF255" s="627"/>
      <c r="BG255" s="627"/>
      <c r="BH255" s="627"/>
      <c r="BI255" s="627"/>
      <c r="BJ255" s="627"/>
      <c r="BK255" s="627"/>
      <c r="BL255" s="627"/>
      <c r="BM255" s="627"/>
      <c r="BN255" s="627"/>
      <c r="BO255" s="627"/>
      <c r="BP255" s="627"/>
      <c r="BQ255" s="627"/>
      <c r="BR255" s="627"/>
      <c r="BS255" s="627"/>
      <c r="BT255" s="627"/>
      <c r="BU255" s="627"/>
      <c r="BV255" s="627"/>
      <c r="BW255" s="627"/>
      <c r="BX255" s="627"/>
      <c r="BY255" s="627"/>
      <c r="BZ255" s="627"/>
      <c r="CA255" s="690"/>
      <c r="CB255" s="690"/>
      <c r="CC255" s="690"/>
      <c r="CD255" s="690"/>
      <c r="CE255" s="690"/>
      <c r="CF255" s="690"/>
      <c r="CG255" s="690"/>
      <c r="CH255" s="690"/>
      <c r="CI255" s="690"/>
      <c r="CJ255" s="690"/>
      <c r="CK255" s="690"/>
      <c r="CL255" s="690"/>
      <c r="CM255" s="690"/>
      <c r="CN255" s="690"/>
      <c r="CO255" s="690"/>
      <c r="CP255" s="690"/>
      <c r="CQ255" s="690"/>
      <c r="CR255" s="690"/>
      <c r="CS255" s="690"/>
      <c r="CT255" s="690"/>
      <c r="CU255" s="690"/>
      <c r="CV255" s="690"/>
      <c r="CW255" s="690"/>
      <c r="CX255" s="690"/>
      <c r="CY255" s="690"/>
      <c r="CZ255" s="690"/>
      <c r="DA255" s="690"/>
      <c r="DB255" s="690"/>
      <c r="DC255" s="690"/>
    </row>
    <row r="256" spans="1:107" s="5" customFormat="1" ht="12.75" customHeight="1">
      <c r="A256" s="1"/>
      <c r="B256" s="253" t="str">
        <f t="shared" ref="B256" si="64">IF(B41="","",B41)</f>
        <v/>
      </c>
      <c r="C256" s="9" t="str">
        <f t="shared" si="62"/>
        <v xml:space="preserve"> L5N - High Efficiency Exit Signs</v>
      </c>
      <c r="D256" s="9"/>
      <c r="E256" s="9"/>
      <c r="F256" s="9"/>
      <c r="G256" s="9"/>
      <c r="H256" s="9"/>
      <c r="I256" s="9"/>
      <c r="J256" s="9"/>
      <c r="K256" s="9"/>
      <c r="L256" s="9"/>
      <c r="M256" s="9"/>
      <c r="N256" s="9"/>
      <c r="O256" s="9"/>
      <c r="P256" s="9"/>
      <c r="Q256" s="9"/>
      <c r="R256" s="9"/>
      <c r="S256" s="9"/>
      <c r="T256" s="9"/>
      <c r="U256" s="9"/>
      <c r="V256" s="9"/>
      <c r="W256" s="9" t="str">
        <f t="shared" si="62"/>
        <v xml:space="preserve">Qty: </v>
      </c>
      <c r="X256" s="857" t="str">
        <f t="shared" ref="X256" si="65">IF(X41="","",X41)</f>
        <v/>
      </c>
      <c r="Y256" s="858"/>
      <c r="Z256" s="9"/>
      <c r="AA256" s="9"/>
      <c r="AB256" s="9"/>
      <c r="AC256" s="9"/>
      <c r="AD256" s="623" t="str">
        <f t="shared" si="62"/>
        <v>x $7.50 per sign=</v>
      </c>
      <c r="AE256" s="9" t="str">
        <f t="shared" si="62"/>
        <v>$</v>
      </c>
      <c r="AF256" s="846" t="str">
        <f t="shared" ref="AF256" si="66">IF(AF41="","",AF41)</f>
        <v/>
      </c>
      <c r="AG256" s="846"/>
      <c r="AH256" s="846"/>
      <c r="AI256" s="633" t="str">
        <f t="shared" si="62"/>
        <v/>
      </c>
      <c r="AJ256" s="1"/>
      <c r="AK256" s="94"/>
      <c r="AL256" s="98"/>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684"/>
      <c r="CB256" s="684"/>
      <c r="CC256" s="684"/>
      <c r="CD256" s="684"/>
      <c r="CE256" s="684"/>
      <c r="CF256" s="684"/>
      <c r="CG256" s="684"/>
      <c r="CH256" s="684"/>
      <c r="CI256" s="684"/>
      <c r="CJ256" s="684"/>
      <c r="CK256" s="684"/>
      <c r="CL256" s="684"/>
      <c r="CM256" s="684"/>
      <c r="CN256" s="684"/>
      <c r="CO256" s="684"/>
      <c r="CP256" s="684"/>
      <c r="CQ256" s="684"/>
      <c r="CR256" s="684"/>
      <c r="CS256" s="684"/>
      <c r="CT256" s="684"/>
      <c r="CU256" s="684"/>
      <c r="CV256" s="684"/>
      <c r="CW256" s="684"/>
      <c r="CX256" s="684"/>
      <c r="CY256" s="684"/>
      <c r="CZ256" s="684"/>
      <c r="DA256" s="684"/>
      <c r="DB256" s="684"/>
      <c r="DC256" s="684"/>
    </row>
    <row r="257" spans="1:107" s="5" customFormat="1" ht="12.75" customHeight="1">
      <c r="A257" s="1"/>
      <c r="B257" s="634" t="str">
        <f t="shared" ref="B257" si="67">IF(B42="","",B42)</f>
        <v/>
      </c>
      <c r="C257" s="248" t="str">
        <f t="shared" si="62"/>
        <v/>
      </c>
      <c r="D257" s="248" t="str">
        <f t="shared" si="62"/>
        <v/>
      </c>
      <c r="E257" s="248" t="str">
        <f t="shared" si="62"/>
        <v/>
      </c>
      <c r="F257" s="248" t="str">
        <f t="shared" si="62"/>
        <v/>
      </c>
      <c r="G257" s="248" t="str">
        <f t="shared" si="62"/>
        <v/>
      </c>
      <c r="H257" s="248" t="str">
        <f t="shared" si="62"/>
        <v/>
      </c>
      <c r="I257" s="248" t="str">
        <f t="shared" si="62"/>
        <v/>
      </c>
      <c r="J257" s="248" t="str">
        <f t="shared" si="62"/>
        <v/>
      </c>
      <c r="K257" s="248" t="str">
        <f t="shared" si="62"/>
        <v/>
      </c>
      <c r="L257" s="248" t="str">
        <f t="shared" si="62"/>
        <v/>
      </c>
      <c r="M257" s="248" t="str">
        <f t="shared" si="62"/>
        <v/>
      </c>
      <c r="N257" s="248" t="str">
        <f t="shared" si="62"/>
        <v/>
      </c>
      <c r="O257" s="248" t="str">
        <f t="shared" si="62"/>
        <v/>
      </c>
      <c r="P257" s="248" t="str">
        <f t="shared" si="62"/>
        <v/>
      </c>
      <c r="Q257" s="248" t="str">
        <f t="shared" si="62"/>
        <v/>
      </c>
      <c r="R257" s="248" t="str">
        <f t="shared" si="62"/>
        <v/>
      </c>
      <c r="S257" s="248" t="str">
        <f t="shared" si="62"/>
        <v/>
      </c>
      <c r="T257" s="248" t="str">
        <f t="shared" si="62"/>
        <v/>
      </c>
      <c r="U257" s="248" t="str">
        <f t="shared" si="62"/>
        <v/>
      </c>
      <c r="V257" s="248" t="str">
        <f t="shared" si="62"/>
        <v/>
      </c>
      <c r="W257" s="248" t="str">
        <f t="shared" si="62"/>
        <v/>
      </c>
      <c r="X257" s="248" t="str">
        <f t="shared" si="62"/>
        <v/>
      </c>
      <c r="Y257" s="248" t="str">
        <f t="shared" si="62"/>
        <v/>
      </c>
      <c r="Z257" s="248" t="str">
        <f t="shared" si="62"/>
        <v/>
      </c>
      <c r="AA257" s="248" t="str">
        <f t="shared" si="62"/>
        <v/>
      </c>
      <c r="AB257" s="248" t="str">
        <f t="shared" si="62"/>
        <v/>
      </c>
      <c r="AC257" s="248" t="str">
        <f t="shared" si="62"/>
        <v/>
      </c>
      <c r="AD257" s="248" t="str">
        <f t="shared" si="62"/>
        <v/>
      </c>
      <c r="AE257" s="248" t="str">
        <f t="shared" si="62"/>
        <v/>
      </c>
      <c r="AF257" s="248" t="str">
        <f t="shared" si="62"/>
        <v/>
      </c>
      <c r="AG257" s="248" t="str">
        <f t="shared" si="62"/>
        <v/>
      </c>
      <c r="AH257" s="248" t="str">
        <f t="shared" si="62"/>
        <v/>
      </c>
      <c r="AI257" s="635" t="str">
        <f t="shared" si="62"/>
        <v/>
      </c>
      <c r="AJ257" s="1"/>
      <c r="AK257" s="94"/>
      <c r="AL257" s="98"/>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684"/>
      <c r="CB257" s="684"/>
      <c r="CC257" s="684"/>
      <c r="CD257" s="684"/>
      <c r="CE257" s="684"/>
      <c r="CF257" s="684"/>
      <c r="CG257" s="684"/>
      <c r="CH257" s="684"/>
      <c r="CI257" s="684"/>
      <c r="CJ257" s="684"/>
      <c r="CK257" s="684"/>
      <c r="CL257" s="684"/>
      <c r="CM257" s="684"/>
      <c r="CN257" s="684"/>
      <c r="CO257" s="684"/>
      <c r="CP257" s="684"/>
      <c r="CQ257" s="684"/>
      <c r="CR257" s="684"/>
      <c r="CS257" s="684"/>
      <c r="CT257" s="684"/>
      <c r="CU257" s="684"/>
      <c r="CV257" s="684"/>
      <c r="CW257" s="684"/>
      <c r="CX257" s="684"/>
      <c r="CY257" s="684"/>
      <c r="CZ257" s="684"/>
      <c r="DA257" s="684"/>
      <c r="DB257" s="684"/>
      <c r="DC257" s="684"/>
    </row>
    <row r="258" spans="1:107" s="5" customFormat="1" ht="19.5" customHeight="1">
      <c r="A258" s="1"/>
      <c r="B258" s="781" t="str">
        <f t="shared" ref="B258" si="68">IF(B43="","",B43)</f>
        <v>LEDs must be on one of the following QPLs (qualified product lists), DLC, LDL or ENERGY STAR® (exceptions are  granted if an architect or engineer specified the product and completed COMcheck or if there is not a QPL category for proposed product). If a project is 60% or more below code and/or has high operating hours, a non-standard incentive may be available.</v>
      </c>
      <c r="C258" s="781"/>
      <c r="D258" s="781"/>
      <c r="E258" s="781"/>
      <c r="F258" s="781"/>
      <c r="G258" s="781"/>
      <c r="H258" s="781"/>
      <c r="I258" s="781"/>
      <c r="J258" s="781"/>
      <c r="K258" s="781"/>
      <c r="L258" s="781"/>
      <c r="M258" s="781"/>
      <c r="N258" s="781"/>
      <c r="O258" s="781"/>
      <c r="P258" s="781"/>
      <c r="Q258" s="781"/>
      <c r="R258" s="781"/>
      <c r="S258" s="781"/>
      <c r="T258" s="781"/>
      <c r="U258" s="781"/>
      <c r="V258" s="781"/>
      <c r="W258" s="781"/>
      <c r="X258" s="781"/>
      <c r="Y258" s="781"/>
      <c r="Z258" s="781"/>
      <c r="AA258" s="781"/>
      <c r="AB258" s="781"/>
      <c r="AC258" s="781"/>
      <c r="AD258" s="781"/>
      <c r="AE258" s="781"/>
      <c r="AF258" s="781"/>
      <c r="AG258" s="781"/>
      <c r="AH258" s="781"/>
      <c r="AI258" s="781"/>
      <c r="AJ258" s="1"/>
      <c r="AK258" s="94"/>
      <c r="AL258" s="98"/>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684"/>
      <c r="CB258" s="684"/>
      <c r="CC258" s="684"/>
      <c r="CD258" s="684"/>
      <c r="CE258" s="684"/>
      <c r="CF258" s="684"/>
      <c r="CG258" s="684"/>
      <c r="CH258" s="684"/>
      <c r="CI258" s="684"/>
      <c r="CJ258" s="684"/>
      <c r="CK258" s="684"/>
      <c r="CL258" s="684"/>
      <c r="CM258" s="684"/>
      <c r="CN258" s="684"/>
      <c r="CO258" s="684"/>
      <c r="CP258" s="684"/>
      <c r="CQ258" s="684"/>
      <c r="CR258" s="684"/>
      <c r="CS258" s="684"/>
      <c r="CT258" s="684"/>
      <c r="CU258" s="684"/>
      <c r="CV258" s="684"/>
      <c r="CW258" s="684"/>
      <c r="CX258" s="684"/>
      <c r="CY258" s="684"/>
      <c r="CZ258" s="684"/>
      <c r="DA258" s="684"/>
      <c r="DB258" s="684"/>
      <c r="DC258" s="684"/>
    </row>
    <row r="259" spans="1:107" s="5" customFormat="1" ht="19.5" customHeight="1">
      <c r="A259" s="1"/>
      <c r="B259" s="781"/>
      <c r="C259" s="781"/>
      <c r="D259" s="781"/>
      <c r="E259" s="781"/>
      <c r="F259" s="781"/>
      <c r="G259" s="781"/>
      <c r="H259" s="781"/>
      <c r="I259" s="781"/>
      <c r="J259" s="781"/>
      <c r="K259" s="781"/>
      <c r="L259" s="781"/>
      <c r="M259" s="781"/>
      <c r="N259" s="781"/>
      <c r="O259" s="781"/>
      <c r="P259" s="781"/>
      <c r="Q259" s="781"/>
      <c r="R259" s="781"/>
      <c r="S259" s="781"/>
      <c r="T259" s="781"/>
      <c r="U259" s="781"/>
      <c r="V259" s="781"/>
      <c r="W259" s="781"/>
      <c r="X259" s="781"/>
      <c r="Y259" s="781"/>
      <c r="Z259" s="781"/>
      <c r="AA259" s="781"/>
      <c r="AB259" s="781"/>
      <c r="AC259" s="781"/>
      <c r="AD259" s="781"/>
      <c r="AE259" s="781"/>
      <c r="AF259" s="781"/>
      <c r="AG259" s="781"/>
      <c r="AH259" s="781"/>
      <c r="AI259" s="781"/>
      <c r="AJ259" s="1"/>
      <c r="AK259" s="94"/>
      <c r="AL259" s="98"/>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684"/>
      <c r="CB259" s="684"/>
      <c r="CC259" s="684"/>
      <c r="CD259" s="684"/>
      <c r="CE259" s="684"/>
      <c r="CF259" s="684"/>
      <c r="CG259" s="684"/>
      <c r="CH259" s="684"/>
      <c r="CI259" s="684"/>
      <c r="CJ259" s="684"/>
      <c r="CK259" s="684"/>
      <c r="CL259" s="684"/>
      <c r="CM259" s="684"/>
      <c r="CN259" s="684"/>
      <c r="CO259" s="684"/>
      <c r="CP259" s="684"/>
      <c r="CQ259" s="684"/>
      <c r="CR259" s="684"/>
      <c r="CS259" s="684"/>
      <c r="CT259" s="684"/>
      <c r="CU259" s="684"/>
      <c r="CV259" s="684"/>
      <c r="CW259" s="684"/>
      <c r="CX259" s="684"/>
      <c r="CY259" s="684"/>
      <c r="CZ259" s="684"/>
      <c r="DA259" s="684"/>
      <c r="DB259" s="684"/>
      <c r="DC259" s="684"/>
    </row>
    <row r="260" spans="1:107" s="5" customFormat="1" ht="12.75" customHeight="1">
      <c r="A260" s="1"/>
      <c r="B260" s="9" t="str">
        <f t="shared" ref="B260" si="69">IF(B45="","",B45)</f>
        <v/>
      </c>
      <c r="C260" s="9" t="str">
        <f t="shared" si="62"/>
        <v/>
      </c>
      <c r="D260" s="9" t="str">
        <f t="shared" si="62"/>
        <v/>
      </c>
      <c r="E260" s="9" t="str">
        <f t="shared" si="62"/>
        <v/>
      </c>
      <c r="F260" s="9" t="str">
        <f t="shared" si="62"/>
        <v/>
      </c>
      <c r="G260" s="9" t="str">
        <f t="shared" si="62"/>
        <v/>
      </c>
      <c r="H260" s="9" t="str">
        <f t="shared" si="62"/>
        <v/>
      </c>
      <c r="I260" s="9" t="str">
        <f t="shared" si="62"/>
        <v/>
      </c>
      <c r="J260" s="9" t="str">
        <f t="shared" si="62"/>
        <v/>
      </c>
      <c r="K260" s="9" t="str">
        <f t="shared" si="62"/>
        <v/>
      </c>
      <c r="L260" s="9" t="str">
        <f t="shared" si="62"/>
        <v/>
      </c>
      <c r="M260" s="9" t="str">
        <f t="shared" si="62"/>
        <v/>
      </c>
      <c r="N260" s="9" t="str">
        <f t="shared" si="62"/>
        <v/>
      </c>
      <c r="O260" s="9" t="str">
        <f t="shared" si="62"/>
        <v/>
      </c>
      <c r="P260" s="9" t="str">
        <f t="shared" si="62"/>
        <v/>
      </c>
      <c r="Q260" s="9" t="str">
        <f t="shared" si="62"/>
        <v/>
      </c>
      <c r="R260" s="9" t="str">
        <f t="shared" si="62"/>
        <v/>
      </c>
      <c r="S260" s="9" t="str">
        <f t="shared" si="62"/>
        <v/>
      </c>
      <c r="T260" s="9" t="str">
        <f t="shared" si="62"/>
        <v/>
      </c>
      <c r="U260" s="9" t="str">
        <f t="shared" si="62"/>
        <v/>
      </c>
      <c r="V260" s="9" t="str">
        <f t="shared" si="62"/>
        <v/>
      </c>
      <c r="W260" s="9" t="str">
        <f t="shared" si="62"/>
        <v/>
      </c>
      <c r="X260" s="9" t="str">
        <f t="shared" si="62"/>
        <v/>
      </c>
      <c r="Y260" s="9" t="str">
        <f t="shared" si="62"/>
        <v/>
      </c>
      <c r="Z260" s="9" t="str">
        <f t="shared" si="62"/>
        <v/>
      </c>
      <c r="AA260" s="9" t="str">
        <f t="shared" si="62"/>
        <v/>
      </c>
      <c r="AB260" s="9" t="str">
        <f t="shared" si="62"/>
        <v/>
      </c>
      <c r="AC260" s="9" t="str">
        <f t="shared" si="62"/>
        <v/>
      </c>
      <c r="AD260" s="9" t="str">
        <f t="shared" si="62"/>
        <v/>
      </c>
      <c r="AE260" s="9" t="str">
        <f t="shared" si="62"/>
        <v/>
      </c>
      <c r="AF260" s="9" t="str">
        <f t="shared" si="62"/>
        <v/>
      </c>
      <c r="AG260" s="9" t="str">
        <f t="shared" si="62"/>
        <v/>
      </c>
      <c r="AH260" s="9" t="str">
        <f t="shared" si="62"/>
        <v/>
      </c>
      <c r="AI260" s="9" t="str">
        <f t="shared" si="62"/>
        <v/>
      </c>
      <c r="AJ260" s="1"/>
      <c r="AK260" s="94"/>
      <c r="AL260" s="98"/>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684"/>
      <c r="CB260" s="684"/>
      <c r="CC260" s="684"/>
      <c r="CD260" s="684"/>
      <c r="CE260" s="684"/>
      <c r="CF260" s="684"/>
      <c r="CG260" s="684"/>
      <c r="CH260" s="684"/>
      <c r="CI260" s="684"/>
      <c r="CJ260" s="684"/>
      <c r="CK260" s="684"/>
      <c r="CL260" s="684"/>
      <c r="CM260" s="684"/>
      <c r="CN260" s="684"/>
      <c r="CO260" s="684"/>
      <c r="CP260" s="684"/>
      <c r="CQ260" s="684"/>
      <c r="CR260" s="684"/>
      <c r="CS260" s="684"/>
      <c r="CT260" s="684"/>
      <c r="CU260" s="684"/>
      <c r="CV260" s="684"/>
      <c r="CW260" s="684"/>
      <c r="CX260" s="684"/>
      <c r="CY260" s="684"/>
      <c r="CZ260" s="684"/>
      <c r="DA260" s="684"/>
      <c r="DB260" s="684"/>
      <c r="DC260" s="684"/>
    </row>
    <row r="261" spans="1:107" s="5" customFormat="1" ht="12.75" customHeight="1">
      <c r="A261" s="1"/>
      <c r="B261" s="9" t="str">
        <f t="shared" ref="B261" si="70">IF(B46="","",B46)</f>
        <v/>
      </c>
      <c r="C261" s="9" t="str">
        <f t="shared" si="62"/>
        <v/>
      </c>
      <c r="D261" s="9" t="str">
        <f t="shared" si="62"/>
        <v/>
      </c>
      <c r="E261" s="9" t="str">
        <f t="shared" si="62"/>
        <v/>
      </c>
      <c r="F261" s="9" t="str">
        <f t="shared" si="62"/>
        <v/>
      </c>
      <c r="G261" s="9" t="str">
        <f t="shared" si="62"/>
        <v/>
      </c>
      <c r="H261" s="9" t="str">
        <f t="shared" si="62"/>
        <v/>
      </c>
      <c r="I261" s="9" t="str">
        <f t="shared" si="62"/>
        <v/>
      </c>
      <c r="J261" s="9" t="str">
        <f t="shared" si="62"/>
        <v/>
      </c>
      <c r="K261" s="9" t="str">
        <f t="shared" si="62"/>
        <v/>
      </c>
      <c r="L261" s="9" t="str">
        <f t="shared" si="62"/>
        <v/>
      </c>
      <c r="M261" s="9" t="str">
        <f t="shared" si="62"/>
        <v/>
      </c>
      <c r="N261" s="9" t="str">
        <f t="shared" si="62"/>
        <v/>
      </c>
      <c r="O261" s="9" t="str">
        <f t="shared" si="62"/>
        <v/>
      </c>
      <c r="P261" s="9" t="str">
        <f t="shared" si="62"/>
        <v/>
      </c>
      <c r="Q261" s="9" t="str">
        <f t="shared" si="62"/>
        <v/>
      </c>
      <c r="R261" s="9" t="str">
        <f t="shared" si="62"/>
        <v/>
      </c>
      <c r="S261" s="9" t="str">
        <f t="shared" si="62"/>
        <v/>
      </c>
      <c r="T261" s="9" t="str">
        <f t="shared" si="62"/>
        <v/>
      </c>
      <c r="U261" s="9" t="str">
        <f t="shared" si="62"/>
        <v/>
      </c>
      <c r="V261" s="9" t="str">
        <f t="shared" si="62"/>
        <v/>
      </c>
      <c r="W261" s="9" t="str">
        <f t="shared" si="62"/>
        <v/>
      </c>
      <c r="X261" s="9" t="str">
        <f t="shared" si="62"/>
        <v/>
      </c>
      <c r="Y261" s="9" t="str">
        <f t="shared" si="62"/>
        <v/>
      </c>
      <c r="Z261" s="9" t="str">
        <f t="shared" si="62"/>
        <v/>
      </c>
      <c r="AA261" s="9" t="str">
        <f t="shared" si="62"/>
        <v/>
      </c>
      <c r="AB261" s="9" t="str">
        <f t="shared" si="62"/>
        <v/>
      </c>
      <c r="AC261" s="9" t="str">
        <f t="shared" si="62"/>
        <v/>
      </c>
      <c r="AD261" s="9" t="str">
        <f t="shared" si="62"/>
        <v/>
      </c>
      <c r="AE261" s="9" t="str">
        <f t="shared" si="62"/>
        <v/>
      </c>
      <c r="AF261" s="9" t="str">
        <f t="shared" si="62"/>
        <v/>
      </c>
      <c r="AG261" s="9" t="str">
        <f t="shared" si="62"/>
        <v/>
      </c>
      <c r="AH261" s="9" t="str">
        <f t="shared" si="62"/>
        <v/>
      </c>
      <c r="AI261" s="9" t="str">
        <f t="shared" si="62"/>
        <v/>
      </c>
      <c r="AJ261" s="1"/>
      <c r="AK261" s="94"/>
      <c r="AL261" s="98"/>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684"/>
      <c r="CB261" s="684"/>
      <c r="CC261" s="684"/>
      <c r="CD261" s="684"/>
      <c r="CE261" s="684"/>
      <c r="CF261" s="684"/>
      <c r="CG261" s="684"/>
      <c r="CH261" s="684"/>
      <c r="CI261" s="684"/>
      <c r="CJ261" s="684"/>
      <c r="CK261" s="684"/>
      <c r="CL261" s="684"/>
      <c r="CM261" s="684"/>
      <c r="CN261" s="684"/>
      <c r="CO261" s="684"/>
      <c r="CP261" s="684"/>
      <c r="CQ261" s="684"/>
      <c r="CR261" s="684"/>
      <c r="CS261" s="684"/>
      <c r="CT261" s="684"/>
      <c r="CU261" s="684"/>
      <c r="CV261" s="684"/>
      <c r="CW261" s="684"/>
      <c r="CX261" s="684"/>
      <c r="CY261" s="684"/>
      <c r="CZ261" s="684"/>
      <c r="DA261" s="684"/>
      <c r="DB261" s="684"/>
      <c r="DC261" s="684"/>
    </row>
    <row r="262" spans="1:107" s="5" customFormat="1" ht="12.75" customHeight="1">
      <c r="A262" s="1"/>
      <c r="B262" s="626" t="str">
        <f t="shared" ref="B262" si="71">IF(B47="","",B47)</f>
        <v>Air-Conditioning</v>
      </c>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1"/>
      <c r="AK262" s="94"/>
      <c r="AL262" s="98"/>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684"/>
      <c r="CB262" s="684"/>
      <c r="CC262" s="684"/>
      <c r="CD262" s="684"/>
      <c r="CE262" s="684"/>
      <c r="CF262" s="684"/>
      <c r="CG262" s="684"/>
      <c r="CH262" s="684"/>
      <c r="CI262" s="684"/>
      <c r="CJ262" s="684"/>
      <c r="CK262" s="684"/>
      <c r="CL262" s="684"/>
      <c r="CM262" s="684"/>
      <c r="CN262" s="684"/>
      <c r="CO262" s="684"/>
      <c r="CP262" s="684"/>
      <c r="CQ262" s="684"/>
      <c r="CR262" s="684"/>
      <c r="CS262" s="684"/>
      <c r="CT262" s="684"/>
      <c r="CU262" s="684"/>
      <c r="CV262" s="684"/>
      <c r="CW262" s="684"/>
      <c r="CX262" s="684"/>
      <c r="CY262" s="684"/>
      <c r="CZ262" s="684"/>
      <c r="DA262" s="684"/>
      <c r="DB262" s="684"/>
      <c r="DC262" s="684"/>
    </row>
    <row r="263" spans="1:107" s="5" customFormat="1" ht="12.75" customHeight="1">
      <c r="A263" s="1"/>
      <c r="B263" s="240" t="str">
        <f t="shared" ref="B263:AI271" si="72">IF(B48="","",B48)</f>
        <v/>
      </c>
      <c r="C263" s="241" t="str">
        <f t="shared" si="72"/>
        <v/>
      </c>
      <c r="D263" s="241" t="str">
        <f t="shared" si="72"/>
        <v/>
      </c>
      <c r="E263" s="241" t="str">
        <f t="shared" si="72"/>
        <v/>
      </c>
      <c r="F263" s="241" t="str">
        <f t="shared" si="72"/>
        <v/>
      </c>
      <c r="G263" s="241" t="str">
        <f t="shared" si="72"/>
        <v/>
      </c>
      <c r="H263" s="241" t="str">
        <f t="shared" si="72"/>
        <v/>
      </c>
      <c r="I263" s="241" t="str">
        <f t="shared" si="72"/>
        <v/>
      </c>
      <c r="J263" s="241" t="str">
        <f t="shared" si="72"/>
        <v/>
      </c>
      <c r="K263" s="241" t="str">
        <f t="shared" si="72"/>
        <v/>
      </c>
      <c r="L263" s="241" t="str">
        <f t="shared" si="72"/>
        <v/>
      </c>
      <c r="M263" s="241" t="str">
        <f t="shared" si="72"/>
        <v/>
      </c>
      <c r="N263" s="241" t="str">
        <f t="shared" si="72"/>
        <v/>
      </c>
      <c r="O263" s="241" t="str">
        <f t="shared" si="72"/>
        <v/>
      </c>
      <c r="P263" s="241" t="str">
        <f t="shared" si="72"/>
        <v/>
      </c>
      <c r="Q263" s="241" t="str">
        <f t="shared" si="72"/>
        <v/>
      </c>
      <c r="R263" s="241" t="str">
        <f t="shared" si="72"/>
        <v/>
      </c>
      <c r="S263" s="241" t="str">
        <f t="shared" si="72"/>
        <v/>
      </c>
      <c r="T263" s="241" t="str">
        <f t="shared" si="72"/>
        <v/>
      </c>
      <c r="U263" s="241" t="str">
        <f t="shared" si="72"/>
        <v/>
      </c>
      <c r="V263" s="241" t="str">
        <f t="shared" si="72"/>
        <v/>
      </c>
      <c r="W263" s="241" t="str">
        <f t="shared" si="72"/>
        <v/>
      </c>
      <c r="X263" s="241" t="str">
        <f t="shared" si="72"/>
        <v/>
      </c>
      <c r="Y263" s="241" t="str">
        <f t="shared" si="72"/>
        <v/>
      </c>
      <c r="Z263" s="241" t="str">
        <f t="shared" si="72"/>
        <v/>
      </c>
      <c r="AA263" s="241" t="str">
        <f t="shared" si="72"/>
        <v/>
      </c>
      <c r="AB263" s="241" t="str">
        <f t="shared" si="72"/>
        <v/>
      </c>
      <c r="AC263" s="241" t="str">
        <f t="shared" si="72"/>
        <v/>
      </c>
      <c r="AD263" s="241" t="str">
        <f t="shared" si="72"/>
        <v/>
      </c>
      <c r="AE263" s="241" t="str">
        <f t="shared" si="72"/>
        <v/>
      </c>
      <c r="AF263" s="241" t="str">
        <f t="shared" si="72"/>
        <v>Incentive</v>
      </c>
      <c r="AG263" s="241"/>
      <c r="AH263" s="241"/>
      <c r="AI263" s="242"/>
      <c r="AJ263" s="1"/>
      <c r="AK263" s="94"/>
      <c r="AL263" s="98"/>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684"/>
      <c r="CB263" s="684"/>
      <c r="CC263" s="684"/>
      <c r="CD263" s="684"/>
      <c r="CE263" s="684"/>
      <c r="CF263" s="684"/>
      <c r="CG263" s="684"/>
      <c r="CH263" s="684"/>
      <c r="CI263" s="684"/>
      <c r="CJ263" s="684"/>
      <c r="CK263" s="684"/>
      <c r="CL263" s="684"/>
      <c r="CM263" s="684"/>
      <c r="CN263" s="684"/>
      <c r="CO263" s="684"/>
      <c r="CP263" s="684"/>
      <c r="CQ263" s="684"/>
      <c r="CR263" s="684"/>
      <c r="CS263" s="684"/>
      <c r="CT263" s="684"/>
      <c r="CU263" s="684"/>
      <c r="CV263" s="684"/>
      <c r="CW263" s="684"/>
      <c r="CX263" s="684"/>
      <c r="CY263" s="684"/>
      <c r="CZ263" s="684"/>
      <c r="DA263" s="684"/>
      <c r="DB263" s="684"/>
      <c r="DC263" s="684"/>
    </row>
    <row r="264" spans="1:107" s="5" customFormat="1" ht="12.75" customHeight="1">
      <c r="A264" s="1"/>
      <c r="B264" s="253" t="str">
        <f t="shared" ref="B264" si="73">IF(B49="","",B49)</f>
        <v/>
      </c>
      <c r="C264" s="9" t="str">
        <f t="shared" si="72"/>
        <v xml:space="preserve"> A1N - Efficient AC &amp; HP Units*</v>
      </c>
      <c r="D264" s="9"/>
      <c r="E264" s="9"/>
      <c r="F264" s="9"/>
      <c r="G264" s="9"/>
      <c r="H264" s="9"/>
      <c r="I264" s="9"/>
      <c r="J264" s="9"/>
      <c r="K264" s="848" t="str">
        <f t="shared" si="72"/>
        <v>Complete NC HVAC Worksheet</v>
      </c>
      <c r="L264" s="848"/>
      <c r="M264" s="848"/>
      <c r="N264" s="848"/>
      <c r="O264" s="848"/>
      <c r="P264" s="848"/>
      <c r="Q264" s="848"/>
      <c r="R264" s="9"/>
      <c r="S264" s="9"/>
      <c r="T264" s="9"/>
      <c r="U264" s="9"/>
      <c r="V264" s="9"/>
      <c r="W264" s="9"/>
      <c r="X264" s="9"/>
      <c r="Y264" s="9"/>
      <c r="Z264" s="9"/>
      <c r="AA264" s="9"/>
      <c r="AB264" s="9"/>
      <c r="AC264" s="9"/>
      <c r="AD264" s="623" t="str">
        <f t="shared" si="72"/>
        <v>x $25 to $70 per ton=</v>
      </c>
      <c r="AE264" s="9" t="str">
        <f t="shared" si="72"/>
        <v>$</v>
      </c>
      <c r="AF264" s="846" t="str">
        <f t="shared" si="72"/>
        <v/>
      </c>
      <c r="AG264" s="846"/>
      <c r="AH264" s="846"/>
      <c r="AI264" s="633" t="str">
        <f t="shared" si="72"/>
        <v/>
      </c>
      <c r="AJ264" s="1"/>
      <c r="AK264" s="94"/>
      <c r="AL264" s="98"/>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684"/>
      <c r="CB264" s="684"/>
      <c r="CC264" s="684"/>
      <c r="CD264" s="684"/>
      <c r="CE264" s="684"/>
      <c r="CF264" s="684"/>
      <c r="CG264" s="684"/>
      <c r="CH264" s="684"/>
      <c r="CI264" s="684"/>
      <c r="CJ264" s="684"/>
      <c r="CK264" s="684"/>
      <c r="CL264" s="684"/>
      <c r="CM264" s="684"/>
      <c r="CN264" s="684"/>
      <c r="CO264" s="684"/>
      <c r="CP264" s="684"/>
      <c r="CQ264" s="684"/>
      <c r="CR264" s="684"/>
      <c r="CS264" s="684"/>
      <c r="CT264" s="684"/>
      <c r="CU264" s="684"/>
      <c r="CV264" s="684"/>
      <c r="CW264" s="684"/>
      <c r="CX264" s="684"/>
      <c r="CY264" s="684"/>
      <c r="CZ264" s="684"/>
      <c r="DA264" s="684"/>
      <c r="DB264" s="684"/>
      <c r="DC264" s="684"/>
    </row>
    <row r="265" spans="1:107" s="630" customFormat="1" ht="12.75" hidden="1" customHeight="1">
      <c r="A265" s="504"/>
      <c r="B265" s="636" t="str">
        <f t="shared" ref="B265" si="74">IF(B50="","",B50)</f>
        <v/>
      </c>
      <c r="C265" s="628" t="str">
        <f t="shared" si="72"/>
        <v xml:space="preserve"> A2 - Efficient VRF Units*</v>
      </c>
      <c r="D265" s="628"/>
      <c r="E265" s="628"/>
      <c r="F265" s="628"/>
      <c r="G265" s="628"/>
      <c r="H265" s="628"/>
      <c r="I265" s="628"/>
      <c r="J265" s="628"/>
      <c r="K265" s="640" t="str">
        <f t="shared" si="72"/>
        <v>Complete HVAC Worksheet</v>
      </c>
      <c r="L265" s="640" t="str">
        <f t="shared" si="72"/>
        <v/>
      </c>
      <c r="M265" s="640" t="str">
        <f t="shared" si="72"/>
        <v/>
      </c>
      <c r="N265" s="640" t="str">
        <f t="shared" si="72"/>
        <v/>
      </c>
      <c r="O265" s="640" t="str">
        <f t="shared" si="72"/>
        <v/>
      </c>
      <c r="P265" s="640" t="str">
        <f t="shared" si="72"/>
        <v/>
      </c>
      <c r="Q265" s="640" t="str">
        <f t="shared" si="72"/>
        <v/>
      </c>
      <c r="R265" s="628"/>
      <c r="S265" s="628"/>
      <c r="T265" s="628"/>
      <c r="U265" s="628"/>
      <c r="V265" s="628"/>
      <c r="W265" s="628"/>
      <c r="X265" s="628"/>
      <c r="Y265" s="628"/>
      <c r="Z265" s="628"/>
      <c r="AA265" s="628"/>
      <c r="AB265" s="628"/>
      <c r="AC265" s="628"/>
      <c r="AD265" s="637" t="str">
        <f t="shared" si="72"/>
        <v>x $35 to $100 per ton=</v>
      </c>
      <c r="AE265" s="628" t="str">
        <f t="shared" si="72"/>
        <v>$</v>
      </c>
      <c r="AF265" s="846" t="str">
        <f t="shared" ref="AF265:AF267" si="75">IF(AF50="","",AF50)</f>
        <v/>
      </c>
      <c r="AG265" s="846"/>
      <c r="AH265" s="846"/>
      <c r="AI265" s="638" t="str">
        <f t="shared" si="72"/>
        <v/>
      </c>
      <c r="AJ265" s="504"/>
      <c r="AK265" s="627"/>
      <c r="AL265" s="629"/>
      <c r="AM265" s="627"/>
      <c r="AN265" s="627"/>
      <c r="AO265" s="627"/>
      <c r="AP265" s="627"/>
      <c r="AQ265" s="627"/>
      <c r="AR265" s="627"/>
      <c r="AS265" s="627"/>
      <c r="AT265" s="627"/>
      <c r="AU265" s="627"/>
      <c r="AV265" s="627"/>
      <c r="AW265" s="627"/>
      <c r="AX265" s="627"/>
      <c r="AY265" s="627"/>
      <c r="AZ265" s="627"/>
      <c r="BA265" s="627"/>
      <c r="BB265" s="627"/>
      <c r="BC265" s="627"/>
      <c r="BD265" s="627"/>
      <c r="BE265" s="627"/>
      <c r="BF265" s="627"/>
      <c r="BG265" s="627"/>
      <c r="BH265" s="627"/>
      <c r="BI265" s="627"/>
      <c r="BJ265" s="627"/>
      <c r="BK265" s="627"/>
      <c r="BL265" s="627"/>
      <c r="BM265" s="627"/>
      <c r="BN265" s="627"/>
      <c r="BO265" s="627"/>
      <c r="BP265" s="627"/>
      <c r="BQ265" s="627"/>
      <c r="BR265" s="627"/>
      <c r="BS265" s="627"/>
      <c r="BT265" s="627"/>
      <c r="BU265" s="627"/>
      <c r="BV265" s="627"/>
      <c r="BW265" s="627"/>
      <c r="BX265" s="627"/>
      <c r="BY265" s="627"/>
      <c r="BZ265" s="627"/>
      <c r="CA265" s="690"/>
      <c r="CB265" s="690"/>
      <c r="CC265" s="690"/>
      <c r="CD265" s="690"/>
      <c r="CE265" s="690"/>
      <c r="CF265" s="690"/>
      <c r="CG265" s="690"/>
      <c r="CH265" s="690"/>
      <c r="CI265" s="690"/>
      <c r="CJ265" s="690"/>
      <c r="CK265" s="690"/>
      <c r="CL265" s="690"/>
      <c r="CM265" s="690"/>
      <c r="CN265" s="690"/>
      <c r="CO265" s="690"/>
      <c r="CP265" s="690"/>
      <c r="CQ265" s="690"/>
      <c r="CR265" s="690"/>
      <c r="CS265" s="690"/>
      <c r="CT265" s="690"/>
      <c r="CU265" s="690"/>
      <c r="CV265" s="690"/>
      <c r="CW265" s="690"/>
      <c r="CX265" s="690"/>
      <c r="CY265" s="690"/>
      <c r="CZ265" s="690"/>
      <c r="DA265" s="690"/>
      <c r="DB265" s="690"/>
      <c r="DC265" s="690"/>
    </row>
    <row r="266" spans="1:107" s="5" customFormat="1" ht="12.75" customHeight="1">
      <c r="A266" s="1"/>
      <c r="B266" s="253" t="str">
        <f t="shared" ref="B266" si="76">IF(B51="","",B51)</f>
        <v/>
      </c>
      <c r="C266" s="9" t="str">
        <f t="shared" si="72"/>
        <v xml:space="preserve"> A3N - Efficient Chillers*</v>
      </c>
      <c r="D266" s="9"/>
      <c r="E266" s="9"/>
      <c r="F266" s="9"/>
      <c r="G266" s="9"/>
      <c r="H266" s="9"/>
      <c r="I266" s="9"/>
      <c r="J266" s="9"/>
      <c r="K266" s="848" t="str">
        <f t="shared" si="72"/>
        <v>Complete NC HVAC Worksheet</v>
      </c>
      <c r="L266" s="848"/>
      <c r="M266" s="848"/>
      <c r="N266" s="848"/>
      <c r="O266" s="848"/>
      <c r="P266" s="848"/>
      <c r="Q266" s="848"/>
      <c r="R266" s="9"/>
      <c r="S266" s="9"/>
      <c r="T266" s="9"/>
      <c r="U266" s="9"/>
      <c r="V266" s="9"/>
      <c r="W266" s="9"/>
      <c r="X266" s="9"/>
      <c r="Y266" s="9"/>
      <c r="Z266" s="9"/>
      <c r="AA266" s="9"/>
      <c r="AB266" s="9"/>
      <c r="AC266" s="9"/>
      <c r="AD266" s="623" t="str">
        <f t="shared" si="72"/>
        <v>x $40 or $80 per ton=</v>
      </c>
      <c r="AE266" s="9" t="str">
        <f t="shared" si="72"/>
        <v>$</v>
      </c>
      <c r="AF266" s="846" t="str">
        <f t="shared" si="75"/>
        <v/>
      </c>
      <c r="AG266" s="846"/>
      <c r="AH266" s="846"/>
      <c r="AI266" s="633" t="str">
        <f t="shared" si="72"/>
        <v/>
      </c>
      <c r="AJ266" s="1"/>
      <c r="AK266" s="94"/>
      <c r="AL266" s="98"/>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684"/>
      <c r="CB266" s="684"/>
      <c r="CC266" s="684"/>
      <c r="CD266" s="684"/>
      <c r="CE266" s="684"/>
      <c r="CF266" s="684"/>
      <c r="CG266" s="684"/>
      <c r="CH266" s="684"/>
      <c r="CI266" s="684"/>
      <c r="CJ266" s="684"/>
      <c r="CK266" s="684"/>
      <c r="CL266" s="684"/>
      <c r="CM266" s="684"/>
      <c r="CN266" s="684"/>
      <c r="CO266" s="684"/>
      <c r="CP266" s="684"/>
      <c r="CQ266" s="684"/>
      <c r="CR266" s="684"/>
      <c r="CS266" s="684"/>
      <c r="CT266" s="684"/>
      <c r="CU266" s="684"/>
      <c r="CV266" s="684"/>
      <c r="CW266" s="684"/>
      <c r="CX266" s="684"/>
      <c r="CY266" s="684"/>
      <c r="CZ266" s="684"/>
      <c r="DA266" s="684"/>
      <c r="DB266" s="684"/>
      <c r="DC266" s="684"/>
    </row>
    <row r="267" spans="1:107" s="5" customFormat="1" ht="12.75" customHeight="1">
      <c r="A267" s="1"/>
      <c r="B267" s="253" t="str">
        <f t="shared" ref="B267" si="77">IF(B52="","",B52)</f>
        <v/>
      </c>
      <c r="C267" s="9" t="str">
        <f t="shared" si="72"/>
        <v xml:space="preserve"> A4N - Economizer (Air Cooled)</v>
      </c>
      <c r="D267" s="9"/>
      <c r="E267" s="9"/>
      <c r="F267" s="9"/>
      <c r="G267" s="9"/>
      <c r="H267" s="9"/>
      <c r="I267" s="9"/>
      <c r="J267" s="9"/>
      <c r="K267" s="9"/>
      <c r="L267" s="9"/>
      <c r="M267" s="9"/>
      <c r="N267" s="9"/>
      <c r="O267" s="9"/>
      <c r="P267" s="9"/>
      <c r="Q267" s="9"/>
      <c r="R267" s="9"/>
      <c r="S267" s="9"/>
      <c r="T267" s="9"/>
      <c r="U267" s="9"/>
      <c r="V267" s="623" t="str">
        <f t="shared" si="72"/>
        <v xml:space="preserve">Total Eligible: </v>
      </c>
      <c r="W267" s="844" t="str">
        <f t="shared" si="72"/>
        <v/>
      </c>
      <c r="X267" s="845"/>
      <c r="Y267" s="9" t="str">
        <f t="shared" si="72"/>
        <v>tons</v>
      </c>
      <c r="Z267" s="9"/>
      <c r="AA267" s="9"/>
      <c r="AB267" s="9"/>
      <c r="AC267" s="9"/>
      <c r="AD267" s="623" t="str">
        <f t="shared" si="72"/>
        <v>x $75 per ton=</v>
      </c>
      <c r="AE267" s="9" t="str">
        <f t="shared" si="72"/>
        <v>$</v>
      </c>
      <c r="AF267" s="846" t="str">
        <f t="shared" si="75"/>
        <v/>
      </c>
      <c r="AG267" s="846"/>
      <c r="AH267" s="846"/>
      <c r="AI267" s="633" t="str">
        <f t="shared" si="72"/>
        <v/>
      </c>
      <c r="AJ267" s="1"/>
      <c r="AK267" s="94"/>
      <c r="AL267" s="98"/>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684"/>
      <c r="CB267" s="684"/>
      <c r="CC267" s="684"/>
      <c r="CD267" s="684"/>
      <c r="CE267" s="684"/>
      <c r="CF267" s="684"/>
      <c r="CG267" s="684"/>
      <c r="CH267" s="684"/>
      <c r="CI267" s="684"/>
      <c r="CJ267" s="684"/>
      <c r="CK267" s="684"/>
      <c r="CL267" s="684"/>
      <c r="CM267" s="684"/>
      <c r="CN267" s="684"/>
      <c r="CO267" s="684"/>
      <c r="CP267" s="684"/>
      <c r="CQ267" s="684"/>
      <c r="CR267" s="684"/>
      <c r="CS267" s="684"/>
      <c r="CT267" s="684"/>
      <c r="CU267" s="684"/>
      <c r="CV267" s="684"/>
      <c r="CW267" s="684"/>
      <c r="CX267" s="684"/>
      <c r="CY267" s="684"/>
      <c r="CZ267" s="684"/>
      <c r="DA267" s="684"/>
      <c r="DB267" s="684"/>
      <c r="DC267" s="684"/>
    </row>
    <row r="268" spans="1:107" s="630" customFormat="1" ht="12.75" hidden="1" customHeight="1">
      <c r="A268" s="504"/>
      <c r="B268" s="636" t="str">
        <f t="shared" ref="B268" si="78">IF(B53="","",B53)</f>
        <v/>
      </c>
      <c r="C268" s="628" t="str">
        <f t="shared" si="72"/>
        <v xml:space="preserve"> A4Nb - Economizer (Water Cooled)*</v>
      </c>
      <c r="D268" s="628" t="str">
        <f t="shared" si="72"/>
        <v/>
      </c>
      <c r="E268" s="628" t="str">
        <f t="shared" si="72"/>
        <v/>
      </c>
      <c r="F268" s="628" t="str">
        <f t="shared" si="72"/>
        <v/>
      </c>
      <c r="G268" s="628" t="str">
        <f t="shared" si="72"/>
        <v/>
      </c>
      <c r="H268" s="628" t="str">
        <f t="shared" si="72"/>
        <v/>
      </c>
      <c r="I268" s="628" t="str">
        <f t="shared" si="72"/>
        <v/>
      </c>
      <c r="J268" s="628" t="str">
        <f t="shared" si="72"/>
        <v/>
      </c>
      <c r="K268" s="628" t="str">
        <f t="shared" si="72"/>
        <v/>
      </c>
      <c r="L268" s="628" t="str">
        <f t="shared" si="72"/>
        <v/>
      </c>
      <c r="M268" s="628" t="str">
        <f t="shared" si="72"/>
        <v/>
      </c>
      <c r="N268" s="628" t="str">
        <f t="shared" si="72"/>
        <v/>
      </c>
      <c r="O268" s="628" t="str">
        <f t="shared" si="72"/>
        <v/>
      </c>
      <c r="P268" s="628" t="str">
        <f t="shared" si="72"/>
        <v/>
      </c>
      <c r="Q268" s="628" t="str">
        <f t="shared" si="72"/>
        <v/>
      </c>
      <c r="R268" s="628" t="str">
        <f t="shared" si="72"/>
        <v/>
      </c>
      <c r="S268" s="628" t="str">
        <f t="shared" si="72"/>
        <v/>
      </c>
      <c r="T268" s="628" t="str">
        <f t="shared" si="72"/>
        <v/>
      </c>
      <c r="U268" s="628" t="str">
        <f t="shared" si="72"/>
        <v/>
      </c>
      <c r="V268" s="637" t="str">
        <f t="shared" si="72"/>
        <v xml:space="preserve">Total Eligible: </v>
      </c>
      <c r="W268" s="628" t="str">
        <f t="shared" si="72"/>
        <v/>
      </c>
      <c r="X268" s="628" t="str">
        <f t="shared" si="72"/>
        <v/>
      </c>
      <c r="Y268" s="628" t="str">
        <f t="shared" si="72"/>
        <v>tons</v>
      </c>
      <c r="Z268" s="628"/>
      <c r="AA268" s="628"/>
      <c r="AB268" s="628"/>
      <c r="AC268" s="628"/>
      <c r="AD268" s="637" t="str">
        <f t="shared" si="72"/>
        <v>x $50 per ton=</v>
      </c>
      <c r="AE268" s="628" t="str">
        <f t="shared" si="72"/>
        <v>$</v>
      </c>
      <c r="AF268" s="628" t="str">
        <f t="shared" si="72"/>
        <v/>
      </c>
      <c r="AG268" s="628" t="str">
        <f t="shared" si="72"/>
        <v/>
      </c>
      <c r="AH268" s="628" t="str">
        <f t="shared" si="72"/>
        <v/>
      </c>
      <c r="AI268" s="638" t="str">
        <f t="shared" si="72"/>
        <v/>
      </c>
      <c r="AJ268" s="504"/>
      <c r="AK268" s="627"/>
      <c r="AL268" s="629"/>
      <c r="AM268" s="627"/>
      <c r="AN268" s="627"/>
      <c r="AO268" s="627"/>
      <c r="AP268" s="627"/>
      <c r="AQ268" s="627"/>
      <c r="AR268" s="627"/>
      <c r="AS268" s="627"/>
      <c r="AT268" s="627"/>
      <c r="AU268" s="627"/>
      <c r="AV268" s="627"/>
      <c r="AW268" s="627"/>
      <c r="AX268" s="627"/>
      <c r="AY268" s="627"/>
      <c r="AZ268" s="627"/>
      <c r="BA268" s="627"/>
      <c r="BB268" s="627"/>
      <c r="BC268" s="627"/>
      <c r="BD268" s="627"/>
      <c r="BE268" s="627"/>
      <c r="BF268" s="627"/>
      <c r="BG268" s="627"/>
      <c r="BH268" s="627"/>
      <c r="BI268" s="627"/>
      <c r="BJ268" s="627"/>
      <c r="BK268" s="627"/>
      <c r="BL268" s="627"/>
      <c r="BM268" s="627"/>
      <c r="BN268" s="627"/>
      <c r="BO268" s="627"/>
      <c r="BP268" s="627"/>
      <c r="BQ268" s="627"/>
      <c r="BR268" s="627"/>
      <c r="BS268" s="627"/>
      <c r="BT268" s="627"/>
      <c r="BU268" s="627"/>
      <c r="BV268" s="627"/>
      <c r="BW268" s="627"/>
      <c r="BX268" s="627"/>
      <c r="BY268" s="627"/>
      <c r="BZ268" s="627"/>
      <c r="CA268" s="690"/>
      <c r="CB268" s="690"/>
      <c r="CC268" s="690"/>
      <c r="CD268" s="690"/>
      <c r="CE268" s="690"/>
      <c r="CF268" s="690"/>
      <c r="CG268" s="690"/>
      <c r="CH268" s="690"/>
      <c r="CI268" s="690"/>
      <c r="CJ268" s="690"/>
      <c r="CK268" s="690"/>
      <c r="CL268" s="690"/>
      <c r="CM268" s="690"/>
      <c r="CN268" s="690"/>
      <c r="CO268" s="690"/>
      <c r="CP268" s="690"/>
      <c r="CQ268" s="690"/>
      <c r="CR268" s="690"/>
      <c r="CS268" s="690"/>
      <c r="CT268" s="690"/>
      <c r="CU268" s="690"/>
      <c r="CV268" s="690"/>
      <c r="CW268" s="690"/>
      <c r="CX268" s="690"/>
      <c r="CY268" s="690"/>
      <c r="CZ268" s="690"/>
      <c r="DA268" s="690"/>
      <c r="DB268" s="690"/>
      <c r="DC268" s="690"/>
    </row>
    <row r="269" spans="1:107" s="630" customFormat="1" ht="12.75" hidden="1" customHeight="1">
      <c r="A269" s="504"/>
      <c r="B269" s="636" t="str">
        <f t="shared" ref="B269" si="79">IF(B54="","",B54)</f>
        <v/>
      </c>
      <c r="C269" s="628" t="str">
        <f t="shared" si="72"/>
        <v xml:space="preserve"> A5a - Evaporative Coolers (Direct)*</v>
      </c>
      <c r="D269" s="628" t="str">
        <f t="shared" si="72"/>
        <v/>
      </c>
      <c r="E269" s="628" t="str">
        <f t="shared" si="72"/>
        <v/>
      </c>
      <c r="F269" s="628" t="str">
        <f t="shared" si="72"/>
        <v/>
      </c>
      <c r="G269" s="628" t="str">
        <f t="shared" si="72"/>
        <v/>
      </c>
      <c r="H269" s="628" t="str">
        <f t="shared" si="72"/>
        <v/>
      </c>
      <c r="I269" s="628" t="str">
        <f t="shared" si="72"/>
        <v/>
      </c>
      <c r="J269" s="628" t="str">
        <f t="shared" si="72"/>
        <v/>
      </c>
      <c r="K269" s="628" t="str">
        <f t="shared" si="72"/>
        <v/>
      </c>
      <c r="L269" s="628" t="str">
        <f t="shared" si="72"/>
        <v/>
      </c>
      <c r="M269" s="628" t="str">
        <f t="shared" si="72"/>
        <v/>
      </c>
      <c r="N269" s="628" t="str">
        <f t="shared" si="72"/>
        <v/>
      </c>
      <c r="O269" s="628" t="str">
        <f t="shared" si="72"/>
        <v/>
      </c>
      <c r="P269" s="628" t="str">
        <f t="shared" si="72"/>
        <v/>
      </c>
      <c r="Q269" s="628" t="str">
        <f t="shared" si="72"/>
        <v/>
      </c>
      <c r="R269" s="628" t="str">
        <f t="shared" si="72"/>
        <v/>
      </c>
      <c r="S269" s="628" t="str">
        <f t="shared" si="72"/>
        <v/>
      </c>
      <c r="T269" s="628" t="str">
        <f t="shared" si="72"/>
        <v/>
      </c>
      <c r="U269" s="628" t="str">
        <f t="shared" si="72"/>
        <v/>
      </c>
      <c r="V269" s="637" t="str">
        <f t="shared" si="72"/>
        <v xml:space="preserve">Total Eligible: </v>
      </c>
      <c r="W269" s="628" t="str">
        <f t="shared" si="72"/>
        <v/>
      </c>
      <c r="X269" s="628" t="str">
        <f t="shared" si="72"/>
        <v/>
      </c>
      <c r="Y269" s="628" t="str">
        <f t="shared" si="72"/>
        <v>tons</v>
      </c>
      <c r="Z269" s="628"/>
      <c r="AA269" s="628"/>
      <c r="AB269" s="628"/>
      <c r="AC269" s="628"/>
      <c r="AD269" s="637" t="str">
        <f t="shared" si="72"/>
        <v>x $200 per ton=</v>
      </c>
      <c r="AE269" s="628" t="str">
        <f t="shared" si="72"/>
        <v>$</v>
      </c>
      <c r="AF269" s="628" t="str">
        <f t="shared" si="72"/>
        <v/>
      </c>
      <c r="AG269" s="628" t="str">
        <f t="shared" si="72"/>
        <v/>
      </c>
      <c r="AH269" s="628" t="str">
        <f t="shared" si="72"/>
        <v/>
      </c>
      <c r="AI269" s="638" t="str">
        <f t="shared" si="72"/>
        <v/>
      </c>
      <c r="AJ269" s="504"/>
      <c r="AK269" s="627"/>
      <c r="AL269" s="629"/>
      <c r="AM269" s="627"/>
      <c r="AN269" s="627"/>
      <c r="AO269" s="627"/>
      <c r="AP269" s="627"/>
      <c r="AQ269" s="627"/>
      <c r="AR269" s="627"/>
      <c r="AS269" s="627"/>
      <c r="AT269" s="627"/>
      <c r="AU269" s="627"/>
      <c r="AV269" s="627"/>
      <c r="AW269" s="627"/>
      <c r="AX269" s="627"/>
      <c r="AY269" s="627"/>
      <c r="AZ269" s="627"/>
      <c r="BA269" s="627"/>
      <c r="BB269" s="627"/>
      <c r="BC269" s="627"/>
      <c r="BD269" s="627"/>
      <c r="BE269" s="627"/>
      <c r="BF269" s="627"/>
      <c r="BG269" s="627"/>
      <c r="BH269" s="627"/>
      <c r="BI269" s="627"/>
      <c r="BJ269" s="627"/>
      <c r="BK269" s="627"/>
      <c r="BL269" s="627"/>
      <c r="BM269" s="627"/>
      <c r="BN269" s="627"/>
      <c r="BO269" s="627"/>
      <c r="BP269" s="627"/>
      <c r="BQ269" s="627"/>
      <c r="BR269" s="627"/>
      <c r="BS269" s="627"/>
      <c r="BT269" s="627"/>
      <c r="BU269" s="627"/>
      <c r="BV269" s="627"/>
      <c r="BW269" s="627"/>
      <c r="BX269" s="627"/>
      <c r="BY269" s="627"/>
      <c r="BZ269" s="627"/>
      <c r="CA269" s="690"/>
      <c r="CB269" s="690"/>
      <c r="CC269" s="690"/>
      <c r="CD269" s="690"/>
      <c r="CE269" s="690"/>
      <c r="CF269" s="690"/>
      <c r="CG269" s="690"/>
      <c r="CH269" s="690"/>
      <c r="CI269" s="690"/>
      <c r="CJ269" s="690"/>
      <c r="CK269" s="690"/>
      <c r="CL269" s="690"/>
      <c r="CM269" s="690"/>
      <c r="CN269" s="690"/>
      <c r="CO269" s="690"/>
      <c r="CP269" s="690"/>
      <c r="CQ269" s="690"/>
      <c r="CR269" s="690"/>
      <c r="CS269" s="690"/>
      <c r="CT269" s="690"/>
      <c r="CU269" s="690"/>
      <c r="CV269" s="690"/>
      <c r="CW269" s="690"/>
      <c r="CX269" s="690"/>
      <c r="CY269" s="690"/>
      <c r="CZ269" s="690"/>
      <c r="DA269" s="690"/>
      <c r="DB269" s="690"/>
      <c r="DC269" s="690"/>
    </row>
    <row r="270" spans="1:107" s="630" customFormat="1" ht="12.75" hidden="1" customHeight="1">
      <c r="A270" s="504"/>
      <c r="B270" s="636" t="str">
        <f t="shared" ref="B270" si="80">IF(B55="","",B55)</f>
        <v/>
      </c>
      <c r="C270" s="628" t="str">
        <f t="shared" si="72"/>
        <v xml:space="preserve"> A5b - Evaporative Coolers (Indirect)*</v>
      </c>
      <c r="D270" s="628" t="str">
        <f t="shared" si="72"/>
        <v/>
      </c>
      <c r="E270" s="628" t="str">
        <f t="shared" si="72"/>
        <v/>
      </c>
      <c r="F270" s="628" t="str">
        <f t="shared" si="72"/>
        <v/>
      </c>
      <c r="G270" s="628" t="str">
        <f t="shared" si="72"/>
        <v/>
      </c>
      <c r="H270" s="628" t="str">
        <f t="shared" si="72"/>
        <v/>
      </c>
      <c r="I270" s="628" t="str">
        <f t="shared" si="72"/>
        <v/>
      </c>
      <c r="J270" s="628" t="str">
        <f t="shared" si="72"/>
        <v/>
      </c>
      <c r="K270" s="628" t="str">
        <f t="shared" si="72"/>
        <v/>
      </c>
      <c r="L270" s="628" t="str">
        <f t="shared" si="72"/>
        <v/>
      </c>
      <c r="M270" s="628" t="str">
        <f t="shared" si="72"/>
        <v/>
      </c>
      <c r="N270" s="628" t="str">
        <f t="shared" si="72"/>
        <v/>
      </c>
      <c r="O270" s="628" t="str">
        <f t="shared" si="72"/>
        <v/>
      </c>
      <c r="P270" s="628" t="str">
        <f t="shared" si="72"/>
        <v/>
      </c>
      <c r="Q270" s="628" t="str">
        <f t="shared" si="72"/>
        <v/>
      </c>
      <c r="R270" s="628" t="str">
        <f t="shared" si="72"/>
        <v/>
      </c>
      <c r="S270" s="628" t="str">
        <f t="shared" si="72"/>
        <v/>
      </c>
      <c r="T270" s="628" t="str">
        <f t="shared" si="72"/>
        <v/>
      </c>
      <c r="U270" s="628" t="str">
        <f t="shared" si="72"/>
        <v/>
      </c>
      <c r="V270" s="637" t="str">
        <f t="shared" si="72"/>
        <v xml:space="preserve">Total Eligible: </v>
      </c>
      <c r="W270" s="628" t="str">
        <f t="shared" si="72"/>
        <v/>
      </c>
      <c r="X270" s="628" t="str">
        <f t="shared" si="72"/>
        <v/>
      </c>
      <c r="Y270" s="628" t="str">
        <f t="shared" si="72"/>
        <v>tons</v>
      </c>
      <c r="Z270" s="628"/>
      <c r="AA270" s="628"/>
      <c r="AB270" s="628"/>
      <c r="AC270" s="628"/>
      <c r="AD270" s="637" t="str">
        <f t="shared" ref="AD270:AI271" si="81">IF(AD55="","",AD55)</f>
        <v>x $130 per ton=</v>
      </c>
      <c r="AE270" s="628" t="str">
        <f t="shared" si="81"/>
        <v>$</v>
      </c>
      <c r="AF270" s="628" t="str">
        <f t="shared" si="81"/>
        <v/>
      </c>
      <c r="AG270" s="628" t="str">
        <f t="shared" si="81"/>
        <v/>
      </c>
      <c r="AH270" s="628" t="str">
        <f t="shared" si="81"/>
        <v/>
      </c>
      <c r="AI270" s="638" t="str">
        <f t="shared" si="81"/>
        <v/>
      </c>
      <c r="AJ270" s="504"/>
      <c r="AK270" s="627"/>
      <c r="AL270" s="629"/>
      <c r="AM270" s="627"/>
      <c r="AN270" s="627"/>
      <c r="AO270" s="627"/>
      <c r="AP270" s="627"/>
      <c r="AQ270" s="627"/>
      <c r="AR270" s="627"/>
      <c r="AS270" s="627"/>
      <c r="AT270" s="627"/>
      <c r="AU270" s="627"/>
      <c r="AV270" s="627"/>
      <c r="AW270" s="627"/>
      <c r="AX270" s="627"/>
      <c r="AY270" s="627"/>
      <c r="AZ270" s="627"/>
      <c r="BA270" s="627"/>
      <c r="BB270" s="627"/>
      <c r="BC270" s="627"/>
      <c r="BD270" s="627"/>
      <c r="BE270" s="627"/>
      <c r="BF270" s="627"/>
      <c r="BG270" s="627"/>
      <c r="BH270" s="627"/>
      <c r="BI270" s="627"/>
      <c r="BJ270" s="627"/>
      <c r="BK270" s="627"/>
      <c r="BL270" s="627"/>
      <c r="BM270" s="627"/>
      <c r="BN270" s="627"/>
      <c r="BO270" s="627"/>
      <c r="BP270" s="627"/>
      <c r="BQ270" s="627"/>
      <c r="BR270" s="627"/>
      <c r="BS270" s="627"/>
      <c r="BT270" s="627"/>
      <c r="BU270" s="627"/>
      <c r="BV270" s="627"/>
      <c r="BW270" s="627"/>
      <c r="BX270" s="627"/>
      <c r="BY270" s="627"/>
      <c r="BZ270" s="627"/>
      <c r="CA270" s="690"/>
      <c r="CB270" s="690"/>
      <c r="CC270" s="690"/>
      <c r="CD270" s="690"/>
      <c r="CE270" s="690"/>
      <c r="CF270" s="690"/>
      <c r="CG270" s="690"/>
      <c r="CH270" s="690"/>
      <c r="CI270" s="690"/>
      <c r="CJ270" s="690"/>
      <c r="CK270" s="690"/>
      <c r="CL270" s="690"/>
      <c r="CM270" s="690"/>
      <c r="CN270" s="690"/>
      <c r="CO270" s="690"/>
      <c r="CP270" s="690"/>
      <c r="CQ270" s="690"/>
      <c r="CR270" s="690"/>
      <c r="CS270" s="690"/>
      <c r="CT270" s="690"/>
      <c r="CU270" s="690"/>
      <c r="CV270" s="690"/>
      <c r="CW270" s="690"/>
      <c r="CX270" s="690"/>
      <c r="CY270" s="690"/>
      <c r="CZ270" s="690"/>
      <c r="DA270" s="690"/>
      <c r="DB270" s="690"/>
      <c r="DC270" s="690"/>
    </row>
    <row r="271" spans="1:107" s="5" customFormat="1" ht="12.75" customHeight="1">
      <c r="A271" s="1"/>
      <c r="B271" s="253" t="str">
        <f t="shared" ref="B271:AI278" si="82">IF(B56="","",B56)</f>
        <v/>
      </c>
      <c r="C271" s="9" t="str">
        <f t="shared" si="82"/>
        <v xml:space="preserve"> A6N - High Volume Low Speed Fans</v>
      </c>
      <c r="D271" s="9"/>
      <c r="E271" s="9"/>
      <c r="F271" s="9"/>
      <c r="G271" s="9"/>
      <c r="H271" s="9"/>
      <c r="I271" s="9"/>
      <c r="J271" s="9"/>
      <c r="K271" s="9"/>
      <c r="L271" s="9"/>
      <c r="M271" s="9"/>
      <c r="N271" s="9"/>
      <c r="O271" s="9"/>
      <c r="P271" s="9"/>
      <c r="Q271" s="9"/>
      <c r="R271" s="9"/>
      <c r="S271" s="9"/>
      <c r="T271" s="9"/>
      <c r="U271" s="9"/>
      <c r="V271" s="623" t="str">
        <f t="shared" si="82"/>
        <v xml:space="preserve">Qty: </v>
      </c>
      <c r="W271" s="844" t="str">
        <f t="shared" si="72"/>
        <v/>
      </c>
      <c r="X271" s="845"/>
      <c r="Y271" s="9" t="str">
        <f t="shared" si="82"/>
        <v>fans</v>
      </c>
      <c r="Z271" s="9"/>
      <c r="AA271" s="9"/>
      <c r="AB271" s="9"/>
      <c r="AC271" s="9"/>
      <c r="AD271" s="623" t="str">
        <f t="shared" si="82"/>
        <v>x $2,000 per fan=</v>
      </c>
      <c r="AE271" s="9" t="str">
        <f t="shared" si="82"/>
        <v>$</v>
      </c>
      <c r="AF271" s="846" t="str">
        <f t="shared" si="81"/>
        <v/>
      </c>
      <c r="AG271" s="846"/>
      <c r="AH271" s="846"/>
      <c r="AI271" s="633" t="str">
        <f t="shared" si="82"/>
        <v/>
      </c>
      <c r="AJ271" s="1"/>
      <c r="AK271" s="94"/>
      <c r="AL271" s="98"/>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684"/>
      <c r="CB271" s="684"/>
      <c r="CC271" s="684"/>
      <c r="CD271" s="684"/>
      <c r="CE271" s="684"/>
      <c r="CF271" s="684"/>
      <c r="CG271" s="684"/>
      <c r="CH271" s="684"/>
      <c r="CI271" s="684"/>
      <c r="CJ271" s="684"/>
      <c r="CK271" s="684"/>
      <c r="CL271" s="684"/>
      <c r="CM271" s="684"/>
      <c r="CN271" s="684"/>
      <c r="CO271" s="684"/>
      <c r="CP271" s="684"/>
      <c r="CQ271" s="684"/>
      <c r="CR271" s="684"/>
      <c r="CS271" s="684"/>
      <c r="CT271" s="684"/>
      <c r="CU271" s="684"/>
      <c r="CV271" s="684"/>
      <c r="CW271" s="684"/>
      <c r="CX271" s="684"/>
      <c r="CY271" s="684"/>
      <c r="CZ271" s="684"/>
      <c r="DA271" s="684"/>
      <c r="DB271" s="684"/>
      <c r="DC271" s="684"/>
    </row>
    <row r="272" spans="1:107" s="630" customFormat="1" ht="12.75" hidden="1" customHeight="1">
      <c r="A272" s="504"/>
      <c r="B272" s="636" t="str">
        <f t="shared" ref="B272" si="83">IF(B57="","",B57)</f>
        <v/>
      </c>
      <c r="C272" s="628" t="str">
        <f t="shared" si="82"/>
        <v xml:space="preserve"> A7 - Evaporative Pre-coolers on Air-Cooled Condensers (HVAC)*</v>
      </c>
      <c r="D272" s="628" t="str">
        <f t="shared" si="82"/>
        <v/>
      </c>
      <c r="E272" s="628" t="str">
        <f t="shared" si="82"/>
        <v/>
      </c>
      <c r="F272" s="628" t="str">
        <f t="shared" si="82"/>
        <v/>
      </c>
      <c r="G272" s="628" t="str">
        <f t="shared" si="82"/>
        <v/>
      </c>
      <c r="H272" s="628" t="str">
        <f t="shared" si="82"/>
        <v/>
      </c>
      <c r="I272" s="628" t="str">
        <f t="shared" si="82"/>
        <v/>
      </c>
      <c r="J272" s="628" t="str">
        <f t="shared" si="82"/>
        <v/>
      </c>
      <c r="K272" s="628" t="str">
        <f t="shared" si="82"/>
        <v/>
      </c>
      <c r="L272" s="628" t="str">
        <f t="shared" si="82"/>
        <v/>
      </c>
      <c r="M272" s="628" t="str">
        <f t="shared" si="82"/>
        <v/>
      </c>
      <c r="N272" s="628" t="str">
        <f t="shared" si="82"/>
        <v/>
      </c>
      <c r="O272" s="628" t="str">
        <f t="shared" si="82"/>
        <v/>
      </c>
      <c r="P272" s="628" t="str">
        <f t="shared" si="82"/>
        <v/>
      </c>
      <c r="Q272" s="628" t="str">
        <f t="shared" si="82"/>
        <v/>
      </c>
      <c r="R272" s="628" t="str">
        <f t="shared" si="82"/>
        <v/>
      </c>
      <c r="S272" s="628" t="str">
        <f t="shared" si="82"/>
        <v/>
      </c>
      <c r="T272" s="628" t="str">
        <f t="shared" si="82"/>
        <v/>
      </c>
      <c r="U272" s="628" t="str">
        <f t="shared" si="82"/>
        <v/>
      </c>
      <c r="V272" s="637" t="str">
        <f t="shared" si="82"/>
        <v xml:space="preserve">Total Eligible: </v>
      </c>
      <c r="W272" s="628" t="str">
        <f t="shared" si="82"/>
        <v/>
      </c>
      <c r="X272" s="628" t="str">
        <f t="shared" si="82"/>
        <v/>
      </c>
      <c r="Y272" s="628" t="str">
        <f t="shared" si="82"/>
        <v>tons</v>
      </c>
      <c r="Z272" s="628"/>
      <c r="AA272" s="628"/>
      <c r="AB272" s="628"/>
      <c r="AC272" s="628"/>
      <c r="AD272" s="637" t="str">
        <f t="shared" si="82"/>
        <v>x $30 per ton=</v>
      </c>
      <c r="AE272" s="628" t="str">
        <f t="shared" si="82"/>
        <v>$</v>
      </c>
      <c r="AF272" s="628" t="str">
        <f t="shared" si="82"/>
        <v/>
      </c>
      <c r="AG272" s="628" t="str">
        <f t="shared" si="82"/>
        <v/>
      </c>
      <c r="AH272" s="628" t="str">
        <f t="shared" si="82"/>
        <v/>
      </c>
      <c r="AI272" s="638" t="str">
        <f t="shared" si="82"/>
        <v/>
      </c>
      <c r="AJ272" s="504"/>
      <c r="AK272" s="627"/>
      <c r="AL272" s="629"/>
      <c r="AM272" s="627"/>
      <c r="AN272" s="627"/>
      <c r="AO272" s="627"/>
      <c r="AP272" s="627"/>
      <c r="AQ272" s="627"/>
      <c r="AR272" s="627"/>
      <c r="AS272" s="627"/>
      <c r="AT272" s="627"/>
      <c r="AU272" s="627"/>
      <c r="AV272" s="627"/>
      <c r="AW272" s="627"/>
      <c r="AX272" s="627"/>
      <c r="AY272" s="627"/>
      <c r="AZ272" s="627"/>
      <c r="BA272" s="627"/>
      <c r="BB272" s="627"/>
      <c r="BC272" s="627"/>
      <c r="BD272" s="627"/>
      <c r="BE272" s="627"/>
      <c r="BF272" s="627"/>
      <c r="BG272" s="627"/>
      <c r="BH272" s="627"/>
      <c r="BI272" s="627"/>
      <c r="BJ272" s="627"/>
      <c r="BK272" s="627"/>
      <c r="BL272" s="627"/>
      <c r="BM272" s="627"/>
      <c r="BN272" s="627"/>
      <c r="BO272" s="627"/>
      <c r="BP272" s="627"/>
      <c r="BQ272" s="627"/>
      <c r="BR272" s="627"/>
      <c r="BS272" s="627"/>
      <c r="BT272" s="627"/>
      <c r="BU272" s="627"/>
      <c r="BV272" s="627"/>
      <c r="BW272" s="627"/>
      <c r="BX272" s="627"/>
      <c r="BY272" s="627"/>
      <c r="BZ272" s="627"/>
      <c r="CA272" s="690"/>
      <c r="CB272" s="690"/>
      <c r="CC272" s="690"/>
      <c r="CD272" s="690"/>
      <c r="CE272" s="690"/>
      <c r="CF272" s="690"/>
      <c r="CG272" s="690"/>
      <c r="CH272" s="690"/>
      <c r="CI272" s="690"/>
      <c r="CJ272" s="690"/>
      <c r="CK272" s="690"/>
      <c r="CL272" s="690"/>
      <c r="CM272" s="690"/>
      <c r="CN272" s="690"/>
      <c r="CO272" s="690"/>
      <c r="CP272" s="690"/>
      <c r="CQ272" s="690"/>
      <c r="CR272" s="690"/>
      <c r="CS272" s="690"/>
      <c r="CT272" s="690"/>
      <c r="CU272" s="690"/>
      <c r="CV272" s="690"/>
      <c r="CW272" s="690"/>
      <c r="CX272" s="690"/>
      <c r="CY272" s="690"/>
      <c r="CZ272" s="690"/>
      <c r="DA272" s="690"/>
      <c r="DB272" s="690"/>
      <c r="DC272" s="690"/>
    </row>
    <row r="273" spans="1:107" s="5" customFormat="1" ht="12.75" customHeight="1">
      <c r="A273" s="1"/>
      <c r="B273" s="634" t="str">
        <f t="shared" ref="B273" si="84">IF(B58="","",B58)</f>
        <v/>
      </c>
      <c r="C273" s="248" t="str">
        <f t="shared" si="82"/>
        <v/>
      </c>
      <c r="D273" s="248" t="str">
        <f t="shared" si="82"/>
        <v/>
      </c>
      <c r="E273" s="248" t="str">
        <f t="shared" si="82"/>
        <v/>
      </c>
      <c r="F273" s="248" t="str">
        <f t="shared" si="82"/>
        <v/>
      </c>
      <c r="G273" s="248" t="str">
        <f t="shared" si="82"/>
        <v/>
      </c>
      <c r="H273" s="248" t="str">
        <f t="shared" si="82"/>
        <v/>
      </c>
      <c r="I273" s="248" t="str">
        <f t="shared" si="82"/>
        <v/>
      </c>
      <c r="J273" s="248" t="str">
        <f t="shared" si="82"/>
        <v/>
      </c>
      <c r="K273" s="248" t="str">
        <f t="shared" si="82"/>
        <v/>
      </c>
      <c r="L273" s="248" t="str">
        <f t="shared" si="82"/>
        <v/>
      </c>
      <c r="M273" s="248" t="str">
        <f t="shared" si="82"/>
        <v/>
      </c>
      <c r="N273" s="248" t="str">
        <f t="shared" si="82"/>
        <v/>
      </c>
      <c r="O273" s="248" t="str">
        <f t="shared" si="82"/>
        <v/>
      </c>
      <c r="P273" s="248" t="str">
        <f t="shared" si="82"/>
        <v/>
      </c>
      <c r="Q273" s="248" t="str">
        <f t="shared" si="82"/>
        <v/>
      </c>
      <c r="R273" s="248" t="str">
        <f t="shared" si="82"/>
        <v/>
      </c>
      <c r="S273" s="248" t="str">
        <f t="shared" si="82"/>
        <v/>
      </c>
      <c r="T273" s="248" t="str">
        <f t="shared" si="82"/>
        <v/>
      </c>
      <c r="U273" s="248" t="str">
        <f t="shared" si="82"/>
        <v/>
      </c>
      <c r="V273" s="248" t="str">
        <f t="shared" si="82"/>
        <v/>
      </c>
      <c r="W273" s="248" t="str">
        <f t="shared" si="82"/>
        <v/>
      </c>
      <c r="X273" s="248" t="str">
        <f t="shared" si="82"/>
        <v/>
      </c>
      <c r="Y273" s="248" t="str">
        <f t="shared" si="82"/>
        <v/>
      </c>
      <c r="Z273" s="248" t="str">
        <f t="shared" si="82"/>
        <v/>
      </c>
      <c r="AA273" s="248" t="str">
        <f t="shared" si="82"/>
        <v/>
      </c>
      <c r="AB273" s="248" t="str">
        <f t="shared" si="82"/>
        <v/>
      </c>
      <c r="AC273" s="248" t="str">
        <f t="shared" si="82"/>
        <v/>
      </c>
      <c r="AD273" s="248" t="str">
        <f t="shared" si="82"/>
        <v/>
      </c>
      <c r="AE273" s="248" t="str">
        <f t="shared" si="82"/>
        <v/>
      </c>
      <c r="AF273" s="248" t="str">
        <f t="shared" si="82"/>
        <v/>
      </c>
      <c r="AG273" s="248" t="str">
        <f t="shared" si="82"/>
        <v/>
      </c>
      <c r="AH273" s="248" t="str">
        <f t="shared" si="82"/>
        <v/>
      </c>
      <c r="AI273" s="635" t="str">
        <f t="shared" si="82"/>
        <v/>
      </c>
      <c r="AJ273" s="1"/>
      <c r="AK273" s="94"/>
      <c r="AL273" s="98"/>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684"/>
      <c r="CB273" s="684"/>
      <c r="CC273" s="684"/>
      <c r="CD273" s="684"/>
      <c r="CE273" s="684"/>
      <c r="CF273" s="684"/>
      <c r="CG273" s="684"/>
      <c r="CH273" s="684"/>
      <c r="CI273" s="684"/>
      <c r="CJ273" s="684"/>
      <c r="CK273" s="684"/>
      <c r="CL273" s="684"/>
      <c r="CM273" s="684"/>
      <c r="CN273" s="684"/>
      <c r="CO273" s="684"/>
      <c r="CP273" s="684"/>
      <c r="CQ273" s="684"/>
      <c r="CR273" s="684"/>
      <c r="CS273" s="684"/>
      <c r="CT273" s="684"/>
      <c r="CU273" s="684"/>
      <c r="CV273" s="684"/>
      <c r="CW273" s="684"/>
      <c r="CX273" s="684"/>
      <c r="CY273" s="684"/>
      <c r="CZ273" s="684"/>
      <c r="DA273" s="684"/>
      <c r="DB273" s="684"/>
      <c r="DC273" s="684"/>
    </row>
    <row r="274" spans="1:107" s="5" customFormat="1" ht="12.75" customHeight="1">
      <c r="A274" s="1"/>
      <c r="B274" s="9" t="str">
        <f t="shared" ref="B274" si="85">IF(B59="","",B59)</f>
        <v/>
      </c>
      <c r="C274" s="9" t="str">
        <f t="shared" si="82"/>
        <v/>
      </c>
      <c r="D274" s="9" t="str">
        <f t="shared" si="82"/>
        <v/>
      </c>
      <c r="E274" s="9" t="str">
        <f t="shared" si="82"/>
        <v/>
      </c>
      <c r="F274" s="9" t="str">
        <f t="shared" si="82"/>
        <v/>
      </c>
      <c r="G274" s="9" t="str">
        <f t="shared" si="82"/>
        <v/>
      </c>
      <c r="H274" s="9" t="str">
        <f t="shared" si="82"/>
        <v/>
      </c>
      <c r="I274" s="9" t="str">
        <f t="shared" si="82"/>
        <v/>
      </c>
      <c r="J274" s="9" t="str">
        <f t="shared" si="82"/>
        <v/>
      </c>
      <c r="K274" s="9" t="str">
        <f t="shared" si="82"/>
        <v/>
      </c>
      <c r="L274" s="9" t="str">
        <f t="shared" si="82"/>
        <v/>
      </c>
      <c r="M274" s="9" t="str">
        <f t="shared" si="82"/>
        <v/>
      </c>
      <c r="N274" s="9" t="str">
        <f t="shared" si="82"/>
        <v/>
      </c>
      <c r="O274" s="9" t="str">
        <f t="shared" si="82"/>
        <v/>
      </c>
      <c r="P274" s="9" t="str">
        <f t="shared" si="82"/>
        <v/>
      </c>
      <c r="Q274" s="9" t="str">
        <f t="shared" si="82"/>
        <v/>
      </c>
      <c r="R274" s="9" t="str">
        <f t="shared" si="82"/>
        <v/>
      </c>
      <c r="S274" s="9" t="str">
        <f t="shared" si="82"/>
        <v/>
      </c>
      <c r="T274" s="9" t="str">
        <f t="shared" si="82"/>
        <v/>
      </c>
      <c r="U274" s="9" t="str">
        <f t="shared" si="82"/>
        <v/>
      </c>
      <c r="V274" s="9" t="str">
        <f t="shared" si="82"/>
        <v/>
      </c>
      <c r="W274" s="9" t="str">
        <f t="shared" si="82"/>
        <v/>
      </c>
      <c r="X274" s="9" t="str">
        <f t="shared" si="82"/>
        <v/>
      </c>
      <c r="Y274" s="9" t="str">
        <f t="shared" si="82"/>
        <v/>
      </c>
      <c r="Z274" s="9" t="str">
        <f t="shared" si="82"/>
        <v/>
      </c>
      <c r="AA274" s="9" t="str">
        <f t="shared" si="82"/>
        <v/>
      </c>
      <c r="AB274" s="9" t="str">
        <f t="shared" si="82"/>
        <v/>
      </c>
      <c r="AC274" s="9" t="str">
        <f t="shared" si="82"/>
        <v/>
      </c>
      <c r="AD274" s="9" t="str">
        <f t="shared" si="82"/>
        <v/>
      </c>
      <c r="AE274" s="9" t="str">
        <f t="shared" si="82"/>
        <v/>
      </c>
      <c r="AF274" s="9" t="str">
        <f t="shared" si="82"/>
        <v/>
      </c>
      <c r="AG274" s="9" t="str">
        <f t="shared" si="82"/>
        <v/>
      </c>
      <c r="AH274" s="9" t="str">
        <f t="shared" si="82"/>
        <v/>
      </c>
      <c r="AI274" s="9" t="str">
        <f t="shared" si="82"/>
        <v/>
      </c>
      <c r="AJ274" s="1"/>
      <c r="AK274" s="94"/>
      <c r="AL274" s="98"/>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684"/>
      <c r="CB274" s="684"/>
      <c r="CC274" s="684"/>
      <c r="CD274" s="684"/>
      <c r="CE274" s="684"/>
      <c r="CF274" s="684"/>
      <c r="CG274" s="684"/>
      <c r="CH274" s="684"/>
      <c r="CI274" s="684"/>
      <c r="CJ274" s="684"/>
      <c r="CK274" s="684"/>
      <c r="CL274" s="684"/>
      <c r="CM274" s="684"/>
      <c r="CN274" s="684"/>
      <c r="CO274" s="684"/>
      <c r="CP274" s="684"/>
      <c r="CQ274" s="684"/>
      <c r="CR274" s="684"/>
      <c r="CS274" s="684"/>
      <c r="CT274" s="684"/>
      <c r="CU274" s="684"/>
      <c r="CV274" s="684"/>
      <c r="CW274" s="684"/>
      <c r="CX274" s="684"/>
      <c r="CY274" s="684"/>
      <c r="CZ274" s="684"/>
      <c r="DA274" s="684"/>
      <c r="DB274" s="684"/>
      <c r="DC274" s="684"/>
    </row>
    <row r="275" spans="1:107" s="5" customFormat="1" ht="12.75" customHeight="1">
      <c r="A275" s="1"/>
      <c r="B275" s="626" t="str">
        <f t="shared" ref="B275" si="86">IF(B60="","",B60)</f>
        <v>Building Shell</v>
      </c>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1"/>
      <c r="AK275" s="94"/>
      <c r="AL275" s="98"/>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684"/>
      <c r="CB275" s="684"/>
      <c r="CC275" s="684"/>
      <c r="CD275" s="684"/>
      <c r="CE275" s="684"/>
      <c r="CF275" s="684"/>
      <c r="CG275" s="684"/>
      <c r="CH275" s="684"/>
      <c r="CI275" s="684"/>
      <c r="CJ275" s="684"/>
      <c r="CK275" s="684"/>
      <c r="CL275" s="684"/>
      <c r="CM275" s="684"/>
      <c r="CN275" s="684"/>
      <c r="CO275" s="684"/>
      <c r="CP275" s="684"/>
      <c r="CQ275" s="684"/>
      <c r="CR275" s="684"/>
      <c r="CS275" s="684"/>
      <c r="CT275" s="684"/>
      <c r="CU275" s="684"/>
      <c r="CV275" s="684"/>
      <c r="CW275" s="684"/>
      <c r="CX275" s="684"/>
      <c r="CY275" s="684"/>
      <c r="CZ275" s="684"/>
      <c r="DA275" s="684"/>
      <c r="DB275" s="684"/>
      <c r="DC275" s="684"/>
    </row>
    <row r="276" spans="1:107" s="5" customFormat="1" ht="12.75" customHeight="1">
      <c r="A276" s="1"/>
      <c r="B276" s="240" t="str">
        <f t="shared" ref="B276" si="87">IF(B61="","",B61)</f>
        <v/>
      </c>
      <c r="C276" s="241" t="str">
        <f t="shared" si="82"/>
        <v/>
      </c>
      <c r="D276" s="241" t="str">
        <f t="shared" si="82"/>
        <v/>
      </c>
      <c r="E276" s="241" t="str">
        <f t="shared" si="82"/>
        <v/>
      </c>
      <c r="F276" s="241" t="str">
        <f t="shared" si="82"/>
        <v/>
      </c>
      <c r="G276" s="241" t="str">
        <f t="shared" si="82"/>
        <v/>
      </c>
      <c r="H276" s="241" t="str">
        <f t="shared" si="82"/>
        <v/>
      </c>
      <c r="I276" s="241" t="str">
        <f t="shared" si="82"/>
        <v/>
      </c>
      <c r="J276" s="241" t="str">
        <f t="shared" si="82"/>
        <v/>
      </c>
      <c r="K276" s="241" t="str">
        <f t="shared" si="82"/>
        <v/>
      </c>
      <c r="L276" s="241" t="str">
        <f t="shared" si="82"/>
        <v/>
      </c>
      <c r="M276" s="241" t="str">
        <f t="shared" si="82"/>
        <v/>
      </c>
      <c r="N276" s="241" t="str">
        <f t="shared" si="82"/>
        <v/>
      </c>
      <c r="O276" s="241" t="str">
        <f t="shared" si="82"/>
        <v/>
      </c>
      <c r="P276" s="241" t="str">
        <f t="shared" si="82"/>
        <v/>
      </c>
      <c r="Q276" s="241" t="str">
        <f t="shared" si="82"/>
        <v/>
      </c>
      <c r="R276" s="241" t="str">
        <f t="shared" si="82"/>
        <v/>
      </c>
      <c r="S276" s="241" t="str">
        <f t="shared" si="82"/>
        <v/>
      </c>
      <c r="T276" s="241" t="str">
        <f t="shared" si="82"/>
        <v/>
      </c>
      <c r="U276" s="241" t="str">
        <f t="shared" si="82"/>
        <v/>
      </c>
      <c r="V276" s="241" t="str">
        <f t="shared" si="82"/>
        <v/>
      </c>
      <c r="W276" s="241" t="str">
        <f t="shared" si="82"/>
        <v/>
      </c>
      <c r="X276" s="241" t="str">
        <f t="shared" si="82"/>
        <v/>
      </c>
      <c r="Y276" s="241" t="str">
        <f t="shared" si="82"/>
        <v/>
      </c>
      <c r="Z276" s="241" t="str">
        <f t="shared" si="82"/>
        <v/>
      </c>
      <c r="AA276" s="241" t="str">
        <f t="shared" si="82"/>
        <v/>
      </c>
      <c r="AB276" s="241" t="str">
        <f t="shared" si="82"/>
        <v/>
      </c>
      <c r="AC276" s="241" t="str">
        <f t="shared" si="82"/>
        <v/>
      </c>
      <c r="AD276" s="241" t="str">
        <f t="shared" si="82"/>
        <v/>
      </c>
      <c r="AE276" s="241" t="str">
        <f t="shared" si="82"/>
        <v/>
      </c>
      <c r="AF276" s="241" t="str">
        <f t="shared" si="82"/>
        <v>Incentive</v>
      </c>
      <c r="AG276" s="241"/>
      <c r="AH276" s="241"/>
      <c r="AI276" s="242"/>
      <c r="AJ276" s="1"/>
      <c r="AK276" s="94"/>
      <c r="AL276" s="98"/>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684"/>
      <c r="CB276" s="684"/>
      <c r="CC276" s="684"/>
      <c r="CD276" s="684"/>
      <c r="CE276" s="684"/>
      <c r="CF276" s="684"/>
      <c r="CG276" s="684"/>
      <c r="CH276" s="684"/>
      <c r="CI276" s="684"/>
      <c r="CJ276" s="684"/>
      <c r="CK276" s="684"/>
      <c r="CL276" s="684"/>
      <c r="CM276" s="684"/>
      <c r="CN276" s="684"/>
      <c r="CO276" s="684"/>
      <c r="CP276" s="684"/>
      <c r="CQ276" s="684"/>
      <c r="CR276" s="684"/>
      <c r="CS276" s="684"/>
      <c r="CT276" s="684"/>
      <c r="CU276" s="684"/>
      <c r="CV276" s="684"/>
      <c r="CW276" s="684"/>
      <c r="CX276" s="684"/>
      <c r="CY276" s="684"/>
      <c r="CZ276" s="684"/>
      <c r="DA276" s="684"/>
      <c r="DB276" s="684"/>
      <c r="DC276" s="684"/>
    </row>
    <row r="277" spans="1:107" s="5" customFormat="1" ht="12.75" customHeight="1">
      <c r="A277" s="1"/>
      <c r="B277" s="253" t="str">
        <f t="shared" ref="B277" si="88">IF(B62="","",B62)</f>
        <v/>
      </c>
      <c r="C277" s="9" t="str">
        <f t="shared" si="82"/>
        <v xml:space="preserve"> B1N - Reflective Roof Treatment (sq ft over common areas only)</v>
      </c>
      <c r="D277" s="9"/>
      <c r="E277" s="9"/>
      <c r="F277" s="9"/>
      <c r="G277" s="9"/>
      <c r="H277" s="9"/>
      <c r="I277" s="9"/>
      <c r="J277" s="9"/>
      <c r="K277" s="9"/>
      <c r="L277" s="9"/>
      <c r="M277" s="9"/>
      <c r="N277" s="9"/>
      <c r="O277" s="9"/>
      <c r="P277" s="9"/>
      <c r="Q277" s="9"/>
      <c r="R277" s="9"/>
      <c r="S277" s="9"/>
      <c r="T277" s="9"/>
      <c r="U277" s="9"/>
      <c r="V277" s="623" t="str">
        <f t="shared" si="82"/>
        <v xml:space="preserve">Roof Area: </v>
      </c>
      <c r="W277" s="844" t="str">
        <f t="shared" ref="W277" si="89">IF(W62="","",W62)</f>
        <v/>
      </c>
      <c r="X277" s="845"/>
      <c r="Y277" s="9" t="str">
        <f t="shared" si="82"/>
        <v>sq ft</v>
      </c>
      <c r="Z277" s="9"/>
      <c r="AA277" s="9"/>
      <c r="AB277" s="9"/>
      <c r="AC277" s="9"/>
      <c r="AD277" s="623" t="str">
        <f t="shared" si="82"/>
        <v>x $0.05 per sq ft=</v>
      </c>
      <c r="AE277" s="9" t="str">
        <f t="shared" si="82"/>
        <v>$</v>
      </c>
      <c r="AF277" s="846" t="str">
        <f t="shared" ref="AF277" si="90">IF(AF62="","",AF62)</f>
        <v/>
      </c>
      <c r="AG277" s="846"/>
      <c r="AH277" s="846"/>
      <c r="AI277" s="633" t="str">
        <f t="shared" si="82"/>
        <v/>
      </c>
      <c r="AJ277" s="1"/>
      <c r="AK277" s="94"/>
      <c r="AL277" s="98"/>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684"/>
      <c r="CB277" s="684"/>
      <c r="CC277" s="684"/>
      <c r="CD277" s="684"/>
      <c r="CE277" s="684"/>
      <c r="CF277" s="684"/>
      <c r="CG277" s="684"/>
      <c r="CH277" s="684"/>
      <c r="CI277" s="684"/>
      <c r="CJ277" s="684"/>
      <c r="CK277" s="684"/>
      <c r="CL277" s="684"/>
      <c r="CM277" s="684"/>
      <c r="CN277" s="684"/>
      <c r="CO277" s="684"/>
      <c r="CP277" s="684"/>
      <c r="CQ277" s="684"/>
      <c r="CR277" s="684"/>
      <c r="CS277" s="684"/>
      <c r="CT277" s="684"/>
      <c r="CU277" s="684"/>
      <c r="CV277" s="684"/>
      <c r="CW277" s="684"/>
      <c r="CX277" s="684"/>
      <c r="CY277" s="684"/>
      <c r="CZ277" s="684"/>
      <c r="DA277" s="684"/>
      <c r="DB277" s="684"/>
      <c r="DC277" s="684"/>
    </row>
    <row r="278" spans="1:107" s="5" customFormat="1" ht="12.75" customHeight="1">
      <c r="A278" s="1"/>
      <c r="B278" s="634" t="str">
        <f t="shared" ref="B278" si="91">IF(B63="","",B63)</f>
        <v/>
      </c>
      <c r="C278" s="248" t="str">
        <f t="shared" si="82"/>
        <v/>
      </c>
      <c r="D278" s="248" t="str">
        <f t="shared" si="82"/>
        <v/>
      </c>
      <c r="E278" s="248" t="str">
        <f t="shared" si="82"/>
        <v/>
      </c>
      <c r="F278" s="248" t="str">
        <f t="shared" si="82"/>
        <v/>
      </c>
      <c r="G278" s="248" t="str">
        <f t="shared" si="82"/>
        <v/>
      </c>
      <c r="H278" s="248" t="str">
        <f t="shared" si="82"/>
        <v/>
      </c>
      <c r="I278" s="248" t="str">
        <f t="shared" si="82"/>
        <v/>
      </c>
      <c r="J278" s="248" t="str">
        <f t="shared" si="82"/>
        <v/>
      </c>
      <c r="K278" s="248" t="str">
        <f t="shared" si="82"/>
        <v/>
      </c>
      <c r="L278" s="248" t="str">
        <f t="shared" si="82"/>
        <v/>
      </c>
      <c r="M278" s="248" t="str">
        <f t="shared" si="82"/>
        <v/>
      </c>
      <c r="N278" s="248" t="str">
        <f t="shared" si="82"/>
        <v/>
      </c>
      <c r="O278" s="248" t="str">
        <f t="shared" si="82"/>
        <v/>
      </c>
      <c r="P278" s="248" t="str">
        <f t="shared" si="82"/>
        <v/>
      </c>
      <c r="Q278" s="248" t="str">
        <f t="shared" si="82"/>
        <v/>
      </c>
      <c r="R278" s="248" t="str">
        <f t="shared" si="82"/>
        <v/>
      </c>
      <c r="S278" s="248" t="str">
        <f t="shared" si="82"/>
        <v/>
      </c>
      <c r="T278" s="248" t="str">
        <f t="shared" si="82"/>
        <v/>
      </c>
      <c r="U278" s="248" t="str">
        <f t="shared" si="82"/>
        <v/>
      </c>
      <c r="V278" s="248" t="str">
        <f t="shared" si="82"/>
        <v/>
      </c>
      <c r="W278" s="248" t="str">
        <f t="shared" si="82"/>
        <v/>
      </c>
      <c r="X278" s="248" t="str">
        <f t="shared" si="82"/>
        <v/>
      </c>
      <c r="Y278" s="248" t="str">
        <f t="shared" si="82"/>
        <v/>
      </c>
      <c r="Z278" s="248" t="str">
        <f t="shared" ref="Z278:AI278" si="92">IF(Z63="","",Z63)</f>
        <v/>
      </c>
      <c r="AA278" s="248" t="str">
        <f t="shared" si="92"/>
        <v/>
      </c>
      <c r="AB278" s="248" t="str">
        <f t="shared" si="92"/>
        <v/>
      </c>
      <c r="AC278" s="248" t="str">
        <f t="shared" si="92"/>
        <v/>
      </c>
      <c r="AD278" s="248" t="str">
        <f t="shared" si="92"/>
        <v/>
      </c>
      <c r="AE278" s="248" t="str">
        <f t="shared" si="92"/>
        <v/>
      </c>
      <c r="AF278" s="248" t="str">
        <f t="shared" si="92"/>
        <v/>
      </c>
      <c r="AG278" s="248" t="str">
        <f t="shared" si="92"/>
        <v/>
      </c>
      <c r="AH278" s="248" t="str">
        <f t="shared" si="92"/>
        <v/>
      </c>
      <c r="AI278" s="635" t="str">
        <f t="shared" si="92"/>
        <v/>
      </c>
      <c r="AJ278" s="1"/>
      <c r="AK278" s="94"/>
      <c r="AL278" s="98"/>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684"/>
      <c r="CB278" s="684"/>
      <c r="CC278" s="684"/>
      <c r="CD278" s="684"/>
      <c r="CE278" s="684"/>
      <c r="CF278" s="684"/>
      <c r="CG278" s="684"/>
      <c r="CH278" s="684"/>
      <c r="CI278" s="684"/>
      <c r="CJ278" s="684"/>
      <c r="CK278" s="684"/>
      <c r="CL278" s="684"/>
      <c r="CM278" s="684"/>
      <c r="CN278" s="684"/>
      <c r="CO278" s="684"/>
      <c r="CP278" s="684"/>
      <c r="CQ278" s="684"/>
      <c r="CR278" s="684"/>
      <c r="CS278" s="684"/>
      <c r="CT278" s="684"/>
      <c r="CU278" s="684"/>
      <c r="CV278" s="684"/>
      <c r="CW278" s="684"/>
      <c r="CX278" s="684"/>
      <c r="CY278" s="684"/>
      <c r="CZ278" s="684"/>
      <c r="DA278" s="684"/>
      <c r="DB278" s="684"/>
      <c r="DC278" s="684"/>
    </row>
    <row r="279" spans="1:107" s="5" customFormat="1" ht="12.75" customHeight="1">
      <c r="A279" s="1"/>
      <c r="B279" s="9" t="str">
        <f t="shared" ref="B279:AI286" si="93">IF(B64="","",B64)</f>
        <v/>
      </c>
      <c r="C279" s="9" t="str">
        <f t="shared" si="93"/>
        <v/>
      </c>
      <c r="D279" s="9" t="str">
        <f t="shared" si="93"/>
        <v/>
      </c>
      <c r="E279" s="9" t="str">
        <f t="shared" si="93"/>
        <v/>
      </c>
      <c r="F279" s="9" t="str">
        <f t="shared" si="93"/>
        <v/>
      </c>
      <c r="G279" s="9" t="str">
        <f t="shared" si="93"/>
        <v/>
      </c>
      <c r="H279" s="9" t="str">
        <f t="shared" si="93"/>
        <v/>
      </c>
      <c r="I279" s="9" t="str">
        <f t="shared" si="93"/>
        <v/>
      </c>
      <c r="J279" s="9" t="str">
        <f t="shared" si="93"/>
        <v/>
      </c>
      <c r="K279" s="9" t="str">
        <f t="shared" si="93"/>
        <v/>
      </c>
      <c r="L279" s="9" t="str">
        <f t="shared" si="93"/>
        <v/>
      </c>
      <c r="M279" s="9" t="str">
        <f t="shared" si="93"/>
        <v/>
      </c>
      <c r="N279" s="9" t="str">
        <f t="shared" si="93"/>
        <v/>
      </c>
      <c r="O279" s="9" t="str">
        <f t="shared" si="93"/>
        <v/>
      </c>
      <c r="P279" s="9" t="str">
        <f t="shared" si="93"/>
        <v/>
      </c>
      <c r="Q279" s="9" t="str">
        <f t="shared" si="93"/>
        <v/>
      </c>
      <c r="R279" s="9" t="str">
        <f t="shared" si="93"/>
        <v/>
      </c>
      <c r="S279" s="9" t="str">
        <f t="shared" si="93"/>
        <v/>
      </c>
      <c r="T279" s="9" t="str">
        <f t="shared" si="93"/>
        <v/>
      </c>
      <c r="U279" s="9" t="str">
        <f t="shared" si="93"/>
        <v/>
      </c>
      <c r="V279" s="9" t="str">
        <f t="shared" si="93"/>
        <v/>
      </c>
      <c r="W279" s="9" t="str">
        <f t="shared" si="93"/>
        <v/>
      </c>
      <c r="X279" s="9" t="str">
        <f t="shared" si="93"/>
        <v/>
      </c>
      <c r="Y279" s="9" t="str">
        <f t="shared" si="93"/>
        <v/>
      </c>
      <c r="Z279" s="9" t="str">
        <f t="shared" si="93"/>
        <v/>
      </c>
      <c r="AA279" s="9" t="str">
        <f t="shared" si="93"/>
        <v/>
      </c>
      <c r="AB279" s="9" t="str">
        <f t="shared" si="93"/>
        <v/>
      </c>
      <c r="AC279" s="9" t="str">
        <f t="shared" si="93"/>
        <v/>
      </c>
      <c r="AD279" s="9" t="str">
        <f t="shared" si="93"/>
        <v/>
      </c>
      <c r="AE279" s="9" t="str">
        <f t="shared" si="93"/>
        <v/>
      </c>
      <c r="AF279" s="9" t="str">
        <f t="shared" si="93"/>
        <v/>
      </c>
      <c r="AG279" s="9" t="str">
        <f t="shared" si="93"/>
        <v/>
      </c>
      <c r="AH279" s="9" t="str">
        <f t="shared" si="93"/>
        <v/>
      </c>
      <c r="AI279" s="9" t="str">
        <f t="shared" si="93"/>
        <v/>
      </c>
      <c r="AJ279" s="1"/>
      <c r="AK279" s="94"/>
      <c r="AL279" s="98"/>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684"/>
      <c r="CB279" s="684"/>
      <c r="CC279" s="684"/>
      <c r="CD279" s="684"/>
      <c r="CE279" s="684"/>
      <c r="CF279" s="684"/>
      <c r="CG279" s="684"/>
      <c r="CH279" s="684"/>
      <c r="CI279" s="684"/>
      <c r="CJ279" s="684"/>
      <c r="CK279" s="684"/>
      <c r="CL279" s="684"/>
      <c r="CM279" s="684"/>
      <c r="CN279" s="684"/>
      <c r="CO279" s="684"/>
      <c r="CP279" s="684"/>
      <c r="CQ279" s="684"/>
      <c r="CR279" s="684"/>
      <c r="CS279" s="684"/>
      <c r="CT279" s="684"/>
      <c r="CU279" s="684"/>
      <c r="CV279" s="684"/>
      <c r="CW279" s="684"/>
      <c r="CX279" s="684"/>
      <c r="CY279" s="684"/>
      <c r="CZ279" s="684"/>
      <c r="DA279" s="684"/>
      <c r="DB279" s="684"/>
      <c r="DC279" s="684"/>
    </row>
    <row r="280" spans="1:107" s="630" customFormat="1" ht="12.75" hidden="1" customHeight="1">
      <c r="A280" s="504"/>
      <c r="B280" s="628" t="str">
        <f t="shared" ref="B280" si="94">IF(B65="","",B65)</f>
        <v>Controls</v>
      </c>
      <c r="C280" s="628" t="str">
        <f t="shared" si="93"/>
        <v/>
      </c>
      <c r="D280" s="628" t="str">
        <f t="shared" si="93"/>
        <v/>
      </c>
      <c r="E280" s="628" t="str">
        <f t="shared" si="93"/>
        <v/>
      </c>
      <c r="F280" s="628" t="str">
        <f t="shared" si="93"/>
        <v/>
      </c>
      <c r="G280" s="628" t="str">
        <f t="shared" si="93"/>
        <v/>
      </c>
      <c r="H280" s="628" t="str">
        <f t="shared" si="93"/>
        <v/>
      </c>
      <c r="I280" s="628" t="str">
        <f t="shared" si="93"/>
        <v/>
      </c>
      <c r="J280" s="628" t="str">
        <f t="shared" si="93"/>
        <v/>
      </c>
      <c r="K280" s="628" t="str">
        <f t="shared" si="93"/>
        <v/>
      </c>
      <c r="L280" s="628" t="str">
        <f t="shared" si="93"/>
        <v/>
      </c>
      <c r="M280" s="628" t="str">
        <f t="shared" si="93"/>
        <v/>
      </c>
      <c r="N280" s="628" t="str">
        <f t="shared" si="93"/>
        <v/>
      </c>
      <c r="O280" s="628" t="str">
        <f t="shared" si="93"/>
        <v/>
      </c>
      <c r="P280" s="628" t="str">
        <f t="shared" si="93"/>
        <v/>
      </c>
      <c r="Q280" s="628" t="str">
        <f t="shared" si="93"/>
        <v/>
      </c>
      <c r="R280" s="628" t="str">
        <f t="shared" si="93"/>
        <v/>
      </c>
      <c r="S280" s="628" t="str">
        <f t="shared" si="93"/>
        <v/>
      </c>
      <c r="T280" s="628" t="str">
        <f t="shared" si="93"/>
        <v/>
      </c>
      <c r="U280" s="628" t="str">
        <f t="shared" si="93"/>
        <v/>
      </c>
      <c r="V280" s="628" t="str">
        <f t="shared" si="93"/>
        <v/>
      </c>
      <c r="W280" s="628" t="str">
        <f t="shared" si="93"/>
        <v/>
      </c>
      <c r="X280" s="628" t="str">
        <f t="shared" si="93"/>
        <v/>
      </c>
      <c r="Y280" s="628" t="str">
        <f t="shared" si="93"/>
        <v/>
      </c>
      <c r="Z280" s="628" t="str">
        <f t="shared" si="93"/>
        <v/>
      </c>
      <c r="AA280" s="628" t="str">
        <f t="shared" si="93"/>
        <v/>
      </c>
      <c r="AB280" s="628" t="str">
        <f t="shared" si="93"/>
        <v/>
      </c>
      <c r="AC280" s="628" t="str">
        <f t="shared" si="93"/>
        <v/>
      </c>
      <c r="AD280" s="628" t="str">
        <f t="shared" si="93"/>
        <v/>
      </c>
      <c r="AE280" s="628" t="str">
        <f t="shared" si="93"/>
        <v/>
      </c>
      <c r="AF280" s="628" t="str">
        <f t="shared" si="93"/>
        <v/>
      </c>
      <c r="AG280" s="628" t="str">
        <f t="shared" si="93"/>
        <v/>
      </c>
      <c r="AH280" s="628" t="str">
        <f t="shared" si="93"/>
        <v/>
      </c>
      <c r="AI280" s="628" t="str">
        <f t="shared" si="93"/>
        <v/>
      </c>
      <c r="AJ280" s="504"/>
      <c r="AK280" s="627"/>
      <c r="AL280" s="629"/>
      <c r="AM280" s="627"/>
      <c r="AN280" s="627"/>
      <c r="AO280" s="627"/>
      <c r="AP280" s="627"/>
      <c r="AQ280" s="627"/>
      <c r="AR280" s="627"/>
      <c r="AS280" s="627"/>
      <c r="AT280" s="627"/>
      <c r="AU280" s="627"/>
      <c r="AV280" s="627"/>
      <c r="AW280" s="627"/>
      <c r="AX280" s="627"/>
      <c r="AY280" s="627"/>
      <c r="AZ280" s="627"/>
      <c r="BA280" s="627"/>
      <c r="BB280" s="627"/>
      <c r="BC280" s="627"/>
      <c r="BD280" s="627"/>
      <c r="BE280" s="627"/>
      <c r="BF280" s="627"/>
      <c r="BG280" s="627"/>
      <c r="BH280" s="627"/>
      <c r="BI280" s="627"/>
      <c r="BJ280" s="627"/>
      <c r="BK280" s="627"/>
      <c r="BL280" s="627"/>
      <c r="BM280" s="627"/>
      <c r="BN280" s="627"/>
      <c r="BO280" s="627"/>
      <c r="BP280" s="627"/>
      <c r="BQ280" s="627"/>
      <c r="BR280" s="627"/>
      <c r="BS280" s="627"/>
      <c r="BT280" s="627"/>
      <c r="BU280" s="627"/>
      <c r="BV280" s="627"/>
      <c r="BW280" s="627"/>
      <c r="BX280" s="627"/>
      <c r="BY280" s="627"/>
      <c r="BZ280" s="627"/>
      <c r="CA280" s="690"/>
      <c r="CB280" s="690"/>
      <c r="CC280" s="690"/>
      <c r="CD280" s="690"/>
      <c r="CE280" s="690"/>
      <c r="CF280" s="690"/>
      <c r="CG280" s="690"/>
      <c r="CH280" s="690"/>
      <c r="CI280" s="690"/>
      <c r="CJ280" s="690"/>
      <c r="CK280" s="690"/>
      <c r="CL280" s="690"/>
      <c r="CM280" s="690"/>
      <c r="CN280" s="690"/>
      <c r="CO280" s="690"/>
      <c r="CP280" s="690"/>
      <c r="CQ280" s="690"/>
      <c r="CR280" s="690"/>
      <c r="CS280" s="690"/>
      <c r="CT280" s="690"/>
      <c r="CU280" s="690"/>
      <c r="CV280" s="690"/>
      <c r="CW280" s="690"/>
      <c r="CX280" s="690"/>
      <c r="CY280" s="690"/>
      <c r="CZ280" s="690"/>
      <c r="DA280" s="690"/>
      <c r="DB280" s="690"/>
      <c r="DC280" s="690"/>
    </row>
    <row r="281" spans="1:107" s="630" customFormat="1" ht="12.75" hidden="1" customHeight="1">
      <c r="A281" s="504"/>
      <c r="B281" s="628" t="str">
        <f t="shared" ref="B281" si="95">IF(B66="","",B66)</f>
        <v/>
      </c>
      <c r="C281" s="628" t="str">
        <f t="shared" si="93"/>
        <v/>
      </c>
      <c r="D281" s="628" t="str">
        <f t="shared" si="93"/>
        <v/>
      </c>
      <c r="E281" s="628" t="str">
        <f t="shared" si="93"/>
        <v/>
      </c>
      <c r="F281" s="628" t="str">
        <f t="shared" si="93"/>
        <v/>
      </c>
      <c r="G281" s="628" t="str">
        <f t="shared" si="93"/>
        <v/>
      </c>
      <c r="H281" s="628" t="str">
        <f t="shared" si="93"/>
        <v/>
      </c>
      <c r="I281" s="628" t="str">
        <f t="shared" si="93"/>
        <v/>
      </c>
      <c r="J281" s="628" t="str">
        <f t="shared" si="93"/>
        <v/>
      </c>
      <c r="K281" s="628" t="str">
        <f t="shared" si="93"/>
        <v/>
      </c>
      <c r="L281" s="628" t="str">
        <f t="shared" si="93"/>
        <v/>
      </c>
      <c r="M281" s="628" t="str">
        <f t="shared" si="93"/>
        <v/>
      </c>
      <c r="N281" s="628" t="str">
        <f t="shared" si="93"/>
        <v/>
      </c>
      <c r="O281" s="628" t="str">
        <f t="shared" si="93"/>
        <v/>
      </c>
      <c r="P281" s="628" t="str">
        <f t="shared" si="93"/>
        <v/>
      </c>
      <c r="Q281" s="628" t="str">
        <f t="shared" si="93"/>
        <v/>
      </c>
      <c r="R281" s="628" t="str">
        <f t="shared" si="93"/>
        <v/>
      </c>
      <c r="S281" s="628" t="str">
        <f t="shared" si="93"/>
        <v/>
      </c>
      <c r="T281" s="628" t="str">
        <f t="shared" si="93"/>
        <v/>
      </c>
      <c r="U281" s="628" t="str">
        <f t="shared" si="93"/>
        <v/>
      </c>
      <c r="V281" s="628" t="str">
        <f t="shared" si="93"/>
        <v/>
      </c>
      <c r="W281" s="628" t="str">
        <f t="shared" si="93"/>
        <v/>
      </c>
      <c r="X281" s="628" t="str">
        <f t="shared" si="93"/>
        <v/>
      </c>
      <c r="Y281" s="628" t="str">
        <f t="shared" si="93"/>
        <v/>
      </c>
      <c r="Z281" s="628" t="str">
        <f t="shared" si="93"/>
        <v>x $60*, $80, $100, or $120 per ton=</v>
      </c>
      <c r="AA281" s="628" t="str">
        <f t="shared" si="93"/>
        <v/>
      </c>
      <c r="AB281" s="628" t="str">
        <f t="shared" si="93"/>
        <v/>
      </c>
      <c r="AC281" s="628" t="str">
        <f t="shared" si="93"/>
        <v/>
      </c>
      <c r="AD281" s="628" t="str">
        <f t="shared" si="93"/>
        <v/>
      </c>
      <c r="AE281" s="628" t="str">
        <f t="shared" si="93"/>
        <v/>
      </c>
      <c r="AF281" s="628" t="str">
        <f t="shared" si="93"/>
        <v>Incentive</v>
      </c>
      <c r="AG281" s="628" t="str">
        <f t="shared" si="93"/>
        <v/>
      </c>
      <c r="AH281" s="628" t="str">
        <f t="shared" si="93"/>
        <v/>
      </c>
      <c r="AI281" s="628" t="str">
        <f t="shared" si="93"/>
        <v/>
      </c>
      <c r="AJ281" s="504"/>
      <c r="AK281" s="627"/>
      <c r="AL281" s="629"/>
      <c r="AM281" s="627"/>
      <c r="AN281" s="627"/>
      <c r="AO281" s="627"/>
      <c r="AP281" s="627"/>
      <c r="AQ281" s="627"/>
      <c r="AR281" s="627"/>
      <c r="AS281" s="627"/>
      <c r="AT281" s="627"/>
      <c r="AU281" s="627"/>
      <c r="AV281" s="627"/>
      <c r="AW281" s="627"/>
      <c r="AX281" s="627"/>
      <c r="AY281" s="627"/>
      <c r="AZ281" s="627"/>
      <c r="BA281" s="627"/>
      <c r="BB281" s="627"/>
      <c r="BC281" s="627"/>
      <c r="BD281" s="627"/>
      <c r="BE281" s="627"/>
      <c r="BF281" s="627"/>
      <c r="BG281" s="627"/>
      <c r="BH281" s="627"/>
      <c r="BI281" s="627"/>
      <c r="BJ281" s="627"/>
      <c r="BK281" s="627"/>
      <c r="BL281" s="627"/>
      <c r="BM281" s="627"/>
      <c r="BN281" s="627"/>
      <c r="BO281" s="627"/>
      <c r="BP281" s="627"/>
      <c r="BQ281" s="627"/>
      <c r="BR281" s="627"/>
      <c r="BS281" s="627"/>
      <c r="BT281" s="627"/>
      <c r="BU281" s="627"/>
      <c r="BV281" s="627"/>
      <c r="BW281" s="627"/>
      <c r="BX281" s="627"/>
      <c r="BY281" s="627"/>
      <c r="BZ281" s="627"/>
      <c r="CA281" s="690"/>
      <c r="CB281" s="690"/>
      <c r="CC281" s="690"/>
      <c r="CD281" s="690"/>
      <c r="CE281" s="690"/>
      <c r="CF281" s="690"/>
      <c r="CG281" s="690"/>
      <c r="CH281" s="690"/>
      <c r="CI281" s="690"/>
      <c r="CJ281" s="690"/>
      <c r="CK281" s="690"/>
      <c r="CL281" s="690"/>
      <c r="CM281" s="690"/>
      <c r="CN281" s="690"/>
      <c r="CO281" s="690"/>
      <c r="CP281" s="690"/>
      <c r="CQ281" s="690"/>
      <c r="CR281" s="690"/>
      <c r="CS281" s="690"/>
      <c r="CT281" s="690"/>
      <c r="CU281" s="690"/>
      <c r="CV281" s="690"/>
      <c r="CW281" s="690"/>
      <c r="CX281" s="690"/>
      <c r="CY281" s="690"/>
      <c r="CZ281" s="690"/>
      <c r="DA281" s="690"/>
      <c r="DB281" s="690"/>
      <c r="DC281" s="690"/>
    </row>
    <row r="282" spans="1:107" s="630" customFormat="1" ht="12.75" hidden="1" customHeight="1">
      <c r="A282" s="504"/>
      <c r="B282" s="628" t="str">
        <f t="shared" ref="B282" si="96">IF(B67="","",B67)</f>
        <v/>
      </c>
      <c r="C282" s="628" t="str">
        <f t="shared" si="93"/>
        <v xml:space="preserve"> C1 - Energy Management Control Systems*</v>
      </c>
      <c r="D282" s="628" t="str">
        <f t="shared" si="93"/>
        <v/>
      </c>
      <c r="E282" s="628" t="str">
        <f t="shared" si="93"/>
        <v/>
      </c>
      <c r="F282" s="628" t="str">
        <f t="shared" si="93"/>
        <v/>
      </c>
      <c r="G282" s="628" t="str">
        <f t="shared" si="93"/>
        <v/>
      </c>
      <c r="H282" s="628" t="str">
        <f t="shared" si="93"/>
        <v/>
      </c>
      <c r="I282" s="628" t="str">
        <f t="shared" si="93"/>
        <v/>
      </c>
      <c r="J282" s="628" t="str">
        <f t="shared" si="93"/>
        <v/>
      </c>
      <c r="K282" s="628" t="str">
        <f t="shared" si="93"/>
        <v/>
      </c>
      <c r="L282" s="628" t="str">
        <f t="shared" si="93"/>
        <v/>
      </c>
      <c r="M282" s="628" t="str">
        <f t="shared" si="93"/>
        <v/>
      </c>
      <c r="N282" s="628" t="str">
        <f t="shared" si="93"/>
        <v/>
      </c>
      <c r="O282" s="628" t="str">
        <f t="shared" si="93"/>
        <v/>
      </c>
      <c r="P282" s="628" t="str">
        <f t="shared" si="93"/>
        <v/>
      </c>
      <c r="Q282" s="628" t="str">
        <f t="shared" si="93"/>
        <v/>
      </c>
      <c r="R282" s="628" t="str">
        <f t="shared" si="93"/>
        <v>Complete Controls Worksheet</v>
      </c>
      <c r="S282" s="628" t="str">
        <f t="shared" si="93"/>
        <v/>
      </c>
      <c r="T282" s="628" t="str">
        <f t="shared" si="93"/>
        <v/>
      </c>
      <c r="U282" s="628" t="str">
        <f t="shared" si="93"/>
        <v/>
      </c>
      <c r="V282" s="628" t="str">
        <f t="shared" si="93"/>
        <v/>
      </c>
      <c r="W282" s="628" t="str">
        <f t="shared" si="93"/>
        <v/>
      </c>
      <c r="X282" s="628" t="str">
        <f t="shared" si="93"/>
        <v/>
      </c>
      <c r="Y282" s="628" t="str">
        <f t="shared" si="93"/>
        <v/>
      </c>
      <c r="Z282" s="628" t="str">
        <f t="shared" si="93"/>
        <v/>
      </c>
      <c r="AA282" s="628" t="str">
        <f t="shared" si="93"/>
        <v/>
      </c>
      <c r="AB282" s="628" t="str">
        <f t="shared" si="93"/>
        <v/>
      </c>
      <c r="AC282" s="628" t="str">
        <f t="shared" si="93"/>
        <v/>
      </c>
      <c r="AD282" s="628" t="str">
        <f t="shared" si="93"/>
        <v/>
      </c>
      <c r="AE282" s="628" t="str">
        <f t="shared" si="93"/>
        <v>$</v>
      </c>
      <c r="AF282" s="628" t="str">
        <f t="shared" si="93"/>
        <v/>
      </c>
      <c r="AG282" s="628" t="str">
        <f t="shared" si="93"/>
        <v/>
      </c>
      <c r="AH282" s="628" t="str">
        <f t="shared" si="93"/>
        <v/>
      </c>
      <c r="AI282" s="628" t="str">
        <f t="shared" si="93"/>
        <v/>
      </c>
      <c r="AJ282" s="504"/>
      <c r="AK282" s="627"/>
      <c r="AL282" s="629"/>
      <c r="AM282" s="627"/>
      <c r="AN282" s="627"/>
      <c r="AO282" s="627"/>
      <c r="AP282" s="627"/>
      <c r="AQ282" s="627"/>
      <c r="AR282" s="627"/>
      <c r="AS282" s="627"/>
      <c r="AT282" s="627"/>
      <c r="AU282" s="627"/>
      <c r="AV282" s="627"/>
      <c r="AW282" s="627"/>
      <c r="AX282" s="627"/>
      <c r="AY282" s="627"/>
      <c r="AZ282" s="627"/>
      <c r="BA282" s="627"/>
      <c r="BB282" s="627"/>
      <c r="BC282" s="627"/>
      <c r="BD282" s="627"/>
      <c r="BE282" s="627"/>
      <c r="BF282" s="627"/>
      <c r="BG282" s="627"/>
      <c r="BH282" s="627"/>
      <c r="BI282" s="627"/>
      <c r="BJ282" s="627"/>
      <c r="BK282" s="627"/>
      <c r="BL282" s="627"/>
      <c r="BM282" s="627"/>
      <c r="BN282" s="627"/>
      <c r="BO282" s="627"/>
      <c r="BP282" s="627"/>
      <c r="BQ282" s="627"/>
      <c r="BR282" s="627"/>
      <c r="BS282" s="627"/>
      <c r="BT282" s="627"/>
      <c r="BU282" s="627"/>
      <c r="BV282" s="627"/>
      <c r="BW282" s="627"/>
      <c r="BX282" s="627"/>
      <c r="BY282" s="627"/>
      <c r="BZ282" s="627"/>
      <c r="CA282" s="690"/>
      <c r="CB282" s="690"/>
      <c r="CC282" s="690"/>
      <c r="CD282" s="690"/>
      <c r="CE282" s="690"/>
      <c r="CF282" s="690"/>
      <c r="CG282" s="690"/>
      <c r="CH282" s="690"/>
      <c r="CI282" s="690"/>
      <c r="CJ282" s="690"/>
      <c r="CK282" s="690"/>
      <c r="CL282" s="690"/>
      <c r="CM282" s="690"/>
      <c r="CN282" s="690"/>
      <c r="CO282" s="690"/>
      <c r="CP282" s="690"/>
      <c r="CQ282" s="690"/>
      <c r="CR282" s="690"/>
      <c r="CS282" s="690"/>
      <c r="CT282" s="690"/>
      <c r="CU282" s="690"/>
      <c r="CV282" s="690"/>
      <c r="CW282" s="690"/>
      <c r="CX282" s="690"/>
      <c r="CY282" s="690"/>
      <c r="CZ282" s="690"/>
      <c r="DA282" s="690"/>
      <c r="DB282" s="690"/>
      <c r="DC282" s="690"/>
    </row>
    <row r="283" spans="1:107" s="630" customFormat="1" ht="12.75" hidden="1" customHeight="1">
      <c r="A283" s="504"/>
      <c r="B283" s="628" t="str">
        <f t="shared" ref="B283" si="97">IF(B68="","",B68)</f>
        <v/>
      </c>
      <c r="C283" s="628" t="str">
        <f t="shared" si="93"/>
        <v xml:space="preserve"> C2 - Guest Room EMS  -Must use electric heat-</v>
      </c>
      <c r="D283" s="628" t="str">
        <f t="shared" si="93"/>
        <v/>
      </c>
      <c r="E283" s="628" t="str">
        <f t="shared" si="93"/>
        <v/>
      </c>
      <c r="F283" s="628" t="str">
        <f t="shared" si="93"/>
        <v/>
      </c>
      <c r="G283" s="628" t="str">
        <f t="shared" si="93"/>
        <v/>
      </c>
      <c r="H283" s="628" t="str">
        <f t="shared" si="93"/>
        <v/>
      </c>
      <c r="I283" s="628" t="str">
        <f t="shared" si="93"/>
        <v/>
      </c>
      <c r="J283" s="628" t="str">
        <f t="shared" si="93"/>
        <v/>
      </c>
      <c r="K283" s="628" t="str">
        <f t="shared" si="93"/>
        <v/>
      </c>
      <c r="L283" s="628" t="str">
        <f t="shared" si="93"/>
        <v/>
      </c>
      <c r="M283" s="628" t="str">
        <f t="shared" si="93"/>
        <v/>
      </c>
      <c r="N283" s="628" t="str">
        <f t="shared" si="93"/>
        <v/>
      </c>
      <c r="O283" s="628" t="str">
        <f t="shared" si="93"/>
        <v/>
      </c>
      <c r="P283" s="628" t="str">
        <f t="shared" si="93"/>
        <v/>
      </c>
      <c r="Q283" s="628" t="str">
        <f t="shared" si="93"/>
        <v/>
      </c>
      <c r="R283" s="628" t="str">
        <f t="shared" si="93"/>
        <v/>
      </c>
      <c r="S283" s="628" t="str">
        <f t="shared" si="93"/>
        <v/>
      </c>
      <c r="T283" s="628" t="str">
        <f t="shared" si="93"/>
        <v/>
      </c>
      <c r="U283" s="628" t="str">
        <f t="shared" si="93"/>
        <v/>
      </c>
      <c r="V283" s="628" t="str">
        <f t="shared" si="93"/>
        <v xml:space="preserve">Total Eligible (cooling): </v>
      </c>
      <c r="W283" s="628" t="str">
        <f t="shared" si="93"/>
        <v/>
      </c>
      <c r="X283" s="628" t="str">
        <f t="shared" si="93"/>
        <v/>
      </c>
      <c r="Y283" s="628" t="str">
        <f t="shared" si="93"/>
        <v>unit(s)</v>
      </c>
      <c r="Z283" s="628" t="str">
        <f t="shared" si="93"/>
        <v/>
      </c>
      <c r="AA283" s="628" t="str">
        <f t="shared" si="93"/>
        <v/>
      </c>
      <c r="AB283" s="628" t="str">
        <f t="shared" si="93"/>
        <v/>
      </c>
      <c r="AC283" s="628" t="str">
        <f t="shared" si="93"/>
        <v/>
      </c>
      <c r="AD283" s="628" t="str">
        <f t="shared" si="93"/>
        <v>x $50 per unit=</v>
      </c>
      <c r="AE283" s="628" t="str">
        <f t="shared" si="93"/>
        <v>$</v>
      </c>
      <c r="AF283" s="628" t="str">
        <f t="shared" si="93"/>
        <v/>
      </c>
      <c r="AG283" s="628" t="str">
        <f t="shared" si="93"/>
        <v/>
      </c>
      <c r="AH283" s="628" t="str">
        <f t="shared" si="93"/>
        <v/>
      </c>
      <c r="AI283" s="628" t="str">
        <f t="shared" si="93"/>
        <v/>
      </c>
      <c r="AJ283" s="504"/>
      <c r="AK283" s="627"/>
      <c r="AL283" s="629"/>
      <c r="AM283" s="627"/>
      <c r="AN283" s="627"/>
      <c r="AO283" s="627"/>
      <c r="AP283" s="627"/>
      <c r="AQ283" s="627"/>
      <c r="AR283" s="627"/>
      <c r="AS283" s="627"/>
      <c r="AT283" s="627"/>
      <c r="AU283" s="627"/>
      <c r="AV283" s="627"/>
      <c r="AW283" s="627"/>
      <c r="AX283" s="627"/>
      <c r="AY283" s="627"/>
      <c r="AZ283" s="627"/>
      <c r="BA283" s="627"/>
      <c r="BB283" s="627"/>
      <c r="BC283" s="627"/>
      <c r="BD283" s="627"/>
      <c r="BE283" s="627"/>
      <c r="BF283" s="627"/>
      <c r="BG283" s="627"/>
      <c r="BH283" s="627"/>
      <c r="BI283" s="627"/>
      <c r="BJ283" s="627"/>
      <c r="BK283" s="627"/>
      <c r="BL283" s="627"/>
      <c r="BM283" s="627"/>
      <c r="BN283" s="627"/>
      <c r="BO283" s="627"/>
      <c r="BP283" s="627"/>
      <c r="BQ283" s="627"/>
      <c r="BR283" s="627"/>
      <c r="BS283" s="627"/>
      <c r="BT283" s="627"/>
      <c r="BU283" s="627"/>
      <c r="BV283" s="627"/>
      <c r="BW283" s="627"/>
      <c r="BX283" s="627"/>
      <c r="BY283" s="627"/>
      <c r="BZ283" s="627"/>
      <c r="CA283" s="690"/>
      <c r="CB283" s="690"/>
      <c r="CC283" s="690"/>
      <c r="CD283" s="690"/>
      <c r="CE283" s="690"/>
      <c r="CF283" s="690"/>
      <c r="CG283" s="690"/>
      <c r="CH283" s="690"/>
      <c r="CI283" s="690"/>
      <c r="CJ283" s="690"/>
      <c r="CK283" s="690"/>
      <c r="CL283" s="690"/>
      <c r="CM283" s="690"/>
      <c r="CN283" s="690"/>
      <c r="CO283" s="690"/>
      <c r="CP283" s="690"/>
      <c r="CQ283" s="690"/>
      <c r="CR283" s="690"/>
      <c r="CS283" s="690"/>
      <c r="CT283" s="690"/>
      <c r="CU283" s="690"/>
      <c r="CV283" s="690"/>
      <c r="CW283" s="690"/>
      <c r="CX283" s="690"/>
      <c r="CY283" s="690"/>
      <c r="CZ283" s="690"/>
      <c r="DA283" s="690"/>
      <c r="DB283" s="690"/>
      <c r="DC283" s="690"/>
    </row>
    <row r="284" spans="1:107" s="630" customFormat="1" ht="12.75" hidden="1" customHeight="1">
      <c r="A284" s="504"/>
      <c r="B284" s="628" t="str">
        <f t="shared" ref="B284" si="98">IF(B69="","",B69)</f>
        <v/>
      </c>
      <c r="C284" s="628" t="str">
        <f t="shared" si="93"/>
        <v xml:space="preserve"> C3 - HVAC Variable Speed Drives</v>
      </c>
      <c r="D284" s="628" t="str">
        <f t="shared" si="93"/>
        <v/>
      </c>
      <c r="E284" s="628" t="str">
        <f t="shared" si="93"/>
        <v/>
      </c>
      <c r="F284" s="628" t="str">
        <f t="shared" si="93"/>
        <v/>
      </c>
      <c r="G284" s="628" t="str">
        <f t="shared" si="93"/>
        <v/>
      </c>
      <c r="H284" s="628" t="str">
        <f t="shared" si="93"/>
        <v/>
      </c>
      <c r="I284" s="628" t="str">
        <f t="shared" si="93"/>
        <v/>
      </c>
      <c r="J284" s="628" t="str">
        <f t="shared" si="93"/>
        <v/>
      </c>
      <c r="K284" s="628" t="str">
        <f t="shared" si="93"/>
        <v/>
      </c>
      <c r="L284" s="628" t="str">
        <f t="shared" si="93"/>
        <v/>
      </c>
      <c r="M284" s="628" t="str">
        <f t="shared" si="93"/>
        <v/>
      </c>
      <c r="N284" s="628" t="str">
        <f t="shared" si="93"/>
        <v/>
      </c>
      <c r="O284" s="628" t="str">
        <f t="shared" si="93"/>
        <v/>
      </c>
      <c r="P284" s="628" t="str">
        <f t="shared" si="93"/>
        <v/>
      </c>
      <c r="Q284" s="628" t="str">
        <f t="shared" si="93"/>
        <v/>
      </c>
      <c r="R284" s="628" t="str">
        <f t="shared" si="93"/>
        <v>Complete Controls Worksheet</v>
      </c>
      <c r="S284" s="628" t="str">
        <f t="shared" si="93"/>
        <v/>
      </c>
      <c r="T284" s="628" t="str">
        <f t="shared" si="93"/>
        <v/>
      </c>
      <c r="U284" s="628" t="str">
        <f t="shared" si="93"/>
        <v/>
      </c>
      <c r="V284" s="628" t="str">
        <f t="shared" si="93"/>
        <v/>
      </c>
      <c r="W284" s="628" t="str">
        <f t="shared" si="93"/>
        <v/>
      </c>
      <c r="X284" s="628" t="str">
        <f t="shared" si="93"/>
        <v/>
      </c>
      <c r="Y284" s="628" t="str">
        <f t="shared" si="93"/>
        <v/>
      </c>
      <c r="Z284" s="628" t="str">
        <f t="shared" si="93"/>
        <v/>
      </c>
      <c r="AA284" s="628" t="str">
        <f t="shared" si="93"/>
        <v/>
      </c>
      <c r="AB284" s="628" t="str">
        <f t="shared" si="93"/>
        <v/>
      </c>
      <c r="AC284" s="628" t="str">
        <f t="shared" si="93"/>
        <v/>
      </c>
      <c r="AD284" s="628" t="str">
        <f t="shared" si="93"/>
        <v>x $125 per hp=</v>
      </c>
      <c r="AE284" s="628" t="str">
        <f t="shared" si="93"/>
        <v>$</v>
      </c>
      <c r="AF284" s="628" t="str">
        <f t="shared" si="93"/>
        <v/>
      </c>
      <c r="AG284" s="628" t="str">
        <f t="shared" si="93"/>
        <v/>
      </c>
      <c r="AH284" s="628" t="str">
        <f t="shared" si="93"/>
        <v/>
      </c>
      <c r="AI284" s="628" t="str">
        <f t="shared" si="93"/>
        <v/>
      </c>
      <c r="AJ284" s="504"/>
      <c r="AK284" s="627"/>
      <c r="AL284" s="629"/>
      <c r="AM284" s="627"/>
      <c r="AN284" s="627"/>
      <c r="AO284" s="627"/>
      <c r="AP284" s="627"/>
      <c r="AQ284" s="627"/>
      <c r="AR284" s="627"/>
      <c r="AS284" s="627"/>
      <c r="AT284" s="627"/>
      <c r="AU284" s="627"/>
      <c r="AV284" s="627"/>
      <c r="AW284" s="627"/>
      <c r="AX284" s="627"/>
      <c r="AY284" s="627"/>
      <c r="AZ284" s="627"/>
      <c r="BA284" s="627"/>
      <c r="BB284" s="627"/>
      <c r="BC284" s="627"/>
      <c r="BD284" s="627"/>
      <c r="BE284" s="627"/>
      <c r="BF284" s="627"/>
      <c r="BG284" s="627"/>
      <c r="BH284" s="627"/>
      <c r="BI284" s="627"/>
      <c r="BJ284" s="627"/>
      <c r="BK284" s="627"/>
      <c r="BL284" s="627"/>
      <c r="BM284" s="627"/>
      <c r="BN284" s="627"/>
      <c r="BO284" s="627"/>
      <c r="BP284" s="627"/>
      <c r="BQ284" s="627"/>
      <c r="BR284" s="627"/>
      <c r="BS284" s="627"/>
      <c r="BT284" s="627"/>
      <c r="BU284" s="627"/>
      <c r="BV284" s="627"/>
      <c r="BW284" s="627"/>
      <c r="BX284" s="627"/>
      <c r="BY284" s="627"/>
      <c r="BZ284" s="627"/>
      <c r="CA284" s="690"/>
      <c r="CB284" s="690"/>
      <c r="CC284" s="690"/>
      <c r="CD284" s="690"/>
      <c r="CE284" s="690"/>
      <c r="CF284" s="690"/>
      <c r="CG284" s="690"/>
      <c r="CH284" s="690"/>
      <c r="CI284" s="690"/>
      <c r="CJ284" s="690"/>
      <c r="CK284" s="690"/>
      <c r="CL284" s="690"/>
      <c r="CM284" s="690"/>
      <c r="CN284" s="690"/>
      <c r="CO284" s="690"/>
      <c r="CP284" s="690"/>
      <c r="CQ284" s="690"/>
      <c r="CR284" s="690"/>
      <c r="CS284" s="690"/>
      <c r="CT284" s="690"/>
      <c r="CU284" s="690"/>
      <c r="CV284" s="690"/>
      <c r="CW284" s="690"/>
      <c r="CX284" s="690"/>
      <c r="CY284" s="690"/>
      <c r="CZ284" s="690"/>
      <c r="DA284" s="690"/>
      <c r="DB284" s="690"/>
      <c r="DC284" s="690"/>
    </row>
    <row r="285" spans="1:107" s="630" customFormat="1" ht="12.75" hidden="1" customHeight="1">
      <c r="A285" s="504"/>
      <c r="B285" s="628" t="str">
        <f t="shared" ref="B285" si="99">IF(B70="","",B70)</f>
        <v/>
      </c>
      <c r="C285" s="628" t="str">
        <f t="shared" si="93"/>
        <v xml:space="preserve"> C4 - Kitchen Hood Supply &amp; Exhaust Variable Speed Drive</v>
      </c>
      <c r="D285" s="628" t="str">
        <f t="shared" si="93"/>
        <v/>
      </c>
      <c r="E285" s="628" t="str">
        <f t="shared" si="93"/>
        <v/>
      </c>
      <c r="F285" s="628" t="str">
        <f t="shared" si="93"/>
        <v/>
      </c>
      <c r="G285" s="628" t="str">
        <f t="shared" si="93"/>
        <v/>
      </c>
      <c r="H285" s="628" t="str">
        <f t="shared" si="93"/>
        <v/>
      </c>
      <c r="I285" s="628" t="str">
        <f t="shared" si="93"/>
        <v/>
      </c>
      <c r="J285" s="628" t="str">
        <f t="shared" si="93"/>
        <v/>
      </c>
      <c r="K285" s="628" t="str">
        <f t="shared" si="93"/>
        <v/>
      </c>
      <c r="L285" s="628" t="str">
        <f t="shared" si="93"/>
        <v/>
      </c>
      <c r="M285" s="628" t="str">
        <f t="shared" si="93"/>
        <v/>
      </c>
      <c r="N285" s="628" t="str">
        <f t="shared" si="93"/>
        <v/>
      </c>
      <c r="O285" s="628" t="str">
        <f t="shared" si="93"/>
        <v/>
      </c>
      <c r="P285" s="628" t="str">
        <f t="shared" si="93"/>
        <v/>
      </c>
      <c r="Q285" s="628" t="str">
        <f t="shared" si="93"/>
        <v/>
      </c>
      <c r="R285" s="628" t="str">
        <f t="shared" si="93"/>
        <v/>
      </c>
      <c r="S285" s="628" t="str">
        <f t="shared" si="93"/>
        <v/>
      </c>
      <c r="T285" s="628" t="str">
        <f t="shared" si="93"/>
        <v/>
      </c>
      <c r="U285" s="628" t="str">
        <f t="shared" si="93"/>
        <v/>
      </c>
      <c r="V285" s="628" t="str">
        <f t="shared" si="93"/>
        <v xml:space="preserve">Total Eligible: </v>
      </c>
      <c r="W285" s="628" t="str">
        <f t="shared" si="93"/>
        <v/>
      </c>
      <c r="X285" s="628" t="str">
        <f t="shared" si="93"/>
        <v/>
      </c>
      <c r="Y285" s="628" t="str">
        <f t="shared" si="93"/>
        <v>hp</v>
      </c>
      <c r="Z285" s="628" t="str">
        <f t="shared" si="93"/>
        <v/>
      </c>
      <c r="AA285" s="628" t="str">
        <f t="shared" si="93"/>
        <v/>
      </c>
      <c r="AB285" s="628" t="str">
        <f t="shared" si="93"/>
        <v/>
      </c>
      <c r="AC285" s="628" t="str">
        <f t="shared" si="93"/>
        <v/>
      </c>
      <c r="AD285" s="628" t="str">
        <f t="shared" si="93"/>
        <v>x $250 per hp=</v>
      </c>
      <c r="AE285" s="628" t="str">
        <f t="shared" si="93"/>
        <v>$</v>
      </c>
      <c r="AF285" s="628" t="str">
        <f t="shared" si="93"/>
        <v/>
      </c>
      <c r="AG285" s="628" t="str">
        <f t="shared" si="93"/>
        <v/>
      </c>
      <c r="AH285" s="628" t="str">
        <f t="shared" si="93"/>
        <v/>
      </c>
      <c r="AI285" s="628" t="str">
        <f t="shared" si="93"/>
        <v/>
      </c>
      <c r="AJ285" s="504"/>
      <c r="AK285" s="627"/>
      <c r="AL285" s="629"/>
      <c r="AM285" s="627"/>
      <c r="AN285" s="627"/>
      <c r="AO285" s="627"/>
      <c r="AP285" s="627"/>
      <c r="AQ285" s="627"/>
      <c r="AR285" s="627"/>
      <c r="AS285" s="627"/>
      <c r="AT285" s="627"/>
      <c r="AU285" s="627"/>
      <c r="AV285" s="627"/>
      <c r="AW285" s="627"/>
      <c r="AX285" s="627"/>
      <c r="AY285" s="627"/>
      <c r="AZ285" s="627"/>
      <c r="BA285" s="627"/>
      <c r="BB285" s="627"/>
      <c r="BC285" s="627"/>
      <c r="BD285" s="627"/>
      <c r="BE285" s="627"/>
      <c r="BF285" s="627"/>
      <c r="BG285" s="627"/>
      <c r="BH285" s="627"/>
      <c r="BI285" s="627"/>
      <c r="BJ285" s="627"/>
      <c r="BK285" s="627"/>
      <c r="BL285" s="627"/>
      <c r="BM285" s="627"/>
      <c r="BN285" s="627"/>
      <c r="BO285" s="627"/>
      <c r="BP285" s="627"/>
      <c r="BQ285" s="627"/>
      <c r="BR285" s="627"/>
      <c r="BS285" s="627"/>
      <c r="BT285" s="627"/>
      <c r="BU285" s="627"/>
      <c r="BV285" s="627"/>
      <c r="BW285" s="627"/>
      <c r="BX285" s="627"/>
      <c r="BY285" s="627"/>
      <c r="BZ285" s="627"/>
      <c r="CA285" s="690"/>
      <c r="CB285" s="690"/>
      <c r="CC285" s="690"/>
      <c r="CD285" s="690"/>
      <c r="CE285" s="690"/>
      <c r="CF285" s="690"/>
      <c r="CG285" s="690"/>
      <c r="CH285" s="690"/>
      <c r="CI285" s="690"/>
      <c r="CJ285" s="690"/>
      <c r="CK285" s="690"/>
      <c r="CL285" s="690"/>
      <c r="CM285" s="690"/>
      <c r="CN285" s="690"/>
      <c r="CO285" s="690"/>
      <c r="CP285" s="690"/>
      <c r="CQ285" s="690"/>
      <c r="CR285" s="690"/>
      <c r="CS285" s="690"/>
      <c r="CT285" s="690"/>
      <c r="CU285" s="690"/>
      <c r="CV285" s="690"/>
      <c r="CW285" s="690"/>
      <c r="CX285" s="690"/>
      <c r="CY285" s="690"/>
      <c r="CZ285" s="690"/>
      <c r="DA285" s="690"/>
      <c r="DB285" s="690"/>
      <c r="DC285" s="690"/>
    </row>
    <row r="286" spans="1:107" s="630" customFormat="1" ht="12.75" hidden="1" customHeight="1">
      <c r="A286" s="504"/>
      <c r="B286" s="628" t="str">
        <f t="shared" ref="B286" si="100">IF(B71="","",B71)</f>
        <v/>
      </c>
      <c r="C286" s="628" t="str">
        <f t="shared" si="93"/>
        <v xml:space="preserve"> C5 - Onion/Potato Shed Ventilation Variable Speed Drive</v>
      </c>
      <c r="D286" s="628" t="str">
        <f t="shared" si="93"/>
        <v/>
      </c>
      <c r="E286" s="628" t="str">
        <f t="shared" si="93"/>
        <v/>
      </c>
      <c r="F286" s="628" t="str">
        <f t="shared" si="93"/>
        <v/>
      </c>
      <c r="G286" s="628" t="str">
        <f t="shared" si="93"/>
        <v/>
      </c>
      <c r="H286" s="628" t="str">
        <f t="shared" si="93"/>
        <v/>
      </c>
      <c r="I286" s="628" t="str">
        <f t="shared" si="93"/>
        <v/>
      </c>
      <c r="J286" s="628" t="str">
        <f t="shared" si="93"/>
        <v/>
      </c>
      <c r="K286" s="628" t="str">
        <f t="shared" si="93"/>
        <v/>
      </c>
      <c r="L286" s="628" t="str">
        <f t="shared" si="93"/>
        <v/>
      </c>
      <c r="M286" s="628" t="str">
        <f t="shared" si="93"/>
        <v/>
      </c>
      <c r="N286" s="628" t="str">
        <f t="shared" si="93"/>
        <v/>
      </c>
      <c r="O286" s="628" t="str">
        <f t="shared" si="93"/>
        <v/>
      </c>
      <c r="P286" s="628" t="str">
        <f t="shared" si="93"/>
        <v/>
      </c>
      <c r="Q286" s="628" t="str">
        <f t="shared" si="93"/>
        <v/>
      </c>
      <c r="R286" s="628" t="str">
        <f t="shared" si="93"/>
        <v/>
      </c>
      <c r="S286" s="628" t="str">
        <f t="shared" si="93"/>
        <v/>
      </c>
      <c r="T286" s="628" t="str">
        <f t="shared" si="93"/>
        <v/>
      </c>
      <c r="U286" s="628" t="str">
        <f t="shared" si="93"/>
        <v/>
      </c>
      <c r="V286" s="628" t="str">
        <f t="shared" si="93"/>
        <v xml:space="preserve">Total Eligible: </v>
      </c>
      <c r="W286" s="628" t="str">
        <f t="shared" si="93"/>
        <v/>
      </c>
      <c r="X286" s="628" t="str">
        <f t="shared" si="93"/>
        <v/>
      </c>
      <c r="Y286" s="628" t="str">
        <f t="shared" si="93"/>
        <v>hp</v>
      </c>
      <c r="Z286" s="628" t="str">
        <f t="shared" ref="Z286:AI286" si="101">IF(Z71="","",Z71)</f>
        <v/>
      </c>
      <c r="AA286" s="628" t="str">
        <f t="shared" si="101"/>
        <v/>
      </c>
      <c r="AB286" s="628" t="str">
        <f t="shared" si="101"/>
        <v/>
      </c>
      <c r="AC286" s="628" t="str">
        <f t="shared" si="101"/>
        <v/>
      </c>
      <c r="AD286" s="628" t="str">
        <f t="shared" si="101"/>
        <v>x $250 per hp=</v>
      </c>
      <c r="AE286" s="628" t="str">
        <f t="shared" si="101"/>
        <v>$</v>
      </c>
      <c r="AF286" s="628" t="str">
        <f t="shared" si="101"/>
        <v/>
      </c>
      <c r="AG286" s="628" t="str">
        <f t="shared" si="101"/>
        <v/>
      </c>
      <c r="AH286" s="628" t="str">
        <f t="shared" si="101"/>
        <v/>
      </c>
      <c r="AI286" s="628" t="str">
        <f t="shared" si="101"/>
        <v/>
      </c>
      <c r="AJ286" s="504"/>
      <c r="AK286" s="627"/>
      <c r="AL286" s="629"/>
      <c r="AM286" s="627"/>
      <c r="AN286" s="627"/>
      <c r="AO286" s="627"/>
      <c r="AP286" s="627"/>
      <c r="AQ286" s="627"/>
      <c r="AR286" s="627"/>
      <c r="AS286" s="627"/>
      <c r="AT286" s="627"/>
      <c r="AU286" s="627"/>
      <c r="AV286" s="627"/>
      <c r="AW286" s="627"/>
      <c r="AX286" s="627"/>
      <c r="AY286" s="627"/>
      <c r="AZ286" s="627"/>
      <c r="BA286" s="627"/>
      <c r="BB286" s="627"/>
      <c r="BC286" s="627"/>
      <c r="BD286" s="627"/>
      <c r="BE286" s="627"/>
      <c r="BF286" s="627"/>
      <c r="BG286" s="627"/>
      <c r="BH286" s="627"/>
      <c r="BI286" s="627"/>
      <c r="BJ286" s="627"/>
      <c r="BK286" s="627"/>
      <c r="BL286" s="627"/>
      <c r="BM286" s="627"/>
      <c r="BN286" s="627"/>
      <c r="BO286" s="627"/>
      <c r="BP286" s="627"/>
      <c r="BQ286" s="627"/>
      <c r="BR286" s="627"/>
      <c r="BS286" s="627"/>
      <c r="BT286" s="627"/>
      <c r="BU286" s="627"/>
      <c r="BV286" s="627"/>
      <c r="BW286" s="627"/>
      <c r="BX286" s="627"/>
      <c r="BY286" s="627"/>
      <c r="BZ286" s="627"/>
      <c r="CA286" s="690"/>
      <c r="CB286" s="690"/>
      <c r="CC286" s="690"/>
      <c r="CD286" s="690"/>
      <c r="CE286" s="690"/>
      <c r="CF286" s="690"/>
      <c r="CG286" s="690"/>
      <c r="CH286" s="690"/>
      <c r="CI286" s="690"/>
      <c r="CJ286" s="690"/>
      <c r="CK286" s="690"/>
      <c r="CL286" s="690"/>
      <c r="CM286" s="690"/>
      <c r="CN286" s="690"/>
      <c r="CO286" s="690"/>
      <c r="CP286" s="690"/>
      <c r="CQ286" s="690"/>
      <c r="CR286" s="690"/>
      <c r="CS286" s="690"/>
      <c r="CT286" s="690"/>
      <c r="CU286" s="690"/>
      <c r="CV286" s="690"/>
      <c r="CW286" s="690"/>
      <c r="CX286" s="690"/>
      <c r="CY286" s="690"/>
      <c r="CZ286" s="690"/>
      <c r="DA286" s="690"/>
      <c r="DB286" s="690"/>
      <c r="DC286" s="690"/>
    </row>
    <row r="287" spans="1:107" s="630" customFormat="1" ht="12.75" hidden="1" customHeight="1">
      <c r="A287" s="504"/>
      <c r="B287" s="628" t="str">
        <f t="shared" ref="B287:AI288" si="102">IF(B72="","",B72)</f>
        <v/>
      </c>
      <c r="C287" s="628" t="str">
        <f t="shared" si="102"/>
        <v xml:space="preserve"> C6 - Dairy Vacuum Pump Variable Speed Drive*</v>
      </c>
      <c r="D287" s="628" t="str">
        <f t="shared" si="102"/>
        <v/>
      </c>
      <c r="E287" s="628" t="str">
        <f t="shared" si="102"/>
        <v/>
      </c>
      <c r="F287" s="628" t="str">
        <f t="shared" si="102"/>
        <v/>
      </c>
      <c r="G287" s="628" t="str">
        <f t="shared" si="102"/>
        <v/>
      </c>
      <c r="H287" s="628" t="str">
        <f t="shared" si="102"/>
        <v/>
      </c>
      <c r="I287" s="628" t="str">
        <f t="shared" si="102"/>
        <v/>
      </c>
      <c r="J287" s="628" t="str">
        <f t="shared" si="102"/>
        <v/>
      </c>
      <c r="K287" s="628" t="str">
        <f t="shared" si="102"/>
        <v/>
      </c>
      <c r="L287" s="628" t="str">
        <f t="shared" si="102"/>
        <v/>
      </c>
      <c r="M287" s="628" t="str">
        <f t="shared" si="102"/>
        <v/>
      </c>
      <c r="N287" s="628" t="str">
        <f t="shared" si="102"/>
        <v/>
      </c>
      <c r="O287" s="628" t="str">
        <f t="shared" si="102"/>
        <v/>
      </c>
      <c r="P287" s="628" t="str">
        <f t="shared" si="102"/>
        <v/>
      </c>
      <c r="Q287" s="628" t="str">
        <f t="shared" si="102"/>
        <v/>
      </c>
      <c r="R287" s="628" t="str">
        <f t="shared" si="102"/>
        <v/>
      </c>
      <c r="S287" s="628" t="str">
        <f t="shared" si="102"/>
        <v/>
      </c>
      <c r="T287" s="628" t="str">
        <f t="shared" si="102"/>
        <v/>
      </c>
      <c r="U287" s="628" t="str">
        <f t="shared" si="102"/>
        <v/>
      </c>
      <c r="V287" s="628" t="str">
        <f t="shared" si="102"/>
        <v xml:space="preserve">Total Eligible: </v>
      </c>
      <c r="W287" s="628" t="str">
        <f t="shared" si="102"/>
        <v/>
      </c>
      <c r="X287" s="628" t="str">
        <f t="shared" si="102"/>
        <v/>
      </c>
      <c r="Y287" s="628" t="str">
        <f t="shared" si="102"/>
        <v>hp</v>
      </c>
      <c r="Z287" s="628" t="str">
        <f t="shared" si="102"/>
        <v/>
      </c>
      <c r="AA287" s="628" t="str">
        <f t="shared" si="102"/>
        <v/>
      </c>
      <c r="AB287" s="628" t="str">
        <f t="shared" si="102"/>
        <v/>
      </c>
      <c r="AC287" s="628" t="str">
        <f t="shared" si="102"/>
        <v/>
      </c>
      <c r="AD287" s="628" t="str">
        <f t="shared" si="102"/>
        <v>x $170 per hp=</v>
      </c>
      <c r="AE287" s="628" t="str">
        <f t="shared" si="102"/>
        <v>$</v>
      </c>
      <c r="AF287" s="628" t="str">
        <f t="shared" si="102"/>
        <v/>
      </c>
      <c r="AG287" s="628" t="str">
        <f t="shared" si="102"/>
        <v/>
      </c>
      <c r="AH287" s="628" t="str">
        <f t="shared" si="102"/>
        <v/>
      </c>
      <c r="AI287" s="628" t="str">
        <f t="shared" si="102"/>
        <v/>
      </c>
      <c r="AJ287" s="504"/>
      <c r="AK287" s="627"/>
      <c r="AL287" s="629"/>
      <c r="AM287" s="627"/>
      <c r="AN287" s="627"/>
      <c r="AO287" s="627"/>
      <c r="AP287" s="627"/>
      <c r="AQ287" s="627"/>
      <c r="AR287" s="627"/>
      <c r="AS287" s="627"/>
      <c r="AT287" s="627"/>
      <c r="AU287" s="627"/>
      <c r="AV287" s="627"/>
      <c r="AW287" s="627"/>
      <c r="AX287" s="627"/>
      <c r="AY287" s="627"/>
      <c r="AZ287" s="627"/>
      <c r="BA287" s="627"/>
      <c r="BB287" s="627"/>
      <c r="BC287" s="627"/>
      <c r="BD287" s="627"/>
      <c r="BE287" s="627"/>
      <c r="BF287" s="627"/>
      <c r="BG287" s="627"/>
      <c r="BH287" s="627"/>
      <c r="BI287" s="627"/>
      <c r="BJ287" s="627"/>
      <c r="BK287" s="627"/>
      <c r="BL287" s="627"/>
      <c r="BM287" s="627"/>
      <c r="BN287" s="627"/>
      <c r="BO287" s="627"/>
      <c r="BP287" s="627"/>
      <c r="BQ287" s="627"/>
      <c r="BR287" s="627"/>
      <c r="BS287" s="627"/>
      <c r="BT287" s="627"/>
      <c r="BU287" s="627"/>
      <c r="BV287" s="627"/>
      <c r="BW287" s="627"/>
      <c r="BX287" s="627"/>
      <c r="BY287" s="627"/>
      <c r="BZ287" s="627"/>
      <c r="CA287" s="690"/>
      <c r="CB287" s="690"/>
      <c r="CC287" s="690"/>
      <c r="CD287" s="690"/>
      <c r="CE287" s="690"/>
      <c r="CF287" s="690"/>
      <c r="CG287" s="690"/>
      <c r="CH287" s="690"/>
      <c r="CI287" s="690"/>
      <c r="CJ287" s="690"/>
      <c r="CK287" s="690"/>
      <c r="CL287" s="690"/>
      <c r="CM287" s="690"/>
      <c r="CN287" s="690"/>
      <c r="CO287" s="690"/>
      <c r="CP287" s="690"/>
      <c r="CQ287" s="690"/>
      <c r="CR287" s="690"/>
      <c r="CS287" s="690"/>
      <c r="CT287" s="690"/>
      <c r="CU287" s="690"/>
      <c r="CV287" s="690"/>
      <c r="CW287" s="690"/>
      <c r="CX287" s="690"/>
      <c r="CY287" s="690"/>
      <c r="CZ287" s="690"/>
      <c r="DA287" s="690"/>
      <c r="DB287" s="690"/>
      <c r="DC287" s="690"/>
    </row>
    <row r="288" spans="1:107" s="630" customFormat="1" ht="12.75" hidden="1" customHeight="1">
      <c r="A288" s="504"/>
      <c r="B288" s="628" t="str">
        <f t="shared" ref="B288" si="103">IF(B73="","",B73)</f>
        <v/>
      </c>
      <c r="C288" s="628" t="str">
        <f t="shared" si="102"/>
        <v xml:space="preserve"> C7 - Dairy/Milk Transfer Pump</v>
      </c>
      <c r="D288" s="628" t="str">
        <f t="shared" si="102"/>
        <v/>
      </c>
      <c r="E288" s="628" t="str">
        <f t="shared" si="102"/>
        <v/>
      </c>
      <c r="F288" s="628" t="str">
        <f t="shared" si="102"/>
        <v/>
      </c>
      <c r="G288" s="628" t="str">
        <f t="shared" si="102"/>
        <v/>
      </c>
      <c r="H288" s="628" t="str">
        <f t="shared" si="102"/>
        <v/>
      </c>
      <c r="I288" s="628" t="str">
        <f t="shared" si="102"/>
        <v/>
      </c>
      <c r="J288" s="628" t="str">
        <f t="shared" si="102"/>
        <v/>
      </c>
      <c r="K288" s="628" t="str">
        <f t="shared" si="102"/>
        <v/>
      </c>
      <c r="L288" s="628" t="str">
        <f t="shared" si="102"/>
        <v/>
      </c>
      <c r="M288" s="628" t="str">
        <f t="shared" si="102"/>
        <v/>
      </c>
      <c r="N288" s="628" t="str">
        <f t="shared" si="102"/>
        <v/>
      </c>
      <c r="O288" s="628" t="str">
        <f t="shared" si="102"/>
        <v/>
      </c>
      <c r="P288" s="628" t="str">
        <f t="shared" si="102"/>
        <v/>
      </c>
      <c r="Q288" s="628" t="str">
        <f t="shared" si="102"/>
        <v/>
      </c>
      <c r="R288" s="628" t="str">
        <f t="shared" si="102"/>
        <v/>
      </c>
      <c r="S288" s="628" t="str">
        <f t="shared" si="102"/>
        <v/>
      </c>
      <c r="T288" s="628" t="str">
        <f t="shared" si="102"/>
        <v/>
      </c>
      <c r="U288" s="628" t="str">
        <f t="shared" si="102"/>
        <v/>
      </c>
      <c r="V288" s="628" t="str">
        <f t="shared" si="102"/>
        <v xml:space="preserve">Qty: </v>
      </c>
      <c r="W288" s="628" t="str">
        <f t="shared" si="102"/>
        <v/>
      </c>
      <c r="X288" s="628" t="str">
        <f t="shared" si="102"/>
        <v/>
      </c>
      <c r="Y288" s="628" t="str">
        <f t="shared" si="102"/>
        <v>unit(s)</v>
      </c>
      <c r="Z288" s="628" t="str">
        <f t="shared" si="102"/>
        <v/>
      </c>
      <c r="AA288" s="628" t="str">
        <f t="shared" si="102"/>
        <v/>
      </c>
      <c r="AB288" s="628" t="str">
        <f t="shared" si="102"/>
        <v/>
      </c>
      <c r="AC288" s="628" t="str">
        <f t="shared" si="102"/>
        <v/>
      </c>
      <c r="AD288" s="628" t="str">
        <f t="shared" si="102"/>
        <v>x $1,500 per unit=</v>
      </c>
      <c r="AE288" s="628" t="str">
        <f t="shared" si="102"/>
        <v>$</v>
      </c>
      <c r="AF288" s="628" t="str">
        <f t="shared" si="102"/>
        <v/>
      </c>
      <c r="AG288" s="628" t="str">
        <f t="shared" si="102"/>
        <v/>
      </c>
      <c r="AH288" s="628" t="str">
        <f t="shared" si="102"/>
        <v/>
      </c>
      <c r="AI288" s="628" t="str">
        <f t="shared" si="102"/>
        <v/>
      </c>
      <c r="AJ288" s="504"/>
      <c r="AK288" s="627"/>
      <c r="AL288" s="629"/>
      <c r="AM288" s="627"/>
      <c r="AN288" s="627"/>
      <c r="AO288" s="627"/>
      <c r="AP288" s="627"/>
      <c r="AQ288" s="627"/>
      <c r="AR288" s="627"/>
      <c r="AS288" s="627"/>
      <c r="AT288" s="627"/>
      <c r="AU288" s="627"/>
      <c r="AV288" s="627"/>
      <c r="AW288" s="627"/>
      <c r="AX288" s="627"/>
      <c r="AY288" s="627"/>
      <c r="AZ288" s="627"/>
      <c r="BA288" s="627"/>
      <c r="BB288" s="627"/>
      <c r="BC288" s="627"/>
      <c r="BD288" s="627"/>
      <c r="BE288" s="627"/>
      <c r="BF288" s="627"/>
      <c r="BG288" s="627"/>
      <c r="BH288" s="627"/>
      <c r="BI288" s="627"/>
      <c r="BJ288" s="627"/>
      <c r="BK288" s="627"/>
      <c r="BL288" s="627"/>
      <c r="BM288" s="627"/>
      <c r="BN288" s="627"/>
      <c r="BO288" s="627"/>
      <c r="BP288" s="627"/>
      <c r="BQ288" s="627"/>
      <c r="BR288" s="627"/>
      <c r="BS288" s="627"/>
      <c r="BT288" s="627"/>
      <c r="BU288" s="627"/>
      <c r="BV288" s="627"/>
      <c r="BW288" s="627"/>
      <c r="BX288" s="627"/>
      <c r="BY288" s="627"/>
      <c r="BZ288" s="627"/>
      <c r="CA288" s="690"/>
      <c r="CB288" s="690"/>
      <c r="CC288" s="690"/>
      <c r="CD288" s="690"/>
      <c r="CE288" s="690"/>
      <c r="CF288" s="690"/>
      <c r="CG288" s="690"/>
      <c r="CH288" s="690"/>
      <c r="CI288" s="690"/>
      <c r="CJ288" s="690"/>
      <c r="CK288" s="690"/>
      <c r="CL288" s="690"/>
      <c r="CM288" s="690"/>
      <c r="CN288" s="690"/>
      <c r="CO288" s="690"/>
      <c r="CP288" s="690"/>
      <c r="CQ288" s="690"/>
      <c r="CR288" s="690"/>
      <c r="CS288" s="690"/>
      <c r="CT288" s="690"/>
      <c r="CU288" s="690"/>
      <c r="CV288" s="690"/>
      <c r="CW288" s="690"/>
      <c r="CX288" s="690"/>
      <c r="CY288" s="690"/>
      <c r="CZ288" s="690"/>
      <c r="DA288" s="690"/>
      <c r="DB288" s="690"/>
      <c r="DC288" s="690"/>
    </row>
    <row r="289" spans="1:107" s="5" customFormat="1" ht="12.75" hidden="1" customHeight="1">
      <c r="A289" s="1"/>
      <c r="B289" s="9" t="str">
        <f t="shared" ref="B289:AI289" si="104">IF(B74="","",B74)</f>
        <v/>
      </c>
      <c r="C289" s="9" t="str">
        <f t="shared" si="104"/>
        <v/>
      </c>
      <c r="D289" s="9" t="str">
        <f t="shared" si="104"/>
        <v/>
      </c>
      <c r="E289" s="9" t="str">
        <f t="shared" si="104"/>
        <v/>
      </c>
      <c r="F289" s="9" t="str">
        <f t="shared" si="104"/>
        <v/>
      </c>
      <c r="G289" s="9" t="str">
        <f t="shared" si="104"/>
        <v/>
      </c>
      <c r="H289" s="9" t="str">
        <f t="shared" si="104"/>
        <v/>
      </c>
      <c r="I289" s="9" t="str">
        <f t="shared" si="104"/>
        <v/>
      </c>
      <c r="J289" s="9" t="str">
        <f t="shared" si="104"/>
        <v/>
      </c>
      <c r="K289" s="9" t="str">
        <f t="shared" si="104"/>
        <v/>
      </c>
      <c r="L289" s="9" t="str">
        <f t="shared" si="104"/>
        <v/>
      </c>
      <c r="M289" s="9" t="str">
        <f t="shared" si="104"/>
        <v/>
      </c>
      <c r="N289" s="9" t="str">
        <f t="shared" si="104"/>
        <v/>
      </c>
      <c r="O289" s="9" t="str">
        <f t="shared" si="104"/>
        <v/>
      </c>
      <c r="P289" s="9" t="str">
        <f t="shared" si="104"/>
        <v/>
      </c>
      <c r="Q289" s="9" t="str">
        <f t="shared" si="104"/>
        <v/>
      </c>
      <c r="R289" s="9" t="str">
        <f t="shared" si="104"/>
        <v/>
      </c>
      <c r="S289" s="9" t="str">
        <f t="shared" si="104"/>
        <v/>
      </c>
      <c r="T289" s="9" t="str">
        <f t="shared" si="104"/>
        <v/>
      </c>
      <c r="U289" s="9" t="str">
        <f t="shared" si="104"/>
        <v/>
      </c>
      <c r="V289" s="9" t="str">
        <f t="shared" si="104"/>
        <v/>
      </c>
      <c r="W289" s="9" t="str">
        <f t="shared" si="104"/>
        <v/>
      </c>
      <c r="X289" s="9" t="str">
        <f t="shared" si="104"/>
        <v/>
      </c>
      <c r="Y289" s="9" t="str">
        <f t="shared" si="104"/>
        <v/>
      </c>
      <c r="Z289" s="9" t="str">
        <f t="shared" si="104"/>
        <v/>
      </c>
      <c r="AA289" s="9" t="str">
        <f t="shared" si="104"/>
        <v/>
      </c>
      <c r="AB289" s="9" t="str">
        <f t="shared" si="104"/>
        <v/>
      </c>
      <c r="AC289" s="9" t="str">
        <f t="shared" si="104"/>
        <v/>
      </c>
      <c r="AD289" s="9" t="str">
        <f t="shared" si="104"/>
        <v/>
      </c>
      <c r="AE289" s="9" t="str">
        <f t="shared" si="104"/>
        <v/>
      </c>
      <c r="AF289" s="9" t="str">
        <f t="shared" si="104"/>
        <v/>
      </c>
      <c r="AG289" s="9" t="str">
        <f t="shared" si="104"/>
        <v/>
      </c>
      <c r="AH289" s="9" t="str">
        <f t="shared" si="104"/>
        <v/>
      </c>
      <c r="AI289" s="9" t="str">
        <f t="shared" si="104"/>
        <v/>
      </c>
      <c r="AJ289" s="1"/>
      <c r="AK289" s="94"/>
      <c r="AL289" s="98"/>
      <c r="AM289" s="94"/>
      <c r="AN289" s="94"/>
      <c r="AO289" s="94"/>
      <c r="AP289" s="94"/>
      <c r="AQ289" s="94"/>
      <c r="AR289" s="94"/>
      <c r="AS289" s="94"/>
      <c r="AT289" s="94"/>
      <c r="AU289" s="94"/>
      <c r="AV289" s="94"/>
      <c r="AW289" s="94"/>
      <c r="AX289" s="94"/>
      <c r="AY289" s="94"/>
      <c r="AZ289" s="94"/>
      <c r="BA289" s="94"/>
      <c r="BB289" s="94"/>
      <c r="BC289" s="94"/>
      <c r="BD289" s="94"/>
      <c r="BE289" s="94"/>
      <c r="BF289" s="94"/>
      <c r="BG289" s="94"/>
      <c r="BH289" s="94"/>
      <c r="BI289" s="94"/>
      <c r="BJ289" s="94"/>
      <c r="BK289" s="94"/>
      <c r="BL289" s="94"/>
      <c r="BM289" s="94"/>
      <c r="BN289" s="94"/>
      <c r="BO289" s="94"/>
      <c r="BP289" s="94"/>
      <c r="BQ289" s="94"/>
      <c r="BR289" s="94"/>
      <c r="BS289" s="94"/>
      <c r="BT289" s="94"/>
      <c r="BU289" s="94"/>
      <c r="BV289" s="94"/>
      <c r="BW289" s="94"/>
      <c r="BX289" s="94"/>
      <c r="BY289" s="94"/>
      <c r="BZ289" s="94"/>
      <c r="CA289" s="684"/>
      <c r="CB289" s="684"/>
      <c r="CC289" s="684"/>
      <c r="CD289" s="684"/>
      <c r="CE289" s="684"/>
      <c r="CF289" s="684"/>
      <c r="CG289" s="684"/>
      <c r="CH289" s="684"/>
      <c r="CI289" s="684"/>
      <c r="CJ289" s="684"/>
      <c r="CK289" s="684"/>
      <c r="CL289" s="684"/>
      <c r="CM289" s="684"/>
      <c r="CN289" s="684"/>
      <c r="CO289" s="684"/>
      <c r="CP289" s="684"/>
      <c r="CQ289" s="684"/>
      <c r="CR289" s="684"/>
      <c r="CS289" s="684"/>
      <c r="CT289" s="684"/>
      <c r="CU289" s="684"/>
      <c r="CV289" s="684"/>
      <c r="CW289" s="684"/>
      <c r="CX289" s="684"/>
      <c r="CY289" s="684"/>
      <c r="CZ289" s="684"/>
      <c r="DA289" s="684"/>
      <c r="DB289" s="684"/>
      <c r="DC289" s="684"/>
    </row>
    <row r="290" spans="1:107" s="5" customFormat="1" ht="12.75" hidden="1" customHeight="1">
      <c r="A290" s="1"/>
      <c r="B290" s="9" t="str">
        <f t="shared" ref="B290:AI290" si="105">IF(B75="","",B75)</f>
        <v/>
      </c>
      <c r="C290" s="9" t="str">
        <f t="shared" si="105"/>
        <v/>
      </c>
      <c r="D290" s="9" t="str">
        <f t="shared" si="105"/>
        <v/>
      </c>
      <c r="E290" s="9" t="str">
        <f t="shared" si="105"/>
        <v/>
      </c>
      <c r="F290" s="9" t="str">
        <f t="shared" si="105"/>
        <v/>
      </c>
      <c r="G290" s="9" t="str">
        <f t="shared" si="105"/>
        <v/>
      </c>
      <c r="H290" s="9" t="str">
        <f t="shared" si="105"/>
        <v/>
      </c>
      <c r="I290" s="9" t="str">
        <f t="shared" si="105"/>
        <v/>
      </c>
      <c r="J290" s="9" t="str">
        <f t="shared" si="105"/>
        <v/>
      </c>
      <c r="K290" s="9" t="str">
        <f t="shared" si="105"/>
        <v/>
      </c>
      <c r="L290" s="9" t="str">
        <f t="shared" si="105"/>
        <v/>
      </c>
      <c r="M290" s="9" t="str">
        <f t="shared" si="105"/>
        <v/>
      </c>
      <c r="N290" s="9" t="str">
        <f t="shared" si="105"/>
        <v/>
      </c>
      <c r="O290" s="9" t="str">
        <f t="shared" si="105"/>
        <v/>
      </c>
      <c r="P290" s="9" t="str">
        <f t="shared" si="105"/>
        <v/>
      </c>
      <c r="Q290" s="9" t="str">
        <f t="shared" si="105"/>
        <v/>
      </c>
      <c r="R290" s="9" t="str">
        <f t="shared" si="105"/>
        <v/>
      </c>
      <c r="S290" s="9" t="str">
        <f t="shared" si="105"/>
        <v/>
      </c>
      <c r="T290" s="9" t="str">
        <f t="shared" si="105"/>
        <v/>
      </c>
      <c r="U290" s="9" t="str">
        <f t="shared" si="105"/>
        <v/>
      </c>
      <c r="V290" s="9" t="str">
        <f t="shared" si="105"/>
        <v/>
      </c>
      <c r="W290" s="9" t="str">
        <f t="shared" si="105"/>
        <v/>
      </c>
      <c r="X290" s="9" t="str">
        <f t="shared" si="105"/>
        <v/>
      </c>
      <c r="Y290" s="9" t="str">
        <f t="shared" si="105"/>
        <v/>
      </c>
      <c r="Z290" s="9" t="str">
        <f t="shared" si="105"/>
        <v/>
      </c>
      <c r="AA290" s="9" t="str">
        <f t="shared" si="105"/>
        <v/>
      </c>
      <c r="AB290" s="9" t="str">
        <f t="shared" si="105"/>
        <v/>
      </c>
      <c r="AC290" s="9" t="str">
        <f t="shared" si="105"/>
        <v/>
      </c>
      <c r="AD290" s="9" t="str">
        <f t="shared" si="105"/>
        <v/>
      </c>
      <c r="AE290" s="9" t="str">
        <f t="shared" si="105"/>
        <v/>
      </c>
      <c r="AF290" s="9" t="str">
        <f t="shared" si="105"/>
        <v/>
      </c>
      <c r="AG290" s="9" t="str">
        <f t="shared" si="105"/>
        <v/>
      </c>
      <c r="AH290" s="9" t="str">
        <f t="shared" si="105"/>
        <v/>
      </c>
      <c r="AI290" s="9" t="str">
        <f t="shared" si="105"/>
        <v/>
      </c>
      <c r="AJ290" s="1"/>
      <c r="AK290" s="94"/>
      <c r="AL290" s="98"/>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684"/>
      <c r="CB290" s="684"/>
      <c r="CC290" s="684"/>
      <c r="CD290" s="684"/>
      <c r="CE290" s="684"/>
      <c r="CF290" s="684"/>
      <c r="CG290" s="684"/>
      <c r="CH290" s="684"/>
      <c r="CI290" s="684"/>
      <c r="CJ290" s="684"/>
      <c r="CK290" s="684"/>
      <c r="CL290" s="684"/>
      <c r="CM290" s="684"/>
      <c r="CN290" s="684"/>
      <c r="CO290" s="684"/>
      <c r="CP290" s="684"/>
      <c r="CQ290" s="684"/>
      <c r="CR290" s="684"/>
      <c r="CS290" s="684"/>
      <c r="CT290" s="684"/>
      <c r="CU290" s="684"/>
      <c r="CV290" s="684"/>
      <c r="CW290" s="684"/>
      <c r="CX290" s="684"/>
      <c r="CY290" s="684"/>
      <c r="CZ290" s="684"/>
      <c r="DA290" s="684"/>
      <c r="DB290" s="684"/>
      <c r="DC290" s="684"/>
    </row>
    <row r="291" spans="1:107" s="5" customFormat="1" ht="12.75" customHeight="1">
      <c r="A291" s="1"/>
      <c r="B291" s="626" t="str">
        <f t="shared" ref="B291" si="106">IF(B76="","",B76)</f>
        <v>Appliances and Equipment</v>
      </c>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1"/>
      <c r="AK291" s="94"/>
      <c r="AL291" s="98"/>
      <c r="AM291" s="94"/>
      <c r="AN291" s="94"/>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684"/>
      <c r="CB291" s="684"/>
      <c r="CC291" s="684"/>
      <c r="CD291" s="684"/>
      <c r="CE291" s="684"/>
      <c r="CF291" s="684"/>
      <c r="CG291" s="684"/>
      <c r="CH291" s="684"/>
      <c r="CI291" s="684"/>
      <c r="CJ291" s="684"/>
      <c r="CK291" s="684"/>
      <c r="CL291" s="684"/>
      <c r="CM291" s="684"/>
      <c r="CN291" s="684"/>
      <c r="CO291" s="684"/>
      <c r="CP291" s="684"/>
      <c r="CQ291" s="684"/>
      <c r="CR291" s="684"/>
      <c r="CS291" s="684"/>
      <c r="CT291" s="684"/>
      <c r="CU291" s="684"/>
      <c r="CV291" s="684"/>
      <c r="CW291" s="684"/>
      <c r="CX291" s="684"/>
      <c r="CY291" s="684"/>
      <c r="CZ291" s="684"/>
      <c r="DA291" s="684"/>
      <c r="DB291" s="684"/>
      <c r="DC291" s="684"/>
    </row>
    <row r="292" spans="1:107" s="5" customFormat="1" ht="12.75" customHeight="1">
      <c r="A292" s="1"/>
      <c r="B292" s="240" t="str">
        <f t="shared" ref="B292:AF293" si="107">IF(B77="","",B77)</f>
        <v/>
      </c>
      <c r="C292" s="241" t="str">
        <f t="shared" si="107"/>
        <v/>
      </c>
      <c r="D292" s="241" t="str">
        <f t="shared" si="107"/>
        <v/>
      </c>
      <c r="E292" s="241" t="str">
        <f t="shared" si="107"/>
        <v/>
      </c>
      <c r="F292" s="241" t="str">
        <f t="shared" si="107"/>
        <v/>
      </c>
      <c r="G292" s="241" t="str">
        <f t="shared" si="107"/>
        <v/>
      </c>
      <c r="H292" s="241" t="str">
        <f t="shared" si="107"/>
        <v/>
      </c>
      <c r="I292" s="241" t="str">
        <f t="shared" si="107"/>
        <v/>
      </c>
      <c r="J292" s="241" t="str">
        <f t="shared" si="107"/>
        <v/>
      </c>
      <c r="K292" s="241" t="str">
        <f t="shared" si="107"/>
        <v/>
      </c>
      <c r="L292" s="241" t="str">
        <f t="shared" si="107"/>
        <v/>
      </c>
      <c r="M292" s="241" t="str">
        <f t="shared" si="107"/>
        <v/>
      </c>
      <c r="N292" s="241" t="str">
        <f t="shared" si="107"/>
        <v/>
      </c>
      <c r="O292" s="241" t="str">
        <f t="shared" si="107"/>
        <v/>
      </c>
      <c r="P292" s="241" t="str">
        <f t="shared" si="107"/>
        <v/>
      </c>
      <c r="Q292" s="241" t="str">
        <f t="shared" si="107"/>
        <v/>
      </c>
      <c r="R292" s="241" t="str">
        <f t="shared" si="107"/>
        <v/>
      </c>
      <c r="S292" s="241" t="str">
        <f t="shared" si="107"/>
        <v/>
      </c>
      <c r="T292" s="241" t="str">
        <f t="shared" si="107"/>
        <v/>
      </c>
      <c r="U292" s="241" t="str">
        <f t="shared" si="107"/>
        <v/>
      </c>
      <c r="V292" s="241" t="str">
        <f t="shared" si="107"/>
        <v/>
      </c>
      <c r="W292" s="241" t="str">
        <f t="shared" si="107"/>
        <v/>
      </c>
      <c r="X292" s="241" t="str">
        <f t="shared" si="107"/>
        <v/>
      </c>
      <c r="Y292" s="241" t="str">
        <f t="shared" si="107"/>
        <v/>
      </c>
      <c r="Z292" s="241" t="str">
        <f t="shared" si="107"/>
        <v/>
      </c>
      <c r="AA292" s="241" t="str">
        <f t="shared" si="107"/>
        <v/>
      </c>
      <c r="AB292" s="241" t="str">
        <f t="shared" si="107"/>
        <v/>
      </c>
      <c r="AC292" s="241" t="str">
        <f t="shared" si="107"/>
        <v/>
      </c>
      <c r="AD292" s="241" t="str">
        <f t="shared" si="107"/>
        <v/>
      </c>
      <c r="AE292" s="241" t="str">
        <f t="shared" si="107"/>
        <v/>
      </c>
      <c r="AF292" s="241" t="str">
        <f t="shared" si="107"/>
        <v>Incentive</v>
      </c>
      <c r="AG292" s="241"/>
      <c r="AH292" s="241"/>
      <c r="AI292" s="242"/>
      <c r="AJ292" s="1"/>
      <c r="AK292" s="94"/>
      <c r="AL292" s="98"/>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684"/>
      <c r="CB292" s="684"/>
      <c r="CC292" s="684"/>
      <c r="CD292" s="684"/>
      <c r="CE292" s="684"/>
      <c r="CF292" s="684"/>
      <c r="CG292" s="684"/>
      <c r="CH292" s="684"/>
      <c r="CI292" s="684"/>
      <c r="CJ292" s="684"/>
      <c r="CK292" s="684"/>
      <c r="CL292" s="684"/>
      <c r="CM292" s="684"/>
      <c r="CN292" s="684"/>
      <c r="CO292" s="684"/>
      <c r="CP292" s="684"/>
      <c r="CQ292" s="684"/>
      <c r="CR292" s="684"/>
      <c r="CS292" s="684"/>
      <c r="CT292" s="684"/>
      <c r="CU292" s="684"/>
      <c r="CV292" s="684"/>
      <c r="CW292" s="684"/>
      <c r="CX292" s="684"/>
      <c r="CY292" s="684"/>
      <c r="CZ292" s="684"/>
      <c r="DA292" s="684"/>
      <c r="DB292" s="684"/>
      <c r="DC292" s="684"/>
    </row>
    <row r="293" spans="1:107" s="5" customFormat="1" ht="12.75" customHeight="1">
      <c r="A293" s="1"/>
      <c r="B293" s="253" t="str">
        <f t="shared" ref="B293:AI293" si="108">IF(B78="","",B78)</f>
        <v/>
      </c>
      <c r="C293" s="9" t="str">
        <f t="shared" si="108"/>
        <v xml:space="preserve"> W1N - ENERGY STAR® Efficient Laundry Machines</v>
      </c>
      <c r="D293" s="9"/>
      <c r="E293" s="9"/>
      <c r="F293" s="9"/>
      <c r="G293" s="9"/>
      <c r="H293" s="9"/>
      <c r="I293" s="9"/>
      <c r="J293" s="9"/>
      <c r="K293" s="9"/>
      <c r="L293" s="9"/>
      <c r="M293" s="9"/>
      <c r="N293" s="9"/>
      <c r="O293" s="9"/>
      <c r="P293" s="9"/>
      <c r="Q293" s="9"/>
      <c r="R293" s="9"/>
      <c r="S293" s="9"/>
      <c r="T293" s="9"/>
      <c r="U293" s="9"/>
      <c r="V293" s="623" t="str">
        <f t="shared" si="108"/>
        <v xml:space="preserve">Qty: </v>
      </c>
      <c r="W293" s="844" t="str">
        <f t="shared" si="107"/>
        <v/>
      </c>
      <c r="X293" s="845"/>
      <c r="Y293" s="9"/>
      <c r="Z293" s="9"/>
      <c r="AA293" s="9"/>
      <c r="AB293" s="9"/>
      <c r="AC293" s="9"/>
      <c r="AD293" s="623" t="str">
        <f t="shared" si="108"/>
        <v>x $200 per unit=</v>
      </c>
      <c r="AE293" s="9" t="str">
        <f t="shared" si="108"/>
        <v>$</v>
      </c>
      <c r="AF293" s="846" t="str">
        <f t="shared" si="107"/>
        <v/>
      </c>
      <c r="AG293" s="846"/>
      <c r="AH293" s="846"/>
      <c r="AI293" s="633" t="str">
        <f t="shared" si="108"/>
        <v/>
      </c>
      <c r="AJ293" s="1"/>
      <c r="AK293" s="94"/>
      <c r="AL293" s="98"/>
      <c r="AM293" s="94"/>
      <c r="AN293" s="94"/>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684"/>
      <c r="CB293" s="684"/>
      <c r="CC293" s="684"/>
      <c r="CD293" s="684"/>
      <c r="CE293" s="684"/>
      <c r="CF293" s="684"/>
      <c r="CG293" s="684"/>
      <c r="CH293" s="684"/>
      <c r="CI293" s="684"/>
      <c r="CJ293" s="684"/>
      <c r="CK293" s="684"/>
      <c r="CL293" s="684"/>
      <c r="CM293" s="684"/>
      <c r="CN293" s="684"/>
      <c r="CO293" s="684"/>
      <c r="CP293" s="684"/>
      <c r="CQ293" s="684"/>
      <c r="CR293" s="684"/>
      <c r="CS293" s="684"/>
      <c r="CT293" s="684"/>
      <c r="CU293" s="684"/>
      <c r="CV293" s="684"/>
      <c r="CW293" s="684"/>
      <c r="CX293" s="684"/>
      <c r="CY293" s="684"/>
      <c r="CZ293" s="684"/>
      <c r="DA293" s="684"/>
      <c r="DB293" s="684"/>
      <c r="DC293" s="684"/>
    </row>
    <row r="294" spans="1:107" s="630" customFormat="1" ht="12.75" hidden="1" customHeight="1">
      <c r="A294" s="504"/>
      <c r="B294" s="636" t="str">
        <f t="shared" ref="B294:AI294" si="109">IF(B79="","",B79)</f>
        <v/>
      </c>
      <c r="C294" s="628" t="str">
        <f t="shared" si="109"/>
        <v xml:space="preserve"> I1a - ENERGY STAR Ice Machine &lt; 200 lbs/day*</v>
      </c>
      <c r="D294" s="628" t="str">
        <f t="shared" si="109"/>
        <v/>
      </c>
      <c r="E294" s="628" t="str">
        <f t="shared" si="109"/>
        <v/>
      </c>
      <c r="F294" s="628" t="str">
        <f t="shared" si="109"/>
        <v/>
      </c>
      <c r="G294" s="628" t="str">
        <f t="shared" si="109"/>
        <v/>
      </c>
      <c r="H294" s="628" t="str">
        <f t="shared" si="109"/>
        <v/>
      </c>
      <c r="I294" s="628" t="str">
        <f t="shared" si="109"/>
        <v/>
      </c>
      <c r="J294" s="628" t="str">
        <f t="shared" si="109"/>
        <v/>
      </c>
      <c r="K294" s="628" t="str">
        <f t="shared" si="109"/>
        <v/>
      </c>
      <c r="L294" s="628" t="str">
        <f t="shared" si="109"/>
        <v/>
      </c>
      <c r="M294" s="628" t="str">
        <f t="shared" si="109"/>
        <v/>
      </c>
      <c r="N294" s="628" t="str">
        <f t="shared" si="109"/>
        <v/>
      </c>
      <c r="O294" s="628" t="str">
        <f t="shared" si="109"/>
        <v/>
      </c>
      <c r="P294" s="628" t="str">
        <f t="shared" si="109"/>
        <v/>
      </c>
      <c r="Q294" s="628" t="str">
        <f t="shared" si="109"/>
        <v/>
      </c>
      <c r="R294" s="628" t="str">
        <f t="shared" si="109"/>
        <v/>
      </c>
      <c r="S294" s="628" t="str">
        <f t="shared" si="109"/>
        <v/>
      </c>
      <c r="T294" s="628" t="str">
        <f t="shared" si="109"/>
        <v/>
      </c>
      <c r="U294" s="628" t="str">
        <f t="shared" si="109"/>
        <v/>
      </c>
      <c r="V294" s="628" t="str">
        <f t="shared" si="109"/>
        <v xml:space="preserve">Qty: </v>
      </c>
      <c r="W294" s="628" t="str">
        <f t="shared" si="109"/>
        <v/>
      </c>
      <c r="X294" s="628" t="str">
        <f t="shared" si="109"/>
        <v/>
      </c>
      <c r="Y294" s="628" t="str">
        <f t="shared" si="109"/>
        <v/>
      </c>
      <c r="Z294" s="628" t="str">
        <f t="shared" si="109"/>
        <v/>
      </c>
      <c r="AA294" s="628" t="str">
        <f t="shared" si="109"/>
        <v/>
      </c>
      <c r="AB294" s="628" t="str">
        <f t="shared" si="109"/>
        <v/>
      </c>
      <c r="AC294" s="628" t="str">
        <f t="shared" si="109"/>
        <v/>
      </c>
      <c r="AD294" s="628" t="str">
        <f t="shared" si="109"/>
        <v>x $100 per unit=</v>
      </c>
      <c r="AE294" s="628" t="str">
        <f t="shared" si="109"/>
        <v>$</v>
      </c>
      <c r="AF294" s="628" t="str">
        <f t="shared" si="109"/>
        <v/>
      </c>
      <c r="AG294" s="628" t="str">
        <f t="shared" si="109"/>
        <v/>
      </c>
      <c r="AH294" s="628" t="str">
        <f t="shared" si="109"/>
        <v/>
      </c>
      <c r="AI294" s="638" t="str">
        <f t="shared" si="109"/>
        <v/>
      </c>
      <c r="AJ294" s="504"/>
      <c r="AK294" s="627"/>
      <c r="AL294" s="629"/>
      <c r="AM294" s="627"/>
      <c r="AN294" s="627"/>
      <c r="AO294" s="627"/>
      <c r="AP294" s="627"/>
      <c r="AQ294" s="627"/>
      <c r="AR294" s="627"/>
      <c r="AS294" s="627"/>
      <c r="AT294" s="627"/>
      <c r="AU294" s="627"/>
      <c r="AV294" s="627"/>
      <c r="AW294" s="627"/>
      <c r="AX294" s="627"/>
      <c r="AY294" s="627"/>
      <c r="AZ294" s="627"/>
      <c r="BA294" s="627"/>
      <c r="BB294" s="627"/>
      <c r="BC294" s="627"/>
      <c r="BD294" s="627"/>
      <c r="BE294" s="627"/>
      <c r="BF294" s="627"/>
      <c r="BG294" s="627"/>
      <c r="BH294" s="627"/>
      <c r="BI294" s="627"/>
      <c r="BJ294" s="627"/>
      <c r="BK294" s="627"/>
      <c r="BL294" s="627"/>
      <c r="BM294" s="627"/>
      <c r="BN294" s="627"/>
      <c r="BO294" s="627"/>
      <c r="BP294" s="627"/>
      <c r="BQ294" s="627"/>
      <c r="BR294" s="627"/>
      <c r="BS294" s="627"/>
      <c r="BT294" s="627"/>
      <c r="BU294" s="627"/>
      <c r="BV294" s="627"/>
      <c r="BW294" s="627"/>
      <c r="BX294" s="627"/>
      <c r="BY294" s="627"/>
      <c r="BZ294" s="627"/>
      <c r="CA294" s="690"/>
      <c r="CB294" s="690"/>
      <c r="CC294" s="690"/>
      <c r="CD294" s="690"/>
      <c r="CE294" s="690"/>
      <c r="CF294" s="690"/>
      <c r="CG294" s="690"/>
      <c r="CH294" s="690"/>
      <c r="CI294" s="690"/>
      <c r="CJ294" s="690"/>
      <c r="CK294" s="690"/>
      <c r="CL294" s="690"/>
      <c r="CM294" s="690"/>
      <c r="CN294" s="690"/>
      <c r="CO294" s="690"/>
      <c r="CP294" s="690"/>
      <c r="CQ294" s="690"/>
      <c r="CR294" s="690"/>
      <c r="CS294" s="690"/>
      <c r="CT294" s="690"/>
      <c r="CU294" s="690"/>
      <c r="CV294" s="690"/>
      <c r="CW294" s="690"/>
      <c r="CX294" s="690"/>
      <c r="CY294" s="690"/>
      <c r="CZ294" s="690"/>
      <c r="DA294" s="690"/>
      <c r="DB294" s="690"/>
      <c r="DC294" s="690"/>
    </row>
    <row r="295" spans="1:107" s="630" customFormat="1" ht="12.75" hidden="1" customHeight="1">
      <c r="A295" s="504"/>
      <c r="B295" s="636" t="str">
        <f t="shared" ref="B295:AI295" si="110">IF(B80="","",B80)</f>
        <v/>
      </c>
      <c r="C295" s="628" t="str">
        <f t="shared" si="110"/>
        <v xml:space="preserve"> I1b - ENERGY STAR Ice Machine ≥ 200 lbs/day</v>
      </c>
      <c r="D295" s="628" t="str">
        <f t="shared" si="110"/>
        <v/>
      </c>
      <c r="E295" s="628" t="str">
        <f t="shared" si="110"/>
        <v/>
      </c>
      <c r="F295" s="628" t="str">
        <f t="shared" si="110"/>
        <v/>
      </c>
      <c r="G295" s="628" t="str">
        <f t="shared" si="110"/>
        <v/>
      </c>
      <c r="H295" s="628" t="str">
        <f t="shared" si="110"/>
        <v/>
      </c>
      <c r="I295" s="628" t="str">
        <f t="shared" si="110"/>
        <v/>
      </c>
      <c r="J295" s="628" t="str">
        <f t="shared" si="110"/>
        <v/>
      </c>
      <c r="K295" s="628" t="str">
        <f t="shared" si="110"/>
        <v/>
      </c>
      <c r="L295" s="628" t="str">
        <f t="shared" si="110"/>
        <v/>
      </c>
      <c r="M295" s="628" t="str">
        <f t="shared" si="110"/>
        <v/>
      </c>
      <c r="N295" s="628" t="str">
        <f t="shared" si="110"/>
        <v/>
      </c>
      <c r="O295" s="628" t="str">
        <f t="shared" si="110"/>
        <v/>
      </c>
      <c r="P295" s="628" t="str">
        <f t="shared" si="110"/>
        <v/>
      </c>
      <c r="Q295" s="628" t="str">
        <f t="shared" si="110"/>
        <v/>
      </c>
      <c r="R295" s="628" t="str">
        <f t="shared" si="110"/>
        <v/>
      </c>
      <c r="S295" s="628" t="str">
        <f t="shared" si="110"/>
        <v/>
      </c>
      <c r="T295" s="628" t="str">
        <f t="shared" si="110"/>
        <v/>
      </c>
      <c r="U295" s="628" t="str">
        <f t="shared" si="110"/>
        <v/>
      </c>
      <c r="V295" s="628" t="str">
        <f t="shared" si="110"/>
        <v xml:space="preserve">Qty: </v>
      </c>
      <c r="W295" s="628" t="str">
        <f t="shared" si="110"/>
        <v/>
      </c>
      <c r="X295" s="628" t="str">
        <f t="shared" si="110"/>
        <v/>
      </c>
      <c r="Y295" s="628" t="str">
        <f t="shared" si="110"/>
        <v/>
      </c>
      <c r="Z295" s="628" t="str">
        <f t="shared" si="110"/>
        <v/>
      </c>
      <c r="AA295" s="628" t="str">
        <f t="shared" si="110"/>
        <v/>
      </c>
      <c r="AB295" s="628" t="str">
        <f t="shared" si="110"/>
        <v/>
      </c>
      <c r="AC295" s="628" t="str">
        <f t="shared" si="110"/>
        <v/>
      </c>
      <c r="AD295" s="628" t="str">
        <f t="shared" si="110"/>
        <v>x $300 per unit=</v>
      </c>
      <c r="AE295" s="628" t="str">
        <f t="shared" si="110"/>
        <v>$</v>
      </c>
      <c r="AF295" s="628" t="str">
        <f t="shared" si="110"/>
        <v/>
      </c>
      <c r="AG295" s="628" t="str">
        <f t="shared" si="110"/>
        <v/>
      </c>
      <c r="AH295" s="628" t="str">
        <f t="shared" si="110"/>
        <v/>
      </c>
      <c r="AI295" s="638" t="str">
        <f t="shared" si="110"/>
        <v/>
      </c>
      <c r="AJ295" s="504"/>
      <c r="AK295" s="627"/>
      <c r="AL295" s="629"/>
      <c r="AM295" s="627"/>
      <c r="AN295" s="627"/>
      <c r="AO295" s="627"/>
      <c r="AP295" s="627"/>
      <c r="AQ295" s="627"/>
      <c r="AR295" s="627"/>
      <c r="AS295" s="627"/>
      <c r="AT295" s="627"/>
      <c r="AU295" s="627"/>
      <c r="AV295" s="627"/>
      <c r="AW295" s="627"/>
      <c r="AX295" s="627"/>
      <c r="AY295" s="627"/>
      <c r="AZ295" s="627"/>
      <c r="BA295" s="627"/>
      <c r="BB295" s="627"/>
      <c r="BC295" s="627"/>
      <c r="BD295" s="627"/>
      <c r="BE295" s="627"/>
      <c r="BF295" s="627"/>
      <c r="BG295" s="627"/>
      <c r="BH295" s="627"/>
      <c r="BI295" s="627"/>
      <c r="BJ295" s="627"/>
      <c r="BK295" s="627"/>
      <c r="BL295" s="627"/>
      <c r="BM295" s="627"/>
      <c r="BN295" s="627"/>
      <c r="BO295" s="627"/>
      <c r="BP295" s="627"/>
      <c r="BQ295" s="627"/>
      <c r="BR295" s="627"/>
      <c r="BS295" s="627"/>
      <c r="BT295" s="627"/>
      <c r="BU295" s="627"/>
      <c r="BV295" s="627"/>
      <c r="BW295" s="627"/>
      <c r="BX295" s="627"/>
      <c r="BY295" s="627"/>
      <c r="BZ295" s="627"/>
      <c r="CA295" s="690"/>
      <c r="CB295" s="690"/>
      <c r="CC295" s="690"/>
      <c r="CD295" s="690"/>
      <c r="CE295" s="690"/>
      <c r="CF295" s="690"/>
      <c r="CG295" s="690"/>
      <c r="CH295" s="690"/>
      <c r="CI295" s="690"/>
      <c r="CJ295" s="690"/>
      <c r="CK295" s="690"/>
      <c r="CL295" s="690"/>
      <c r="CM295" s="690"/>
      <c r="CN295" s="690"/>
      <c r="CO295" s="690"/>
      <c r="CP295" s="690"/>
      <c r="CQ295" s="690"/>
      <c r="CR295" s="690"/>
      <c r="CS295" s="690"/>
      <c r="CT295" s="690"/>
      <c r="CU295" s="690"/>
      <c r="CV295" s="690"/>
      <c r="CW295" s="690"/>
      <c r="CX295" s="690"/>
      <c r="CY295" s="690"/>
      <c r="CZ295" s="690"/>
      <c r="DA295" s="690"/>
      <c r="DB295" s="690"/>
      <c r="DC295" s="690"/>
    </row>
    <row r="296" spans="1:107" s="630" customFormat="1" ht="12.75" hidden="1" customHeight="1">
      <c r="A296" s="504"/>
      <c r="B296" s="636" t="str">
        <f t="shared" ref="B296:AI296" si="111">IF(B81="","",B81)</f>
        <v/>
      </c>
      <c r="C296" s="628" t="str">
        <f t="shared" si="111"/>
        <v>E1a - Stationary Pump Driven Circulating Block Heater ≤ 200 kW</v>
      </c>
      <c r="D296" s="628" t="str">
        <f t="shared" si="111"/>
        <v/>
      </c>
      <c r="E296" s="628" t="str">
        <f t="shared" si="111"/>
        <v/>
      </c>
      <c r="F296" s="628" t="str">
        <f t="shared" si="111"/>
        <v/>
      </c>
      <c r="G296" s="628" t="str">
        <f t="shared" si="111"/>
        <v/>
      </c>
      <c r="H296" s="628" t="str">
        <f t="shared" si="111"/>
        <v/>
      </c>
      <c r="I296" s="628" t="str">
        <f t="shared" si="111"/>
        <v/>
      </c>
      <c r="J296" s="628" t="str">
        <f t="shared" si="111"/>
        <v/>
      </c>
      <c r="K296" s="628" t="str">
        <f t="shared" si="111"/>
        <v/>
      </c>
      <c r="L296" s="628" t="str">
        <f t="shared" si="111"/>
        <v/>
      </c>
      <c r="M296" s="628" t="str">
        <f t="shared" si="111"/>
        <v/>
      </c>
      <c r="N296" s="628" t="str">
        <f t="shared" si="111"/>
        <v/>
      </c>
      <c r="O296" s="628" t="str">
        <f t="shared" si="111"/>
        <v/>
      </c>
      <c r="P296" s="628" t="str">
        <f t="shared" si="111"/>
        <v/>
      </c>
      <c r="Q296" s="628" t="str">
        <f t="shared" si="111"/>
        <v/>
      </c>
      <c r="R296" s="628" t="str">
        <f t="shared" si="111"/>
        <v/>
      </c>
      <c r="S296" s="628" t="str">
        <f t="shared" si="111"/>
        <v/>
      </c>
      <c r="T296" s="628" t="str">
        <f t="shared" si="111"/>
        <v/>
      </c>
      <c r="U296" s="628" t="str">
        <f t="shared" si="111"/>
        <v/>
      </c>
      <c r="V296" s="628" t="str">
        <f t="shared" si="111"/>
        <v xml:space="preserve">Qty: </v>
      </c>
      <c r="W296" s="628" t="str">
        <f t="shared" si="111"/>
        <v/>
      </c>
      <c r="X296" s="628" t="str">
        <f t="shared" si="111"/>
        <v/>
      </c>
      <c r="Y296" s="628" t="str">
        <f t="shared" si="111"/>
        <v/>
      </c>
      <c r="Z296" s="628" t="str">
        <f t="shared" si="111"/>
        <v/>
      </c>
      <c r="AA296" s="628" t="str">
        <f t="shared" si="111"/>
        <v/>
      </c>
      <c r="AB296" s="628" t="str">
        <f t="shared" si="111"/>
        <v/>
      </c>
      <c r="AC296" s="628" t="str">
        <f t="shared" si="111"/>
        <v/>
      </c>
      <c r="AD296" s="628" t="str">
        <f t="shared" si="111"/>
        <v>x $200 per unit=</v>
      </c>
      <c r="AE296" s="628" t="str">
        <f t="shared" si="111"/>
        <v>$</v>
      </c>
      <c r="AF296" s="628" t="str">
        <f t="shared" si="111"/>
        <v/>
      </c>
      <c r="AG296" s="628" t="str">
        <f t="shared" si="111"/>
        <v/>
      </c>
      <c r="AH296" s="628" t="str">
        <f t="shared" si="111"/>
        <v/>
      </c>
      <c r="AI296" s="638" t="str">
        <f t="shared" si="111"/>
        <v/>
      </c>
      <c r="AJ296" s="504"/>
      <c r="AK296" s="627"/>
      <c r="AL296" s="629"/>
      <c r="AM296" s="627"/>
      <c r="AN296" s="627"/>
      <c r="AO296" s="627"/>
      <c r="AP296" s="627"/>
      <c r="AQ296" s="627"/>
      <c r="AR296" s="627"/>
      <c r="AS296" s="627"/>
      <c r="AT296" s="627"/>
      <c r="AU296" s="627"/>
      <c r="AV296" s="627"/>
      <c r="AW296" s="627"/>
      <c r="AX296" s="627"/>
      <c r="AY296" s="627"/>
      <c r="AZ296" s="627"/>
      <c r="BA296" s="627"/>
      <c r="BB296" s="627"/>
      <c r="BC296" s="627"/>
      <c r="BD296" s="627"/>
      <c r="BE296" s="627"/>
      <c r="BF296" s="627"/>
      <c r="BG296" s="627"/>
      <c r="BH296" s="627"/>
      <c r="BI296" s="627"/>
      <c r="BJ296" s="627"/>
      <c r="BK296" s="627"/>
      <c r="BL296" s="627"/>
      <c r="BM296" s="627"/>
      <c r="BN296" s="627"/>
      <c r="BO296" s="627"/>
      <c r="BP296" s="627"/>
      <c r="BQ296" s="627"/>
      <c r="BR296" s="627"/>
      <c r="BS296" s="627"/>
      <c r="BT296" s="627"/>
      <c r="BU296" s="627"/>
      <c r="BV296" s="627"/>
      <c r="BW296" s="627"/>
      <c r="BX296" s="627"/>
      <c r="BY296" s="627"/>
      <c r="BZ296" s="627"/>
      <c r="CA296" s="690"/>
      <c r="CB296" s="690"/>
      <c r="CC296" s="690"/>
      <c r="CD296" s="690"/>
      <c r="CE296" s="690"/>
      <c r="CF296" s="690"/>
      <c r="CG296" s="690"/>
      <c r="CH296" s="690"/>
      <c r="CI296" s="690"/>
      <c r="CJ296" s="690"/>
      <c r="CK296" s="690"/>
      <c r="CL296" s="690"/>
      <c r="CM296" s="690"/>
      <c r="CN296" s="690"/>
      <c r="CO296" s="690"/>
      <c r="CP296" s="690"/>
      <c r="CQ296" s="690"/>
      <c r="CR296" s="690"/>
      <c r="CS296" s="690"/>
      <c r="CT296" s="690"/>
      <c r="CU296" s="690"/>
      <c r="CV296" s="690"/>
      <c r="CW296" s="690"/>
      <c r="CX296" s="690"/>
      <c r="CY296" s="690"/>
      <c r="CZ296" s="690"/>
      <c r="DA296" s="690"/>
      <c r="DB296" s="690"/>
      <c r="DC296" s="690"/>
    </row>
    <row r="297" spans="1:107" s="630" customFormat="1" ht="12.75" hidden="1" customHeight="1">
      <c r="A297" s="504"/>
      <c r="B297" s="636" t="str">
        <f t="shared" ref="B297:AI297" si="112">IF(B82="","",B82)</f>
        <v/>
      </c>
      <c r="C297" s="628" t="str">
        <f t="shared" si="112"/>
        <v>E1b - Stationary Pump Driven Circulating Block Heater 201-500 kW</v>
      </c>
      <c r="D297" s="628" t="str">
        <f t="shared" si="112"/>
        <v/>
      </c>
      <c r="E297" s="628" t="str">
        <f t="shared" si="112"/>
        <v/>
      </c>
      <c r="F297" s="628" t="str">
        <f t="shared" si="112"/>
        <v/>
      </c>
      <c r="G297" s="628" t="str">
        <f t="shared" si="112"/>
        <v/>
      </c>
      <c r="H297" s="628" t="str">
        <f t="shared" si="112"/>
        <v/>
      </c>
      <c r="I297" s="628" t="str">
        <f t="shared" si="112"/>
        <v/>
      </c>
      <c r="J297" s="628" t="str">
        <f t="shared" si="112"/>
        <v/>
      </c>
      <c r="K297" s="628" t="str">
        <f t="shared" si="112"/>
        <v/>
      </c>
      <c r="L297" s="628" t="str">
        <f t="shared" si="112"/>
        <v/>
      </c>
      <c r="M297" s="628" t="str">
        <f t="shared" si="112"/>
        <v/>
      </c>
      <c r="N297" s="628" t="str">
        <f t="shared" si="112"/>
        <v/>
      </c>
      <c r="O297" s="628" t="str">
        <f t="shared" si="112"/>
        <v/>
      </c>
      <c r="P297" s="628" t="str">
        <f t="shared" si="112"/>
        <v/>
      </c>
      <c r="Q297" s="628" t="str">
        <f t="shared" si="112"/>
        <v/>
      </c>
      <c r="R297" s="628" t="str">
        <f t="shared" si="112"/>
        <v/>
      </c>
      <c r="S297" s="628" t="str">
        <f t="shared" si="112"/>
        <v/>
      </c>
      <c r="T297" s="628" t="str">
        <f t="shared" si="112"/>
        <v/>
      </c>
      <c r="U297" s="628" t="str">
        <f t="shared" si="112"/>
        <v/>
      </c>
      <c r="V297" s="628" t="str">
        <f t="shared" si="112"/>
        <v xml:space="preserve">Qty: </v>
      </c>
      <c r="W297" s="628" t="str">
        <f t="shared" si="112"/>
        <v/>
      </c>
      <c r="X297" s="628" t="str">
        <f t="shared" si="112"/>
        <v/>
      </c>
      <c r="Y297" s="628" t="str">
        <f t="shared" si="112"/>
        <v/>
      </c>
      <c r="Z297" s="628" t="str">
        <f t="shared" si="112"/>
        <v/>
      </c>
      <c r="AA297" s="628" t="str">
        <f t="shared" si="112"/>
        <v/>
      </c>
      <c r="AB297" s="628" t="str">
        <f t="shared" si="112"/>
        <v/>
      </c>
      <c r="AC297" s="628" t="str">
        <f t="shared" si="112"/>
        <v/>
      </c>
      <c r="AD297" s="628" t="str">
        <f t="shared" si="112"/>
        <v>x $350 per unit=</v>
      </c>
      <c r="AE297" s="628" t="str">
        <f t="shared" si="112"/>
        <v>$</v>
      </c>
      <c r="AF297" s="628" t="str">
        <f t="shared" si="112"/>
        <v/>
      </c>
      <c r="AG297" s="628" t="str">
        <f t="shared" si="112"/>
        <v/>
      </c>
      <c r="AH297" s="628" t="str">
        <f t="shared" si="112"/>
        <v/>
      </c>
      <c r="AI297" s="638" t="str">
        <f t="shared" si="112"/>
        <v/>
      </c>
      <c r="AJ297" s="504"/>
      <c r="AK297" s="627"/>
      <c r="AL297" s="629"/>
      <c r="AM297" s="627"/>
      <c r="AN297" s="627"/>
      <c r="AO297" s="627"/>
      <c r="AP297" s="627"/>
      <c r="AQ297" s="627"/>
      <c r="AR297" s="627"/>
      <c r="AS297" s="627"/>
      <c r="AT297" s="627"/>
      <c r="AU297" s="627"/>
      <c r="AV297" s="627"/>
      <c r="AW297" s="627"/>
      <c r="AX297" s="627"/>
      <c r="AY297" s="627"/>
      <c r="AZ297" s="627"/>
      <c r="BA297" s="627"/>
      <c r="BB297" s="627"/>
      <c r="BC297" s="627"/>
      <c r="BD297" s="627"/>
      <c r="BE297" s="627"/>
      <c r="BF297" s="627"/>
      <c r="BG297" s="627"/>
      <c r="BH297" s="627"/>
      <c r="BI297" s="627"/>
      <c r="BJ297" s="627"/>
      <c r="BK297" s="627"/>
      <c r="BL297" s="627"/>
      <c r="BM297" s="627"/>
      <c r="BN297" s="627"/>
      <c r="BO297" s="627"/>
      <c r="BP297" s="627"/>
      <c r="BQ297" s="627"/>
      <c r="BR297" s="627"/>
      <c r="BS297" s="627"/>
      <c r="BT297" s="627"/>
      <c r="BU297" s="627"/>
      <c r="BV297" s="627"/>
      <c r="BW297" s="627"/>
      <c r="BX297" s="627"/>
      <c r="BY297" s="627"/>
      <c r="BZ297" s="627"/>
      <c r="CA297" s="690"/>
      <c r="CB297" s="690"/>
      <c r="CC297" s="690"/>
      <c r="CD297" s="690"/>
      <c r="CE297" s="690"/>
      <c r="CF297" s="690"/>
      <c r="CG297" s="690"/>
      <c r="CH297" s="690"/>
      <c r="CI297" s="690"/>
      <c r="CJ297" s="690"/>
      <c r="CK297" s="690"/>
      <c r="CL297" s="690"/>
      <c r="CM297" s="690"/>
      <c r="CN297" s="690"/>
      <c r="CO297" s="690"/>
      <c r="CP297" s="690"/>
      <c r="CQ297" s="690"/>
      <c r="CR297" s="690"/>
      <c r="CS297" s="690"/>
      <c r="CT297" s="690"/>
      <c r="CU297" s="690"/>
      <c r="CV297" s="690"/>
      <c r="CW297" s="690"/>
      <c r="CX297" s="690"/>
      <c r="CY297" s="690"/>
      <c r="CZ297" s="690"/>
      <c r="DA297" s="690"/>
      <c r="DB297" s="690"/>
      <c r="DC297" s="690"/>
    </row>
    <row r="298" spans="1:107" s="630" customFormat="1" ht="12.75" hidden="1" customHeight="1">
      <c r="A298" s="504"/>
      <c r="B298" s="636" t="str">
        <f t="shared" ref="B298:AI298" si="113">IF(B83="","",B83)</f>
        <v/>
      </c>
      <c r="C298" s="628" t="str">
        <f t="shared" si="113"/>
        <v>E1c - Stationary Pump Driven Circulating Block Heater 501-1,000 kW</v>
      </c>
      <c r="D298" s="628" t="str">
        <f t="shared" si="113"/>
        <v/>
      </c>
      <c r="E298" s="628" t="str">
        <f t="shared" si="113"/>
        <v/>
      </c>
      <c r="F298" s="628" t="str">
        <f t="shared" si="113"/>
        <v/>
      </c>
      <c r="G298" s="628" t="str">
        <f t="shared" si="113"/>
        <v/>
      </c>
      <c r="H298" s="628" t="str">
        <f t="shared" si="113"/>
        <v/>
      </c>
      <c r="I298" s="628" t="str">
        <f t="shared" si="113"/>
        <v/>
      </c>
      <c r="J298" s="628" t="str">
        <f t="shared" si="113"/>
        <v/>
      </c>
      <c r="K298" s="628" t="str">
        <f t="shared" si="113"/>
        <v/>
      </c>
      <c r="L298" s="628" t="str">
        <f t="shared" si="113"/>
        <v/>
      </c>
      <c r="M298" s="628" t="str">
        <f t="shared" si="113"/>
        <v/>
      </c>
      <c r="N298" s="628" t="str">
        <f t="shared" si="113"/>
        <v/>
      </c>
      <c r="O298" s="628" t="str">
        <f t="shared" si="113"/>
        <v/>
      </c>
      <c r="P298" s="628" t="str">
        <f t="shared" si="113"/>
        <v/>
      </c>
      <c r="Q298" s="628" t="str">
        <f t="shared" si="113"/>
        <v/>
      </c>
      <c r="R298" s="628" t="str">
        <f t="shared" si="113"/>
        <v/>
      </c>
      <c r="S298" s="628" t="str">
        <f t="shared" si="113"/>
        <v/>
      </c>
      <c r="T298" s="628" t="str">
        <f t="shared" si="113"/>
        <v/>
      </c>
      <c r="U298" s="628" t="str">
        <f t="shared" si="113"/>
        <v/>
      </c>
      <c r="V298" s="628" t="str">
        <f t="shared" si="113"/>
        <v xml:space="preserve">Qty: </v>
      </c>
      <c r="W298" s="628" t="str">
        <f t="shared" si="113"/>
        <v/>
      </c>
      <c r="X298" s="628" t="str">
        <f t="shared" si="113"/>
        <v/>
      </c>
      <c r="Y298" s="628" t="str">
        <f t="shared" si="113"/>
        <v/>
      </c>
      <c r="Z298" s="628" t="str">
        <f t="shared" si="113"/>
        <v/>
      </c>
      <c r="AA298" s="628" t="str">
        <f t="shared" si="113"/>
        <v/>
      </c>
      <c r="AB298" s="628" t="str">
        <f t="shared" si="113"/>
        <v/>
      </c>
      <c r="AC298" s="628" t="str">
        <f t="shared" si="113"/>
        <v/>
      </c>
      <c r="AD298" s="628" t="str">
        <f t="shared" si="113"/>
        <v>x $500 per unit=</v>
      </c>
      <c r="AE298" s="628" t="str">
        <f t="shared" si="113"/>
        <v>$</v>
      </c>
      <c r="AF298" s="628" t="str">
        <f t="shared" si="113"/>
        <v/>
      </c>
      <c r="AG298" s="628" t="str">
        <f t="shared" si="113"/>
        <v/>
      </c>
      <c r="AH298" s="628" t="str">
        <f t="shared" si="113"/>
        <v/>
      </c>
      <c r="AI298" s="638" t="str">
        <f t="shared" si="113"/>
        <v/>
      </c>
      <c r="AJ298" s="504"/>
      <c r="AK298" s="627"/>
      <c r="AL298" s="629"/>
      <c r="AM298" s="627"/>
      <c r="AN298" s="627"/>
      <c r="AO298" s="627"/>
      <c r="AP298" s="627"/>
      <c r="AQ298" s="627"/>
      <c r="AR298" s="627"/>
      <c r="AS298" s="627"/>
      <c r="AT298" s="627"/>
      <c r="AU298" s="627"/>
      <c r="AV298" s="627"/>
      <c r="AW298" s="627"/>
      <c r="AX298" s="627"/>
      <c r="AY298" s="627"/>
      <c r="AZ298" s="627"/>
      <c r="BA298" s="627"/>
      <c r="BB298" s="627"/>
      <c r="BC298" s="627"/>
      <c r="BD298" s="627"/>
      <c r="BE298" s="627"/>
      <c r="BF298" s="627"/>
      <c r="BG298" s="627"/>
      <c r="BH298" s="627"/>
      <c r="BI298" s="627"/>
      <c r="BJ298" s="627"/>
      <c r="BK298" s="627"/>
      <c r="BL298" s="627"/>
      <c r="BM298" s="627"/>
      <c r="BN298" s="627"/>
      <c r="BO298" s="627"/>
      <c r="BP298" s="627"/>
      <c r="BQ298" s="627"/>
      <c r="BR298" s="627"/>
      <c r="BS298" s="627"/>
      <c r="BT298" s="627"/>
      <c r="BU298" s="627"/>
      <c r="BV298" s="627"/>
      <c r="BW298" s="627"/>
      <c r="BX298" s="627"/>
      <c r="BY298" s="627"/>
      <c r="BZ298" s="627"/>
      <c r="CA298" s="690"/>
      <c r="CB298" s="690"/>
      <c r="CC298" s="690"/>
      <c r="CD298" s="690"/>
      <c r="CE298" s="690"/>
      <c r="CF298" s="690"/>
      <c r="CG298" s="690"/>
      <c r="CH298" s="690"/>
      <c r="CI298" s="690"/>
      <c r="CJ298" s="690"/>
      <c r="CK298" s="690"/>
      <c r="CL298" s="690"/>
      <c r="CM298" s="690"/>
      <c r="CN298" s="690"/>
      <c r="CO298" s="690"/>
      <c r="CP298" s="690"/>
      <c r="CQ298" s="690"/>
      <c r="CR298" s="690"/>
      <c r="CS298" s="690"/>
      <c r="CT298" s="690"/>
      <c r="CU298" s="690"/>
      <c r="CV298" s="690"/>
      <c r="CW298" s="690"/>
      <c r="CX298" s="690"/>
      <c r="CY298" s="690"/>
      <c r="CZ298" s="690"/>
      <c r="DA298" s="690"/>
      <c r="DB298" s="690"/>
      <c r="DC298" s="690"/>
    </row>
    <row r="299" spans="1:107" s="630" customFormat="1" ht="12.75" hidden="1" customHeight="1">
      <c r="A299" s="504"/>
      <c r="B299" s="636" t="str">
        <f t="shared" ref="B299:AI299" si="114">IF(B84="","",B84)</f>
        <v/>
      </c>
      <c r="C299" s="628" t="str">
        <f t="shared" si="114"/>
        <v>E2 - High Efficiency Battery Charger</v>
      </c>
      <c r="D299" s="628" t="str">
        <f t="shared" si="114"/>
        <v/>
      </c>
      <c r="E299" s="628" t="str">
        <f t="shared" si="114"/>
        <v/>
      </c>
      <c r="F299" s="628" t="str">
        <f t="shared" si="114"/>
        <v/>
      </c>
      <c r="G299" s="628" t="str">
        <f t="shared" si="114"/>
        <v/>
      </c>
      <c r="H299" s="628" t="str">
        <f t="shared" si="114"/>
        <v/>
      </c>
      <c r="I299" s="628" t="str">
        <f t="shared" si="114"/>
        <v/>
      </c>
      <c r="J299" s="628" t="str">
        <f t="shared" si="114"/>
        <v/>
      </c>
      <c r="K299" s="628" t="str">
        <f t="shared" si="114"/>
        <v/>
      </c>
      <c r="L299" s="628" t="str">
        <f t="shared" si="114"/>
        <v/>
      </c>
      <c r="M299" s="628" t="str">
        <f t="shared" si="114"/>
        <v/>
      </c>
      <c r="N299" s="628" t="str">
        <f t="shared" si="114"/>
        <v/>
      </c>
      <c r="O299" s="628" t="str">
        <f t="shared" si="114"/>
        <v/>
      </c>
      <c r="P299" s="628" t="str">
        <f t="shared" si="114"/>
        <v xml:space="preserve">Single Phase Qty: </v>
      </c>
      <c r="Q299" s="628" t="str">
        <f t="shared" si="114"/>
        <v/>
      </c>
      <c r="R299" s="628" t="str">
        <f t="shared" si="114"/>
        <v/>
      </c>
      <c r="S299" s="628" t="str">
        <f t="shared" si="114"/>
        <v/>
      </c>
      <c r="T299" s="628" t="str">
        <f t="shared" si="114"/>
        <v/>
      </c>
      <c r="U299" s="628" t="str">
        <f t="shared" si="114"/>
        <v/>
      </c>
      <c r="V299" s="628" t="str">
        <f t="shared" si="114"/>
        <v xml:space="preserve">Three Phase Qty: </v>
      </c>
      <c r="W299" s="628" t="str">
        <f t="shared" si="114"/>
        <v/>
      </c>
      <c r="X299" s="628" t="str">
        <f t="shared" si="114"/>
        <v/>
      </c>
      <c r="Y299" s="628" t="str">
        <f t="shared" si="114"/>
        <v/>
      </c>
      <c r="Z299" s="628" t="str">
        <f t="shared" si="114"/>
        <v/>
      </c>
      <c r="AA299" s="628" t="str">
        <f t="shared" si="114"/>
        <v/>
      </c>
      <c r="AB299" s="628" t="str">
        <f t="shared" si="114"/>
        <v/>
      </c>
      <c r="AC299" s="628" t="str">
        <f t="shared" si="114"/>
        <v/>
      </c>
      <c r="AD299" s="628" t="str">
        <f t="shared" si="114"/>
        <v>x $200 per unit=</v>
      </c>
      <c r="AE299" s="628" t="str">
        <f t="shared" si="114"/>
        <v>$</v>
      </c>
      <c r="AF299" s="628" t="str">
        <f t="shared" si="114"/>
        <v/>
      </c>
      <c r="AG299" s="628" t="str">
        <f t="shared" si="114"/>
        <v/>
      </c>
      <c r="AH299" s="628" t="str">
        <f t="shared" si="114"/>
        <v/>
      </c>
      <c r="AI299" s="638" t="str">
        <f t="shared" si="114"/>
        <v/>
      </c>
      <c r="AJ299" s="504"/>
      <c r="AK299" s="627"/>
      <c r="AL299" s="629"/>
      <c r="AM299" s="627"/>
      <c r="AN299" s="627"/>
      <c r="AO299" s="627"/>
      <c r="AP299" s="627"/>
      <c r="AQ299" s="627"/>
      <c r="AR299" s="627"/>
      <c r="AS299" s="627"/>
      <c r="AT299" s="627"/>
      <c r="AU299" s="627"/>
      <c r="AV299" s="627"/>
      <c r="AW299" s="627"/>
      <c r="AX299" s="627"/>
      <c r="AY299" s="627"/>
      <c r="AZ299" s="627"/>
      <c r="BA299" s="627"/>
      <c r="BB299" s="627"/>
      <c r="BC299" s="627"/>
      <c r="BD299" s="627"/>
      <c r="BE299" s="627"/>
      <c r="BF299" s="627"/>
      <c r="BG299" s="627"/>
      <c r="BH299" s="627"/>
      <c r="BI299" s="627"/>
      <c r="BJ299" s="627"/>
      <c r="BK299" s="627"/>
      <c r="BL299" s="627"/>
      <c r="BM299" s="627"/>
      <c r="BN299" s="627"/>
      <c r="BO299" s="627"/>
      <c r="BP299" s="627"/>
      <c r="BQ299" s="627"/>
      <c r="BR299" s="627"/>
      <c r="BS299" s="627"/>
      <c r="BT299" s="627"/>
      <c r="BU299" s="627"/>
      <c r="BV299" s="627"/>
      <c r="BW299" s="627"/>
      <c r="BX299" s="627"/>
      <c r="BY299" s="627"/>
      <c r="BZ299" s="627"/>
      <c r="CA299" s="690"/>
      <c r="CB299" s="690"/>
      <c r="CC299" s="690"/>
      <c r="CD299" s="690"/>
      <c r="CE299" s="690"/>
      <c r="CF299" s="690"/>
      <c r="CG299" s="690"/>
      <c r="CH299" s="690"/>
      <c r="CI299" s="690"/>
      <c r="CJ299" s="690"/>
      <c r="CK299" s="690"/>
      <c r="CL299" s="690"/>
      <c r="CM299" s="690"/>
      <c r="CN299" s="690"/>
      <c r="CO299" s="690"/>
      <c r="CP299" s="690"/>
      <c r="CQ299" s="690"/>
      <c r="CR299" s="690"/>
      <c r="CS299" s="690"/>
      <c r="CT299" s="690"/>
      <c r="CU299" s="690"/>
      <c r="CV299" s="690"/>
      <c r="CW299" s="690"/>
      <c r="CX299" s="690"/>
      <c r="CY299" s="690"/>
      <c r="CZ299" s="690"/>
      <c r="DA299" s="690"/>
      <c r="DB299" s="690"/>
      <c r="DC299" s="690"/>
    </row>
    <row r="300" spans="1:107" s="630" customFormat="1" ht="12.75" hidden="1" customHeight="1">
      <c r="A300" s="504"/>
      <c r="B300" s="636" t="str">
        <f t="shared" ref="B300:AI300" si="115">IF(B85="","",B85)</f>
        <v/>
      </c>
      <c r="C300" s="628" t="str">
        <f t="shared" si="115"/>
        <v/>
      </c>
      <c r="D300" s="628" t="str">
        <f t="shared" si="115"/>
        <v>Power conversion 89% or better and maintenance power less than 10 W.</v>
      </c>
      <c r="E300" s="628" t="str">
        <f t="shared" si="115"/>
        <v/>
      </c>
      <c r="F300" s="628" t="str">
        <f t="shared" si="115"/>
        <v/>
      </c>
      <c r="G300" s="628" t="str">
        <f t="shared" si="115"/>
        <v/>
      </c>
      <c r="H300" s="628" t="str">
        <f t="shared" si="115"/>
        <v/>
      </c>
      <c r="I300" s="628" t="str">
        <f t="shared" si="115"/>
        <v/>
      </c>
      <c r="J300" s="628" t="str">
        <f t="shared" si="115"/>
        <v/>
      </c>
      <c r="K300" s="628" t="str">
        <f t="shared" si="115"/>
        <v/>
      </c>
      <c r="L300" s="628" t="str">
        <f t="shared" si="115"/>
        <v/>
      </c>
      <c r="M300" s="628" t="str">
        <f t="shared" si="115"/>
        <v/>
      </c>
      <c r="N300" s="628" t="str">
        <f t="shared" si="115"/>
        <v/>
      </c>
      <c r="O300" s="628" t="str">
        <f t="shared" si="115"/>
        <v/>
      </c>
      <c r="P300" s="628" t="str">
        <f t="shared" si="115"/>
        <v/>
      </c>
      <c r="Q300" s="628" t="str">
        <f t="shared" si="115"/>
        <v/>
      </c>
      <c r="R300" s="628" t="str">
        <f t="shared" si="115"/>
        <v/>
      </c>
      <c r="S300" s="628" t="str">
        <f t="shared" si="115"/>
        <v/>
      </c>
      <c r="T300" s="628" t="str">
        <f t="shared" si="115"/>
        <v/>
      </c>
      <c r="U300" s="628" t="str">
        <f t="shared" si="115"/>
        <v/>
      </c>
      <c r="V300" s="628" t="str">
        <f t="shared" si="115"/>
        <v/>
      </c>
      <c r="W300" s="628" t="str">
        <f t="shared" si="115"/>
        <v/>
      </c>
      <c r="X300" s="628" t="str">
        <f t="shared" si="115"/>
        <v/>
      </c>
      <c r="Y300" s="628" t="str">
        <f t="shared" si="115"/>
        <v/>
      </c>
      <c r="Z300" s="628" t="str">
        <f t="shared" si="115"/>
        <v/>
      </c>
      <c r="AA300" s="628" t="str">
        <f t="shared" si="115"/>
        <v/>
      </c>
      <c r="AB300" s="628" t="str">
        <f t="shared" si="115"/>
        <v/>
      </c>
      <c r="AC300" s="628" t="str">
        <f t="shared" si="115"/>
        <v/>
      </c>
      <c r="AD300" s="628" t="str">
        <f t="shared" si="115"/>
        <v/>
      </c>
      <c r="AE300" s="628" t="str">
        <f t="shared" si="115"/>
        <v/>
      </c>
      <c r="AF300" s="628" t="str">
        <f t="shared" si="115"/>
        <v/>
      </c>
      <c r="AG300" s="628" t="str">
        <f t="shared" si="115"/>
        <v/>
      </c>
      <c r="AH300" s="628" t="str">
        <f t="shared" si="115"/>
        <v/>
      </c>
      <c r="AI300" s="638" t="str">
        <f t="shared" si="115"/>
        <v/>
      </c>
      <c r="AJ300" s="504"/>
      <c r="AK300" s="627"/>
      <c r="AL300" s="629"/>
      <c r="AM300" s="627"/>
      <c r="AN300" s="627"/>
      <c r="AO300" s="627"/>
      <c r="AP300" s="627"/>
      <c r="AQ300" s="627"/>
      <c r="AR300" s="627"/>
      <c r="AS300" s="627"/>
      <c r="AT300" s="627"/>
      <c r="AU300" s="627"/>
      <c r="AV300" s="627"/>
      <c r="AW300" s="627"/>
      <c r="AX300" s="627"/>
      <c r="AY300" s="627"/>
      <c r="AZ300" s="627"/>
      <c r="BA300" s="627"/>
      <c r="BB300" s="627"/>
      <c r="BC300" s="627"/>
      <c r="BD300" s="627"/>
      <c r="BE300" s="627"/>
      <c r="BF300" s="627"/>
      <c r="BG300" s="627"/>
      <c r="BH300" s="627"/>
      <c r="BI300" s="627"/>
      <c r="BJ300" s="627"/>
      <c r="BK300" s="627"/>
      <c r="BL300" s="627"/>
      <c r="BM300" s="627"/>
      <c r="BN300" s="627"/>
      <c r="BO300" s="627"/>
      <c r="BP300" s="627"/>
      <c r="BQ300" s="627"/>
      <c r="BR300" s="627"/>
      <c r="BS300" s="627"/>
      <c r="BT300" s="627"/>
      <c r="BU300" s="627"/>
      <c r="BV300" s="627"/>
      <c r="BW300" s="627"/>
      <c r="BX300" s="627"/>
      <c r="BY300" s="627"/>
      <c r="BZ300" s="627"/>
      <c r="CA300" s="690"/>
      <c r="CB300" s="690"/>
      <c r="CC300" s="690"/>
      <c r="CD300" s="690"/>
      <c r="CE300" s="690"/>
      <c r="CF300" s="690"/>
      <c r="CG300" s="690"/>
      <c r="CH300" s="690"/>
      <c r="CI300" s="690"/>
      <c r="CJ300" s="690"/>
      <c r="CK300" s="690"/>
      <c r="CL300" s="690"/>
      <c r="CM300" s="690"/>
      <c r="CN300" s="690"/>
      <c r="CO300" s="690"/>
      <c r="CP300" s="690"/>
      <c r="CQ300" s="690"/>
      <c r="CR300" s="690"/>
      <c r="CS300" s="690"/>
      <c r="CT300" s="690"/>
      <c r="CU300" s="690"/>
      <c r="CV300" s="690"/>
      <c r="CW300" s="690"/>
      <c r="CX300" s="690"/>
      <c r="CY300" s="690"/>
      <c r="CZ300" s="690"/>
      <c r="DA300" s="690"/>
      <c r="DB300" s="690"/>
      <c r="DC300" s="690"/>
    </row>
    <row r="301" spans="1:107" s="630" customFormat="1" ht="12.75" hidden="1" customHeight="1">
      <c r="A301" s="504"/>
      <c r="B301" s="636" t="str">
        <f t="shared" ref="B301:AI301" si="116">IF(B86="","",B86)</f>
        <v/>
      </c>
      <c r="C301" s="628" t="str">
        <f t="shared" si="116"/>
        <v>E3a - Wall Mounted Block Heater Controls</v>
      </c>
      <c r="D301" s="628" t="str">
        <f t="shared" si="116"/>
        <v/>
      </c>
      <c r="E301" s="628" t="str">
        <f t="shared" si="116"/>
        <v/>
      </c>
      <c r="F301" s="628" t="str">
        <f t="shared" si="116"/>
        <v/>
      </c>
      <c r="G301" s="628" t="str">
        <f t="shared" si="116"/>
        <v/>
      </c>
      <c r="H301" s="628" t="str">
        <f t="shared" si="116"/>
        <v/>
      </c>
      <c r="I301" s="628" t="str">
        <f t="shared" si="116"/>
        <v/>
      </c>
      <c r="J301" s="628" t="str">
        <f t="shared" si="116"/>
        <v/>
      </c>
      <c r="K301" s="628" t="str">
        <f t="shared" si="116"/>
        <v/>
      </c>
      <c r="L301" s="628" t="str">
        <f t="shared" si="116"/>
        <v/>
      </c>
      <c r="M301" s="628" t="str">
        <f t="shared" si="116"/>
        <v/>
      </c>
      <c r="N301" s="628" t="str">
        <f t="shared" si="116"/>
        <v/>
      </c>
      <c r="O301" s="628" t="str">
        <f t="shared" si="116"/>
        <v/>
      </c>
      <c r="P301" s="628" t="str">
        <f t="shared" si="116"/>
        <v/>
      </c>
      <c r="Q301" s="628" t="str">
        <f t="shared" si="116"/>
        <v/>
      </c>
      <c r="R301" s="628" t="str">
        <f t="shared" si="116"/>
        <v/>
      </c>
      <c r="S301" s="628" t="str">
        <f t="shared" si="116"/>
        <v/>
      </c>
      <c r="T301" s="628" t="str">
        <f t="shared" si="116"/>
        <v/>
      </c>
      <c r="U301" s="628" t="str">
        <f t="shared" si="116"/>
        <v/>
      </c>
      <c r="V301" s="628" t="str">
        <f t="shared" si="116"/>
        <v xml:space="preserve">Total Eligible: </v>
      </c>
      <c r="W301" s="628" t="str">
        <f t="shared" si="116"/>
        <v/>
      </c>
      <c r="X301" s="628" t="str">
        <f t="shared" si="116"/>
        <v/>
      </c>
      <c r="Y301" s="628" t="str">
        <f t="shared" si="116"/>
        <v>unit(s)</v>
      </c>
      <c r="Z301" s="628" t="str">
        <f t="shared" si="116"/>
        <v/>
      </c>
      <c r="AA301" s="628" t="str">
        <f t="shared" si="116"/>
        <v/>
      </c>
      <c r="AB301" s="628" t="str">
        <f t="shared" si="116"/>
        <v/>
      </c>
      <c r="AC301" s="628" t="str">
        <f t="shared" si="116"/>
        <v/>
      </c>
      <c r="AD301" s="628" t="str">
        <f t="shared" si="116"/>
        <v>x $50 per unit=</v>
      </c>
      <c r="AE301" s="628" t="str">
        <f t="shared" si="116"/>
        <v>$</v>
      </c>
      <c r="AF301" s="628" t="str">
        <f t="shared" si="116"/>
        <v/>
      </c>
      <c r="AG301" s="628" t="str">
        <f t="shared" si="116"/>
        <v/>
      </c>
      <c r="AH301" s="628" t="str">
        <f t="shared" si="116"/>
        <v/>
      </c>
      <c r="AI301" s="638" t="str">
        <f t="shared" si="116"/>
        <v/>
      </c>
      <c r="AJ301" s="504"/>
      <c r="AK301" s="627"/>
      <c r="AL301" s="629"/>
      <c r="AM301" s="627"/>
      <c r="AN301" s="627"/>
      <c r="AO301" s="627"/>
      <c r="AP301" s="627"/>
      <c r="AQ301" s="627"/>
      <c r="AR301" s="627"/>
      <c r="AS301" s="627"/>
      <c r="AT301" s="627"/>
      <c r="AU301" s="627"/>
      <c r="AV301" s="627"/>
      <c r="AW301" s="627"/>
      <c r="AX301" s="627"/>
      <c r="AY301" s="627"/>
      <c r="AZ301" s="627"/>
      <c r="BA301" s="627"/>
      <c r="BB301" s="627"/>
      <c r="BC301" s="627"/>
      <c r="BD301" s="627"/>
      <c r="BE301" s="627"/>
      <c r="BF301" s="627"/>
      <c r="BG301" s="627"/>
      <c r="BH301" s="627"/>
      <c r="BI301" s="627"/>
      <c r="BJ301" s="627"/>
      <c r="BK301" s="627"/>
      <c r="BL301" s="627"/>
      <c r="BM301" s="627"/>
      <c r="BN301" s="627"/>
      <c r="BO301" s="627"/>
      <c r="BP301" s="627"/>
      <c r="BQ301" s="627"/>
      <c r="BR301" s="627"/>
      <c r="BS301" s="627"/>
      <c r="BT301" s="627"/>
      <c r="BU301" s="627"/>
      <c r="BV301" s="627"/>
      <c r="BW301" s="627"/>
      <c r="BX301" s="627"/>
      <c r="BY301" s="627"/>
      <c r="BZ301" s="627"/>
      <c r="CA301" s="690"/>
      <c r="CB301" s="690"/>
      <c r="CC301" s="690"/>
      <c r="CD301" s="690"/>
      <c r="CE301" s="690"/>
      <c r="CF301" s="690"/>
      <c r="CG301" s="690"/>
      <c r="CH301" s="690"/>
      <c r="CI301" s="690"/>
      <c r="CJ301" s="690"/>
      <c r="CK301" s="690"/>
      <c r="CL301" s="690"/>
      <c r="CM301" s="690"/>
      <c r="CN301" s="690"/>
      <c r="CO301" s="690"/>
      <c r="CP301" s="690"/>
      <c r="CQ301" s="690"/>
      <c r="CR301" s="690"/>
      <c r="CS301" s="690"/>
      <c r="CT301" s="690"/>
      <c r="CU301" s="690"/>
      <c r="CV301" s="690"/>
      <c r="CW301" s="690"/>
      <c r="CX301" s="690"/>
      <c r="CY301" s="690"/>
      <c r="CZ301" s="690"/>
      <c r="DA301" s="690"/>
      <c r="DB301" s="690"/>
      <c r="DC301" s="690"/>
    </row>
    <row r="302" spans="1:107" s="630" customFormat="1" ht="12.75" hidden="1" customHeight="1">
      <c r="A302" s="504"/>
      <c r="B302" s="636" t="str">
        <f t="shared" ref="B302:AI302" si="117">IF(B87="","",B87)</f>
        <v/>
      </c>
      <c r="C302" s="628" t="str">
        <f t="shared" si="117"/>
        <v>E3b - Engine Mounted Block Heater Controls</v>
      </c>
      <c r="D302" s="628" t="str">
        <f t="shared" si="117"/>
        <v/>
      </c>
      <c r="E302" s="628" t="str">
        <f t="shared" si="117"/>
        <v/>
      </c>
      <c r="F302" s="628" t="str">
        <f t="shared" si="117"/>
        <v/>
      </c>
      <c r="G302" s="628" t="str">
        <f t="shared" si="117"/>
        <v/>
      </c>
      <c r="H302" s="628" t="str">
        <f t="shared" si="117"/>
        <v/>
      </c>
      <c r="I302" s="628" t="str">
        <f t="shared" si="117"/>
        <v/>
      </c>
      <c r="J302" s="628" t="str">
        <f t="shared" si="117"/>
        <v/>
      </c>
      <c r="K302" s="628" t="str">
        <f t="shared" si="117"/>
        <v/>
      </c>
      <c r="L302" s="628" t="str">
        <f t="shared" si="117"/>
        <v/>
      </c>
      <c r="M302" s="628" t="str">
        <f t="shared" si="117"/>
        <v/>
      </c>
      <c r="N302" s="628" t="str">
        <f t="shared" si="117"/>
        <v/>
      </c>
      <c r="O302" s="628" t="str">
        <f t="shared" si="117"/>
        <v/>
      </c>
      <c r="P302" s="628" t="str">
        <f t="shared" si="117"/>
        <v/>
      </c>
      <c r="Q302" s="628" t="str">
        <f t="shared" si="117"/>
        <v/>
      </c>
      <c r="R302" s="628" t="str">
        <f t="shared" si="117"/>
        <v/>
      </c>
      <c r="S302" s="628" t="str">
        <f t="shared" si="117"/>
        <v/>
      </c>
      <c r="T302" s="628" t="str">
        <f t="shared" si="117"/>
        <v/>
      </c>
      <c r="U302" s="628" t="str">
        <f t="shared" si="117"/>
        <v/>
      </c>
      <c r="V302" s="628" t="str">
        <f t="shared" si="117"/>
        <v xml:space="preserve">Total Eligible: </v>
      </c>
      <c r="W302" s="628" t="str">
        <f t="shared" si="117"/>
        <v/>
      </c>
      <c r="X302" s="628" t="str">
        <f t="shared" si="117"/>
        <v/>
      </c>
      <c r="Y302" s="628" t="str">
        <f t="shared" si="117"/>
        <v>unit(s)</v>
      </c>
      <c r="Z302" s="628" t="str">
        <f t="shared" si="117"/>
        <v/>
      </c>
      <c r="AA302" s="628" t="str">
        <f t="shared" si="117"/>
        <v/>
      </c>
      <c r="AB302" s="628" t="str">
        <f t="shared" si="117"/>
        <v/>
      </c>
      <c r="AC302" s="628" t="str">
        <f t="shared" si="117"/>
        <v/>
      </c>
      <c r="AD302" s="628" t="str">
        <f t="shared" si="117"/>
        <v>x $100 per unit=</v>
      </c>
      <c r="AE302" s="628" t="str">
        <f t="shared" si="117"/>
        <v>$</v>
      </c>
      <c r="AF302" s="628" t="str">
        <f t="shared" si="117"/>
        <v/>
      </c>
      <c r="AG302" s="628" t="str">
        <f t="shared" si="117"/>
        <v/>
      </c>
      <c r="AH302" s="628" t="str">
        <f t="shared" si="117"/>
        <v/>
      </c>
      <c r="AI302" s="638" t="str">
        <f t="shared" si="117"/>
        <v/>
      </c>
      <c r="AJ302" s="504"/>
      <c r="AK302" s="627"/>
      <c r="AL302" s="629"/>
      <c r="AM302" s="627"/>
      <c r="AN302" s="627"/>
      <c r="AO302" s="627"/>
      <c r="AP302" s="627"/>
      <c r="AQ302" s="627"/>
      <c r="AR302" s="627"/>
      <c r="AS302" s="627"/>
      <c r="AT302" s="627"/>
      <c r="AU302" s="627"/>
      <c r="AV302" s="627"/>
      <c r="AW302" s="627"/>
      <c r="AX302" s="627"/>
      <c r="AY302" s="627"/>
      <c r="AZ302" s="627"/>
      <c r="BA302" s="627"/>
      <c r="BB302" s="627"/>
      <c r="BC302" s="627"/>
      <c r="BD302" s="627"/>
      <c r="BE302" s="627"/>
      <c r="BF302" s="627"/>
      <c r="BG302" s="627"/>
      <c r="BH302" s="627"/>
      <c r="BI302" s="627"/>
      <c r="BJ302" s="627"/>
      <c r="BK302" s="627"/>
      <c r="BL302" s="627"/>
      <c r="BM302" s="627"/>
      <c r="BN302" s="627"/>
      <c r="BO302" s="627"/>
      <c r="BP302" s="627"/>
      <c r="BQ302" s="627"/>
      <c r="BR302" s="627"/>
      <c r="BS302" s="627"/>
      <c r="BT302" s="627"/>
      <c r="BU302" s="627"/>
      <c r="BV302" s="627"/>
      <c r="BW302" s="627"/>
      <c r="BX302" s="627"/>
      <c r="BY302" s="627"/>
      <c r="BZ302" s="627"/>
      <c r="CA302" s="690"/>
      <c r="CB302" s="690"/>
      <c r="CC302" s="690"/>
      <c r="CD302" s="690"/>
      <c r="CE302" s="690"/>
      <c r="CF302" s="690"/>
      <c r="CG302" s="690"/>
      <c r="CH302" s="690"/>
      <c r="CI302" s="690"/>
      <c r="CJ302" s="690"/>
      <c r="CK302" s="690"/>
      <c r="CL302" s="690"/>
      <c r="CM302" s="690"/>
      <c r="CN302" s="690"/>
      <c r="CO302" s="690"/>
      <c r="CP302" s="690"/>
      <c r="CQ302" s="690"/>
      <c r="CR302" s="690"/>
      <c r="CS302" s="690"/>
      <c r="CT302" s="690"/>
      <c r="CU302" s="690"/>
      <c r="CV302" s="690"/>
      <c r="CW302" s="690"/>
      <c r="CX302" s="690"/>
      <c r="CY302" s="690"/>
      <c r="CZ302" s="690"/>
      <c r="DA302" s="690"/>
      <c r="DB302" s="690"/>
      <c r="DC302" s="690"/>
    </row>
    <row r="303" spans="1:107" s="630" customFormat="1" ht="12.75" hidden="1" customHeight="1">
      <c r="A303" s="504"/>
      <c r="B303" s="636" t="str">
        <f t="shared" ref="B303:AI303" si="118">IF(B88="","",B88)</f>
        <v/>
      </c>
      <c r="C303" s="628" t="str">
        <f t="shared" si="118"/>
        <v/>
      </c>
      <c r="D303" s="628" t="str">
        <f t="shared" si="118"/>
        <v/>
      </c>
      <c r="E303" s="628" t="str">
        <f t="shared" si="118"/>
        <v/>
      </c>
      <c r="F303" s="628" t="str">
        <f t="shared" si="118"/>
        <v/>
      </c>
      <c r="G303" s="628" t="str">
        <f t="shared" si="118"/>
        <v/>
      </c>
      <c r="H303" s="628" t="str">
        <f t="shared" si="118"/>
        <v/>
      </c>
      <c r="I303" s="628" t="str">
        <f t="shared" si="118"/>
        <v/>
      </c>
      <c r="J303" s="628" t="str">
        <f t="shared" si="118"/>
        <v/>
      </c>
      <c r="K303" s="628" t="str">
        <f t="shared" si="118"/>
        <v/>
      </c>
      <c r="L303" s="628" t="str">
        <f t="shared" si="118"/>
        <v/>
      </c>
      <c r="M303" s="628" t="str">
        <f t="shared" si="118"/>
        <v/>
      </c>
      <c r="N303" s="628" t="str">
        <f t="shared" si="118"/>
        <v/>
      </c>
      <c r="O303" s="628" t="str">
        <f t="shared" si="118"/>
        <v/>
      </c>
      <c r="P303" s="628" t="str">
        <f t="shared" si="118"/>
        <v/>
      </c>
      <c r="Q303" s="628" t="str">
        <f t="shared" si="118"/>
        <v/>
      </c>
      <c r="R303" s="628" t="str">
        <f t="shared" si="118"/>
        <v/>
      </c>
      <c r="S303" s="628" t="str">
        <f t="shared" si="118"/>
        <v/>
      </c>
      <c r="T303" s="628" t="str">
        <f t="shared" si="118"/>
        <v/>
      </c>
      <c r="U303" s="628" t="str">
        <f t="shared" si="118"/>
        <v/>
      </c>
      <c r="V303" s="628" t="str">
        <f t="shared" si="118"/>
        <v/>
      </c>
      <c r="W303" s="628" t="str">
        <f t="shared" si="118"/>
        <v/>
      </c>
      <c r="X303" s="628" t="str">
        <f t="shared" si="118"/>
        <v/>
      </c>
      <c r="Y303" s="628" t="str">
        <f t="shared" si="118"/>
        <v/>
      </c>
      <c r="Z303" s="628" t="str">
        <f t="shared" si="118"/>
        <v/>
      </c>
      <c r="AA303" s="628" t="str">
        <f t="shared" si="118"/>
        <v/>
      </c>
      <c r="AB303" s="628" t="str">
        <f t="shared" si="118"/>
        <v/>
      </c>
      <c r="AC303" s="628" t="str">
        <f t="shared" si="118"/>
        <v/>
      </c>
      <c r="AD303" s="628" t="str">
        <f t="shared" si="118"/>
        <v/>
      </c>
      <c r="AE303" s="628" t="str">
        <f t="shared" si="118"/>
        <v/>
      </c>
      <c r="AF303" s="628" t="str">
        <f t="shared" si="118"/>
        <v/>
      </c>
      <c r="AG303" s="628" t="str">
        <f t="shared" si="118"/>
        <v/>
      </c>
      <c r="AH303" s="628" t="str">
        <f t="shared" si="118"/>
        <v/>
      </c>
      <c r="AI303" s="638" t="str">
        <f t="shared" si="118"/>
        <v/>
      </c>
      <c r="AJ303" s="504"/>
      <c r="AK303" s="627"/>
      <c r="AL303" s="629"/>
      <c r="AM303" s="627"/>
      <c r="AN303" s="627"/>
      <c r="AO303" s="627"/>
      <c r="AP303" s="627"/>
      <c r="AQ303" s="627"/>
      <c r="AR303" s="627"/>
      <c r="AS303" s="627"/>
      <c r="AT303" s="627"/>
      <c r="AU303" s="627"/>
      <c r="AV303" s="627"/>
      <c r="AW303" s="627"/>
      <c r="AX303" s="627"/>
      <c r="AY303" s="627"/>
      <c r="AZ303" s="627"/>
      <c r="BA303" s="627"/>
      <c r="BB303" s="627"/>
      <c r="BC303" s="627"/>
      <c r="BD303" s="627"/>
      <c r="BE303" s="627"/>
      <c r="BF303" s="627"/>
      <c r="BG303" s="627"/>
      <c r="BH303" s="627"/>
      <c r="BI303" s="627"/>
      <c r="BJ303" s="627"/>
      <c r="BK303" s="627"/>
      <c r="BL303" s="627"/>
      <c r="BM303" s="627"/>
      <c r="BN303" s="627"/>
      <c r="BO303" s="627"/>
      <c r="BP303" s="627"/>
      <c r="BQ303" s="627"/>
      <c r="BR303" s="627"/>
      <c r="BS303" s="627"/>
      <c r="BT303" s="627"/>
      <c r="BU303" s="627"/>
      <c r="BV303" s="627"/>
      <c r="BW303" s="627"/>
      <c r="BX303" s="627"/>
      <c r="BY303" s="627"/>
      <c r="BZ303" s="627"/>
      <c r="CA303" s="690"/>
      <c r="CB303" s="690"/>
      <c r="CC303" s="690"/>
      <c r="CD303" s="690"/>
      <c r="CE303" s="690"/>
      <c r="CF303" s="690"/>
      <c r="CG303" s="690"/>
      <c r="CH303" s="690"/>
      <c r="CI303" s="690"/>
      <c r="CJ303" s="690"/>
      <c r="CK303" s="690"/>
      <c r="CL303" s="690"/>
      <c r="CM303" s="690"/>
      <c r="CN303" s="690"/>
      <c r="CO303" s="690"/>
      <c r="CP303" s="690"/>
      <c r="CQ303" s="690"/>
      <c r="CR303" s="690"/>
      <c r="CS303" s="690"/>
      <c r="CT303" s="690"/>
      <c r="CU303" s="690"/>
      <c r="CV303" s="690"/>
      <c r="CW303" s="690"/>
      <c r="CX303" s="690"/>
      <c r="CY303" s="690"/>
      <c r="CZ303" s="690"/>
      <c r="DA303" s="690"/>
      <c r="DB303" s="690"/>
      <c r="DC303" s="690"/>
    </row>
    <row r="304" spans="1:107" s="630" customFormat="1" ht="12.75" hidden="1" customHeight="1">
      <c r="A304" s="504"/>
      <c r="B304" s="636" t="str">
        <f t="shared" ref="B304:AI304" si="119">IF(B89="","",B89)</f>
        <v/>
      </c>
      <c r="C304" s="628" t="str">
        <f t="shared" si="119"/>
        <v/>
      </c>
      <c r="D304" s="628" t="str">
        <f t="shared" si="119"/>
        <v/>
      </c>
      <c r="E304" s="628" t="str">
        <f t="shared" si="119"/>
        <v/>
      </c>
      <c r="F304" s="628" t="str">
        <f t="shared" si="119"/>
        <v/>
      </c>
      <c r="G304" s="628" t="str">
        <f t="shared" si="119"/>
        <v/>
      </c>
      <c r="H304" s="628" t="str">
        <f t="shared" si="119"/>
        <v/>
      </c>
      <c r="I304" s="628" t="str">
        <f t="shared" si="119"/>
        <v/>
      </c>
      <c r="J304" s="628" t="str">
        <f t="shared" si="119"/>
        <v/>
      </c>
      <c r="K304" s="628" t="str">
        <f t="shared" si="119"/>
        <v/>
      </c>
      <c r="L304" s="628" t="str">
        <f t="shared" si="119"/>
        <v/>
      </c>
      <c r="M304" s="628" t="str">
        <f t="shared" si="119"/>
        <v/>
      </c>
      <c r="N304" s="628" t="str">
        <f t="shared" si="119"/>
        <v/>
      </c>
      <c r="O304" s="628" t="str">
        <f t="shared" si="119"/>
        <v/>
      </c>
      <c r="P304" s="628" t="str">
        <f t="shared" si="119"/>
        <v/>
      </c>
      <c r="Q304" s="628" t="str">
        <f t="shared" si="119"/>
        <v/>
      </c>
      <c r="R304" s="628" t="str">
        <f t="shared" si="119"/>
        <v/>
      </c>
      <c r="S304" s="628" t="str">
        <f t="shared" si="119"/>
        <v/>
      </c>
      <c r="T304" s="628" t="str">
        <f t="shared" si="119"/>
        <v/>
      </c>
      <c r="U304" s="628" t="str">
        <f t="shared" si="119"/>
        <v/>
      </c>
      <c r="V304" s="628" t="str">
        <f t="shared" si="119"/>
        <v/>
      </c>
      <c r="W304" s="628" t="str">
        <f t="shared" si="119"/>
        <v/>
      </c>
      <c r="X304" s="628" t="str">
        <f t="shared" si="119"/>
        <v/>
      </c>
      <c r="Y304" s="628" t="str">
        <f t="shared" si="119"/>
        <v/>
      </c>
      <c r="Z304" s="628" t="str">
        <f t="shared" si="119"/>
        <v/>
      </c>
      <c r="AA304" s="628" t="str">
        <f t="shared" si="119"/>
        <v/>
      </c>
      <c r="AB304" s="628" t="str">
        <f t="shared" si="119"/>
        <v/>
      </c>
      <c r="AC304" s="628" t="str">
        <f t="shared" si="119"/>
        <v/>
      </c>
      <c r="AD304" s="628" t="str">
        <f t="shared" si="119"/>
        <v/>
      </c>
      <c r="AE304" s="628" t="str">
        <f t="shared" si="119"/>
        <v/>
      </c>
      <c r="AF304" s="628" t="str">
        <f t="shared" si="119"/>
        <v/>
      </c>
      <c r="AG304" s="628" t="str">
        <f t="shared" si="119"/>
        <v/>
      </c>
      <c r="AH304" s="628" t="str">
        <f t="shared" si="119"/>
        <v/>
      </c>
      <c r="AI304" s="638" t="str">
        <f t="shared" si="119"/>
        <v/>
      </c>
      <c r="AJ304" s="504"/>
      <c r="AK304" s="627"/>
      <c r="AL304" s="629"/>
      <c r="AM304" s="627"/>
      <c r="AN304" s="627"/>
      <c r="AO304" s="627"/>
      <c r="AP304" s="627"/>
      <c r="AQ304" s="627"/>
      <c r="AR304" s="627"/>
      <c r="AS304" s="627"/>
      <c r="AT304" s="627"/>
      <c r="AU304" s="627"/>
      <c r="AV304" s="627"/>
      <c r="AW304" s="627"/>
      <c r="AX304" s="627"/>
      <c r="AY304" s="627"/>
      <c r="AZ304" s="627"/>
      <c r="BA304" s="627"/>
      <c r="BB304" s="627"/>
      <c r="BC304" s="627"/>
      <c r="BD304" s="627"/>
      <c r="BE304" s="627"/>
      <c r="BF304" s="627"/>
      <c r="BG304" s="627"/>
      <c r="BH304" s="627"/>
      <c r="BI304" s="627"/>
      <c r="BJ304" s="627"/>
      <c r="BK304" s="627"/>
      <c r="BL304" s="627"/>
      <c r="BM304" s="627"/>
      <c r="BN304" s="627"/>
      <c r="BO304" s="627"/>
      <c r="BP304" s="627"/>
      <c r="BQ304" s="627"/>
      <c r="BR304" s="627"/>
      <c r="BS304" s="627"/>
      <c r="BT304" s="627"/>
      <c r="BU304" s="627"/>
      <c r="BV304" s="627"/>
      <c r="BW304" s="627"/>
      <c r="BX304" s="627"/>
      <c r="BY304" s="627"/>
      <c r="BZ304" s="627"/>
      <c r="CA304" s="690"/>
      <c r="CB304" s="690"/>
      <c r="CC304" s="690"/>
      <c r="CD304" s="690"/>
      <c r="CE304" s="690"/>
      <c r="CF304" s="690"/>
      <c r="CG304" s="690"/>
      <c r="CH304" s="690"/>
      <c r="CI304" s="690"/>
      <c r="CJ304" s="690"/>
      <c r="CK304" s="690"/>
      <c r="CL304" s="690"/>
      <c r="CM304" s="690"/>
      <c r="CN304" s="690"/>
      <c r="CO304" s="690"/>
      <c r="CP304" s="690"/>
      <c r="CQ304" s="690"/>
      <c r="CR304" s="690"/>
      <c r="CS304" s="690"/>
      <c r="CT304" s="690"/>
      <c r="CU304" s="690"/>
      <c r="CV304" s="690"/>
      <c r="CW304" s="690"/>
      <c r="CX304" s="690"/>
      <c r="CY304" s="690"/>
      <c r="CZ304" s="690"/>
      <c r="DA304" s="690"/>
      <c r="DB304" s="690"/>
      <c r="DC304" s="690"/>
    </row>
    <row r="305" spans="1:107" s="630" customFormat="1" ht="12.75" hidden="1" customHeight="1">
      <c r="A305" s="504"/>
      <c r="B305" s="636" t="str">
        <f t="shared" ref="B305:AI305" si="120">IF(B90="","",B90)</f>
        <v>Refrigeration (Commercial Systems only - Ammonia systems do not qualify for the prescriptive offering on R1)</v>
      </c>
      <c r="C305" s="628" t="str">
        <f t="shared" si="120"/>
        <v/>
      </c>
      <c r="D305" s="628" t="str">
        <f t="shared" si="120"/>
        <v/>
      </c>
      <c r="E305" s="628" t="str">
        <f t="shared" si="120"/>
        <v/>
      </c>
      <c r="F305" s="628" t="str">
        <f t="shared" si="120"/>
        <v/>
      </c>
      <c r="G305" s="628" t="str">
        <f t="shared" si="120"/>
        <v/>
      </c>
      <c r="H305" s="628" t="str">
        <f t="shared" si="120"/>
        <v/>
      </c>
      <c r="I305" s="628" t="str">
        <f t="shared" si="120"/>
        <v/>
      </c>
      <c r="J305" s="628" t="str">
        <f t="shared" si="120"/>
        <v/>
      </c>
      <c r="K305" s="628" t="str">
        <f t="shared" si="120"/>
        <v/>
      </c>
      <c r="L305" s="628" t="str">
        <f t="shared" si="120"/>
        <v/>
      </c>
      <c r="M305" s="628" t="str">
        <f t="shared" si="120"/>
        <v/>
      </c>
      <c r="N305" s="628" t="str">
        <f t="shared" si="120"/>
        <v/>
      </c>
      <c r="O305" s="628" t="str">
        <f t="shared" si="120"/>
        <v/>
      </c>
      <c r="P305" s="628" t="str">
        <f t="shared" si="120"/>
        <v/>
      </c>
      <c r="Q305" s="628" t="str">
        <f t="shared" si="120"/>
        <v/>
      </c>
      <c r="R305" s="628" t="str">
        <f t="shared" si="120"/>
        <v/>
      </c>
      <c r="S305" s="628" t="str">
        <f t="shared" si="120"/>
        <v/>
      </c>
      <c r="T305" s="628" t="str">
        <f t="shared" si="120"/>
        <v/>
      </c>
      <c r="U305" s="628" t="str">
        <f t="shared" si="120"/>
        <v/>
      </c>
      <c r="V305" s="628" t="str">
        <f t="shared" si="120"/>
        <v/>
      </c>
      <c r="W305" s="628" t="str">
        <f t="shared" si="120"/>
        <v/>
      </c>
      <c r="X305" s="628" t="str">
        <f t="shared" si="120"/>
        <v/>
      </c>
      <c r="Y305" s="628" t="str">
        <f t="shared" si="120"/>
        <v/>
      </c>
      <c r="Z305" s="628" t="str">
        <f t="shared" si="120"/>
        <v/>
      </c>
      <c r="AA305" s="628" t="str">
        <f t="shared" si="120"/>
        <v/>
      </c>
      <c r="AB305" s="628" t="str">
        <f t="shared" si="120"/>
        <v/>
      </c>
      <c r="AC305" s="628" t="str">
        <f t="shared" si="120"/>
        <v/>
      </c>
      <c r="AD305" s="628" t="str">
        <f t="shared" si="120"/>
        <v/>
      </c>
      <c r="AE305" s="628" t="str">
        <f t="shared" si="120"/>
        <v/>
      </c>
      <c r="AF305" s="628" t="str">
        <f t="shared" si="120"/>
        <v/>
      </c>
      <c r="AG305" s="628" t="str">
        <f t="shared" si="120"/>
        <v/>
      </c>
      <c r="AH305" s="628" t="str">
        <f t="shared" si="120"/>
        <v/>
      </c>
      <c r="AI305" s="638" t="str">
        <f t="shared" si="120"/>
        <v/>
      </c>
      <c r="AJ305" s="504"/>
      <c r="AK305" s="627"/>
      <c r="AL305" s="629"/>
      <c r="AM305" s="627"/>
      <c r="AN305" s="627"/>
      <c r="AO305" s="627"/>
      <c r="AP305" s="627"/>
      <c r="AQ305" s="627"/>
      <c r="AR305" s="627"/>
      <c r="AS305" s="627"/>
      <c r="AT305" s="627"/>
      <c r="AU305" s="627"/>
      <c r="AV305" s="627"/>
      <c r="AW305" s="627"/>
      <c r="AX305" s="627"/>
      <c r="AY305" s="627"/>
      <c r="AZ305" s="627"/>
      <c r="BA305" s="627"/>
      <c r="BB305" s="627"/>
      <c r="BC305" s="627"/>
      <c r="BD305" s="627"/>
      <c r="BE305" s="627"/>
      <c r="BF305" s="627"/>
      <c r="BG305" s="627"/>
      <c r="BH305" s="627"/>
      <c r="BI305" s="627"/>
      <c r="BJ305" s="627"/>
      <c r="BK305" s="627"/>
      <c r="BL305" s="627"/>
      <c r="BM305" s="627"/>
      <c r="BN305" s="627"/>
      <c r="BO305" s="627"/>
      <c r="BP305" s="627"/>
      <c r="BQ305" s="627"/>
      <c r="BR305" s="627"/>
      <c r="BS305" s="627"/>
      <c r="BT305" s="627"/>
      <c r="BU305" s="627"/>
      <c r="BV305" s="627"/>
      <c r="BW305" s="627"/>
      <c r="BX305" s="627"/>
      <c r="BY305" s="627"/>
      <c r="BZ305" s="627"/>
      <c r="CA305" s="690"/>
      <c r="CB305" s="690"/>
      <c r="CC305" s="690"/>
      <c r="CD305" s="690"/>
      <c r="CE305" s="690"/>
      <c r="CF305" s="690"/>
      <c r="CG305" s="690"/>
      <c r="CH305" s="690"/>
      <c r="CI305" s="690"/>
      <c r="CJ305" s="690"/>
      <c r="CK305" s="690"/>
      <c r="CL305" s="690"/>
      <c r="CM305" s="690"/>
      <c r="CN305" s="690"/>
      <c r="CO305" s="690"/>
      <c r="CP305" s="690"/>
      <c r="CQ305" s="690"/>
      <c r="CR305" s="690"/>
      <c r="CS305" s="690"/>
      <c r="CT305" s="690"/>
      <c r="CU305" s="690"/>
      <c r="CV305" s="690"/>
      <c r="CW305" s="690"/>
      <c r="CX305" s="690"/>
      <c r="CY305" s="690"/>
      <c r="CZ305" s="690"/>
      <c r="DA305" s="690"/>
      <c r="DB305" s="690"/>
      <c r="DC305" s="690"/>
    </row>
    <row r="306" spans="1:107" s="630" customFormat="1" ht="12.75" hidden="1" customHeight="1">
      <c r="A306" s="504"/>
      <c r="B306" s="636" t="str">
        <f t="shared" ref="B306:AI306" si="121">IF(B91="","",B91)</f>
        <v/>
      </c>
      <c r="C306" s="628" t="str">
        <f t="shared" si="121"/>
        <v/>
      </c>
      <c r="D306" s="628" t="str">
        <f t="shared" si="121"/>
        <v/>
      </c>
      <c r="E306" s="628" t="str">
        <f t="shared" si="121"/>
        <v/>
      </c>
      <c r="F306" s="628" t="str">
        <f t="shared" si="121"/>
        <v/>
      </c>
      <c r="G306" s="628" t="str">
        <f t="shared" si="121"/>
        <v/>
      </c>
      <c r="H306" s="628" t="str">
        <f t="shared" si="121"/>
        <v/>
      </c>
      <c r="I306" s="628" t="str">
        <f t="shared" si="121"/>
        <v/>
      </c>
      <c r="J306" s="628" t="str">
        <f t="shared" si="121"/>
        <v/>
      </c>
      <c r="K306" s="628" t="str">
        <f t="shared" si="121"/>
        <v/>
      </c>
      <c r="L306" s="628" t="str">
        <f t="shared" si="121"/>
        <v/>
      </c>
      <c r="M306" s="628" t="str">
        <f t="shared" si="121"/>
        <v/>
      </c>
      <c r="N306" s="628" t="str">
        <f t="shared" si="121"/>
        <v/>
      </c>
      <c r="O306" s="628" t="str">
        <f t="shared" si="121"/>
        <v/>
      </c>
      <c r="P306" s="628" t="str">
        <f t="shared" si="121"/>
        <v/>
      </c>
      <c r="Q306" s="628" t="str">
        <f t="shared" si="121"/>
        <v/>
      </c>
      <c r="R306" s="628" t="str">
        <f t="shared" si="121"/>
        <v/>
      </c>
      <c r="S306" s="628" t="str">
        <f t="shared" si="121"/>
        <v/>
      </c>
      <c r="T306" s="628" t="str">
        <f t="shared" si="121"/>
        <v/>
      </c>
      <c r="U306" s="628" t="str">
        <f t="shared" si="121"/>
        <v/>
      </c>
      <c r="V306" s="628" t="str">
        <f t="shared" si="121"/>
        <v/>
      </c>
      <c r="W306" s="628" t="str">
        <f t="shared" si="121"/>
        <v/>
      </c>
      <c r="X306" s="628" t="str">
        <f t="shared" si="121"/>
        <v/>
      </c>
      <c r="Y306" s="628" t="str">
        <f t="shared" si="121"/>
        <v/>
      </c>
      <c r="Z306" s="628" t="str">
        <f t="shared" si="121"/>
        <v/>
      </c>
      <c r="AA306" s="628" t="str">
        <f t="shared" si="121"/>
        <v/>
      </c>
      <c r="AB306" s="628" t="str">
        <f t="shared" si="121"/>
        <v/>
      </c>
      <c r="AC306" s="628" t="str">
        <f t="shared" si="121"/>
        <v/>
      </c>
      <c r="AD306" s="628" t="str">
        <f t="shared" si="121"/>
        <v/>
      </c>
      <c r="AE306" s="628" t="str">
        <f t="shared" si="121"/>
        <v/>
      </c>
      <c r="AF306" s="628" t="str">
        <f t="shared" si="121"/>
        <v>Incentive</v>
      </c>
      <c r="AG306" s="628" t="str">
        <f t="shared" si="121"/>
        <v/>
      </c>
      <c r="AH306" s="628" t="str">
        <f t="shared" si="121"/>
        <v/>
      </c>
      <c r="AI306" s="638" t="str">
        <f t="shared" si="121"/>
        <v/>
      </c>
      <c r="AJ306" s="504"/>
      <c r="AK306" s="627"/>
      <c r="AL306" s="629"/>
      <c r="AM306" s="627"/>
      <c r="AN306" s="627"/>
      <c r="AO306" s="627"/>
      <c r="AP306" s="627"/>
      <c r="AQ306" s="627"/>
      <c r="AR306" s="627"/>
      <c r="AS306" s="627"/>
      <c r="AT306" s="627"/>
      <c r="AU306" s="627"/>
      <c r="AV306" s="627"/>
      <c r="AW306" s="627"/>
      <c r="AX306" s="627"/>
      <c r="AY306" s="627"/>
      <c r="AZ306" s="627"/>
      <c r="BA306" s="627"/>
      <c r="BB306" s="627"/>
      <c r="BC306" s="627"/>
      <c r="BD306" s="627"/>
      <c r="BE306" s="627"/>
      <c r="BF306" s="627"/>
      <c r="BG306" s="627"/>
      <c r="BH306" s="627"/>
      <c r="BI306" s="627"/>
      <c r="BJ306" s="627"/>
      <c r="BK306" s="627"/>
      <c r="BL306" s="627"/>
      <c r="BM306" s="627"/>
      <c r="BN306" s="627"/>
      <c r="BO306" s="627"/>
      <c r="BP306" s="627"/>
      <c r="BQ306" s="627"/>
      <c r="BR306" s="627"/>
      <c r="BS306" s="627"/>
      <c r="BT306" s="627"/>
      <c r="BU306" s="627"/>
      <c r="BV306" s="627"/>
      <c r="BW306" s="627"/>
      <c r="BX306" s="627"/>
      <c r="BY306" s="627"/>
      <c r="BZ306" s="627"/>
      <c r="CA306" s="690"/>
      <c r="CB306" s="690"/>
      <c r="CC306" s="690"/>
      <c r="CD306" s="690"/>
      <c r="CE306" s="690"/>
      <c r="CF306" s="690"/>
      <c r="CG306" s="690"/>
      <c r="CH306" s="690"/>
      <c r="CI306" s="690"/>
      <c r="CJ306" s="690"/>
      <c r="CK306" s="690"/>
      <c r="CL306" s="690"/>
      <c r="CM306" s="690"/>
      <c r="CN306" s="690"/>
      <c r="CO306" s="690"/>
      <c r="CP306" s="690"/>
      <c r="CQ306" s="690"/>
      <c r="CR306" s="690"/>
      <c r="CS306" s="690"/>
      <c r="CT306" s="690"/>
      <c r="CU306" s="690"/>
      <c r="CV306" s="690"/>
      <c r="CW306" s="690"/>
      <c r="CX306" s="690"/>
      <c r="CY306" s="690"/>
      <c r="CZ306" s="690"/>
      <c r="DA306" s="690"/>
      <c r="DB306" s="690"/>
      <c r="DC306" s="690"/>
    </row>
    <row r="307" spans="1:107" s="630" customFormat="1" ht="12.75" hidden="1" customHeight="1">
      <c r="A307" s="504"/>
      <c r="B307" s="636" t="str">
        <f t="shared" ref="B307:AI307" si="122">IF(B92="","",B92)</f>
        <v/>
      </c>
      <c r="C307" s="628" t="str">
        <f t="shared" si="122"/>
        <v xml:space="preserve"> R1 - Efficient Condensers*</v>
      </c>
      <c r="D307" s="628" t="str">
        <f t="shared" si="122"/>
        <v/>
      </c>
      <c r="E307" s="628" t="str">
        <f t="shared" si="122"/>
        <v/>
      </c>
      <c r="F307" s="628" t="str">
        <f t="shared" si="122"/>
        <v/>
      </c>
      <c r="G307" s="628" t="str">
        <f t="shared" si="122"/>
        <v/>
      </c>
      <c r="H307" s="628" t="str">
        <f t="shared" si="122"/>
        <v/>
      </c>
      <c r="I307" s="628" t="str">
        <f t="shared" si="122"/>
        <v/>
      </c>
      <c r="J307" s="628" t="str">
        <f t="shared" si="122"/>
        <v/>
      </c>
      <c r="K307" s="628" t="str">
        <f t="shared" si="122"/>
        <v/>
      </c>
      <c r="L307" s="628" t="str">
        <f t="shared" si="122"/>
        <v/>
      </c>
      <c r="M307" s="628" t="str">
        <f t="shared" si="122"/>
        <v/>
      </c>
      <c r="N307" s="628" t="str">
        <f t="shared" si="122"/>
        <v/>
      </c>
      <c r="O307" s="628" t="str">
        <f t="shared" si="122"/>
        <v/>
      </c>
      <c r="P307" s="628" t="str">
        <f t="shared" si="122"/>
        <v/>
      </c>
      <c r="Q307" s="628" t="str">
        <f t="shared" si="122"/>
        <v/>
      </c>
      <c r="R307" s="628" t="str">
        <f t="shared" si="122"/>
        <v/>
      </c>
      <c r="S307" s="628" t="str">
        <f t="shared" si="122"/>
        <v/>
      </c>
      <c r="T307" s="628" t="str">
        <f t="shared" si="122"/>
        <v/>
      </c>
      <c r="U307" s="628" t="str">
        <f t="shared" si="122"/>
        <v/>
      </c>
      <c r="V307" s="628" t="str">
        <f t="shared" si="122"/>
        <v xml:space="preserve">Total Eligible: </v>
      </c>
      <c r="W307" s="628" t="str">
        <f t="shared" si="122"/>
        <v/>
      </c>
      <c r="X307" s="628" t="str">
        <f t="shared" si="122"/>
        <v/>
      </c>
      <c r="Y307" s="628" t="str">
        <f t="shared" si="122"/>
        <v>ton</v>
      </c>
      <c r="Z307" s="628" t="str">
        <f t="shared" si="122"/>
        <v/>
      </c>
      <c r="AA307" s="628" t="str">
        <f t="shared" si="122"/>
        <v/>
      </c>
      <c r="AB307" s="628" t="str">
        <f t="shared" si="122"/>
        <v/>
      </c>
      <c r="AC307" s="628" t="str">
        <f t="shared" si="122"/>
        <v/>
      </c>
      <c r="AD307" s="628" t="str">
        <f t="shared" si="122"/>
        <v>x $20 per ton=</v>
      </c>
      <c r="AE307" s="628" t="str">
        <f t="shared" si="122"/>
        <v>$</v>
      </c>
      <c r="AF307" s="628" t="str">
        <f t="shared" si="122"/>
        <v/>
      </c>
      <c r="AG307" s="628" t="str">
        <f t="shared" si="122"/>
        <v/>
      </c>
      <c r="AH307" s="628" t="str">
        <f t="shared" si="122"/>
        <v/>
      </c>
      <c r="AI307" s="638" t="str">
        <f t="shared" si="122"/>
        <v/>
      </c>
      <c r="AJ307" s="504"/>
      <c r="AK307" s="627"/>
      <c r="AL307" s="629"/>
      <c r="AM307" s="627"/>
      <c r="AN307" s="627"/>
      <c r="AO307" s="627"/>
      <c r="AP307" s="627"/>
      <c r="AQ307" s="627"/>
      <c r="AR307" s="627"/>
      <c r="AS307" s="627"/>
      <c r="AT307" s="627"/>
      <c r="AU307" s="627"/>
      <c r="AV307" s="627"/>
      <c r="AW307" s="627"/>
      <c r="AX307" s="627"/>
      <c r="AY307" s="627"/>
      <c r="AZ307" s="627"/>
      <c r="BA307" s="627"/>
      <c r="BB307" s="627"/>
      <c r="BC307" s="627"/>
      <c r="BD307" s="627"/>
      <c r="BE307" s="627"/>
      <c r="BF307" s="627"/>
      <c r="BG307" s="627"/>
      <c r="BH307" s="627"/>
      <c r="BI307" s="627"/>
      <c r="BJ307" s="627"/>
      <c r="BK307" s="627"/>
      <c r="BL307" s="627"/>
      <c r="BM307" s="627"/>
      <c r="BN307" s="627"/>
      <c r="BO307" s="627"/>
      <c r="BP307" s="627"/>
      <c r="BQ307" s="627"/>
      <c r="BR307" s="627"/>
      <c r="BS307" s="627"/>
      <c r="BT307" s="627"/>
      <c r="BU307" s="627"/>
      <c r="BV307" s="627"/>
      <c r="BW307" s="627"/>
      <c r="BX307" s="627"/>
      <c r="BY307" s="627"/>
      <c r="BZ307" s="627"/>
      <c r="CA307" s="690"/>
      <c r="CB307" s="690"/>
      <c r="CC307" s="690"/>
      <c r="CD307" s="690"/>
      <c r="CE307" s="690"/>
      <c r="CF307" s="690"/>
      <c r="CG307" s="690"/>
      <c r="CH307" s="690"/>
      <c r="CI307" s="690"/>
      <c r="CJ307" s="690"/>
      <c r="CK307" s="690"/>
      <c r="CL307" s="690"/>
      <c r="CM307" s="690"/>
      <c r="CN307" s="690"/>
      <c r="CO307" s="690"/>
      <c r="CP307" s="690"/>
      <c r="CQ307" s="690"/>
      <c r="CR307" s="690"/>
      <c r="CS307" s="690"/>
      <c r="CT307" s="690"/>
      <c r="CU307" s="690"/>
      <c r="CV307" s="690"/>
      <c r="CW307" s="690"/>
      <c r="CX307" s="690"/>
      <c r="CY307" s="690"/>
      <c r="CZ307" s="690"/>
      <c r="DA307" s="690"/>
      <c r="DB307" s="690"/>
      <c r="DC307" s="690"/>
    </row>
    <row r="308" spans="1:107" s="630" customFormat="1" ht="12.75" hidden="1" customHeight="1">
      <c r="A308" s="504"/>
      <c r="B308" s="636" t="str">
        <f t="shared" ref="B308:AI308" si="123">IF(B93="","",B93)</f>
        <v/>
      </c>
      <c r="C308" s="628" t="str">
        <f t="shared" si="123"/>
        <v xml:space="preserve"> R2a - Automatic High Speed Door: Between Refrigerator &amp; Unrefrigerated Dock</v>
      </c>
      <c r="D308" s="628" t="str">
        <f t="shared" si="123"/>
        <v/>
      </c>
      <c r="E308" s="628" t="str">
        <f t="shared" si="123"/>
        <v/>
      </c>
      <c r="F308" s="628" t="str">
        <f t="shared" si="123"/>
        <v/>
      </c>
      <c r="G308" s="628" t="str">
        <f t="shared" si="123"/>
        <v/>
      </c>
      <c r="H308" s="628" t="str">
        <f t="shared" si="123"/>
        <v/>
      </c>
      <c r="I308" s="628" t="str">
        <f t="shared" si="123"/>
        <v/>
      </c>
      <c r="J308" s="628" t="str">
        <f t="shared" si="123"/>
        <v/>
      </c>
      <c r="K308" s="628" t="str">
        <f t="shared" si="123"/>
        <v/>
      </c>
      <c r="L308" s="628" t="str">
        <f t="shared" si="123"/>
        <v/>
      </c>
      <c r="M308" s="628" t="str">
        <f t="shared" si="123"/>
        <v/>
      </c>
      <c r="N308" s="628" t="str">
        <f t="shared" si="123"/>
        <v/>
      </c>
      <c r="O308" s="628" t="str">
        <f t="shared" si="123"/>
        <v/>
      </c>
      <c r="P308" s="628" t="str">
        <f t="shared" si="123"/>
        <v/>
      </c>
      <c r="Q308" s="628" t="str">
        <f t="shared" si="123"/>
        <v/>
      </c>
      <c r="R308" s="628" t="str">
        <f t="shared" si="123"/>
        <v/>
      </c>
      <c r="S308" s="628" t="str">
        <f t="shared" si="123"/>
        <v/>
      </c>
      <c r="T308" s="628" t="str">
        <f t="shared" si="123"/>
        <v/>
      </c>
      <c r="U308" s="628" t="str">
        <f t="shared" si="123"/>
        <v/>
      </c>
      <c r="V308" s="628" t="str">
        <f t="shared" si="123"/>
        <v xml:space="preserve">Qty: </v>
      </c>
      <c r="W308" s="628" t="str">
        <f t="shared" si="123"/>
        <v/>
      </c>
      <c r="X308" s="628" t="str">
        <f t="shared" si="123"/>
        <v/>
      </c>
      <c r="Y308" s="628" t="str">
        <f t="shared" si="123"/>
        <v>sq ft</v>
      </c>
      <c r="Z308" s="628" t="str">
        <f t="shared" si="123"/>
        <v/>
      </c>
      <c r="AA308" s="628" t="str">
        <f t="shared" si="123"/>
        <v/>
      </c>
      <c r="AB308" s="628" t="str">
        <f t="shared" si="123"/>
        <v/>
      </c>
      <c r="AC308" s="628" t="str">
        <f t="shared" si="123"/>
        <v/>
      </c>
      <c r="AD308" s="628" t="str">
        <f t="shared" si="123"/>
        <v>x $25 per sq ft of door =</v>
      </c>
      <c r="AE308" s="628" t="str">
        <f t="shared" si="123"/>
        <v>$</v>
      </c>
      <c r="AF308" s="628" t="str">
        <f t="shared" si="123"/>
        <v/>
      </c>
      <c r="AG308" s="628" t="str">
        <f t="shared" si="123"/>
        <v/>
      </c>
      <c r="AH308" s="628" t="str">
        <f t="shared" si="123"/>
        <v/>
      </c>
      <c r="AI308" s="638" t="str">
        <f t="shared" si="123"/>
        <v/>
      </c>
      <c r="AJ308" s="504"/>
      <c r="AK308" s="627"/>
      <c r="AL308" s="629"/>
      <c r="AM308" s="627"/>
      <c r="AN308" s="627"/>
      <c r="AO308" s="627"/>
      <c r="AP308" s="627"/>
      <c r="AQ308" s="627"/>
      <c r="AR308" s="627"/>
      <c r="AS308" s="627"/>
      <c r="AT308" s="627"/>
      <c r="AU308" s="627"/>
      <c r="AV308" s="627"/>
      <c r="AW308" s="627"/>
      <c r="AX308" s="627"/>
      <c r="AY308" s="627"/>
      <c r="AZ308" s="627"/>
      <c r="BA308" s="627"/>
      <c r="BB308" s="627"/>
      <c r="BC308" s="627"/>
      <c r="BD308" s="627"/>
      <c r="BE308" s="627"/>
      <c r="BF308" s="627"/>
      <c r="BG308" s="627"/>
      <c r="BH308" s="627"/>
      <c r="BI308" s="627"/>
      <c r="BJ308" s="627"/>
      <c r="BK308" s="627"/>
      <c r="BL308" s="627"/>
      <c r="BM308" s="627"/>
      <c r="BN308" s="627"/>
      <c r="BO308" s="627"/>
      <c r="BP308" s="627"/>
      <c r="BQ308" s="627"/>
      <c r="BR308" s="627"/>
      <c r="BS308" s="627"/>
      <c r="BT308" s="627"/>
      <c r="BU308" s="627"/>
      <c r="BV308" s="627"/>
      <c r="BW308" s="627"/>
      <c r="BX308" s="627"/>
      <c r="BY308" s="627"/>
      <c r="BZ308" s="627"/>
      <c r="CA308" s="690"/>
      <c r="CB308" s="690"/>
      <c r="CC308" s="690"/>
      <c r="CD308" s="690"/>
      <c r="CE308" s="690"/>
      <c r="CF308" s="690"/>
      <c r="CG308" s="690"/>
      <c r="CH308" s="690"/>
      <c r="CI308" s="690"/>
      <c r="CJ308" s="690"/>
      <c r="CK308" s="690"/>
      <c r="CL308" s="690"/>
      <c r="CM308" s="690"/>
      <c r="CN308" s="690"/>
      <c r="CO308" s="690"/>
      <c r="CP308" s="690"/>
      <c r="CQ308" s="690"/>
      <c r="CR308" s="690"/>
      <c r="CS308" s="690"/>
      <c r="CT308" s="690"/>
      <c r="CU308" s="690"/>
      <c r="CV308" s="690"/>
      <c r="CW308" s="690"/>
      <c r="CX308" s="690"/>
      <c r="CY308" s="690"/>
      <c r="CZ308" s="690"/>
      <c r="DA308" s="690"/>
      <c r="DB308" s="690"/>
      <c r="DC308" s="690"/>
    </row>
    <row r="309" spans="1:107" s="630" customFormat="1" ht="12.75" hidden="1" customHeight="1">
      <c r="A309" s="504"/>
      <c r="B309" s="636" t="str">
        <f t="shared" ref="B309:AI309" si="124">IF(B94="","",B94)</f>
        <v/>
      </c>
      <c r="C309" s="628" t="str">
        <f t="shared" si="124"/>
        <v xml:space="preserve"> R2b - Automatic High Speed Door: Between Freezer &amp; Refrigerator</v>
      </c>
      <c r="D309" s="628" t="str">
        <f t="shared" si="124"/>
        <v/>
      </c>
      <c r="E309" s="628" t="str">
        <f t="shared" si="124"/>
        <v/>
      </c>
      <c r="F309" s="628" t="str">
        <f t="shared" si="124"/>
        <v/>
      </c>
      <c r="G309" s="628" t="str">
        <f t="shared" si="124"/>
        <v/>
      </c>
      <c r="H309" s="628" t="str">
        <f t="shared" si="124"/>
        <v/>
      </c>
      <c r="I309" s="628" t="str">
        <f t="shared" si="124"/>
        <v/>
      </c>
      <c r="J309" s="628" t="str">
        <f t="shared" si="124"/>
        <v/>
      </c>
      <c r="K309" s="628" t="str">
        <f t="shared" si="124"/>
        <v/>
      </c>
      <c r="L309" s="628" t="str">
        <f t="shared" si="124"/>
        <v/>
      </c>
      <c r="M309" s="628" t="str">
        <f t="shared" si="124"/>
        <v/>
      </c>
      <c r="N309" s="628" t="str">
        <f t="shared" si="124"/>
        <v/>
      </c>
      <c r="O309" s="628" t="str">
        <f t="shared" si="124"/>
        <v/>
      </c>
      <c r="P309" s="628" t="str">
        <f t="shared" si="124"/>
        <v/>
      </c>
      <c r="Q309" s="628" t="str">
        <f t="shared" si="124"/>
        <v/>
      </c>
      <c r="R309" s="628" t="str">
        <f t="shared" si="124"/>
        <v/>
      </c>
      <c r="S309" s="628" t="str">
        <f t="shared" si="124"/>
        <v/>
      </c>
      <c r="T309" s="628" t="str">
        <f t="shared" si="124"/>
        <v/>
      </c>
      <c r="U309" s="628" t="str">
        <f t="shared" si="124"/>
        <v/>
      </c>
      <c r="V309" s="628" t="str">
        <f t="shared" si="124"/>
        <v xml:space="preserve">Qty: </v>
      </c>
      <c r="W309" s="628" t="str">
        <f t="shared" si="124"/>
        <v/>
      </c>
      <c r="X309" s="628" t="str">
        <f t="shared" si="124"/>
        <v/>
      </c>
      <c r="Y309" s="628" t="str">
        <f t="shared" si="124"/>
        <v>sq ft</v>
      </c>
      <c r="Z309" s="628" t="str">
        <f t="shared" si="124"/>
        <v/>
      </c>
      <c r="AA309" s="628" t="str">
        <f t="shared" si="124"/>
        <v/>
      </c>
      <c r="AB309" s="628" t="str">
        <f t="shared" si="124"/>
        <v/>
      </c>
      <c r="AC309" s="628" t="str">
        <f t="shared" si="124"/>
        <v/>
      </c>
      <c r="AD309" s="628" t="str">
        <f t="shared" si="124"/>
        <v>x $50 per sq ft of door =</v>
      </c>
      <c r="AE309" s="628" t="str">
        <f t="shared" si="124"/>
        <v>$</v>
      </c>
      <c r="AF309" s="628" t="str">
        <f t="shared" si="124"/>
        <v/>
      </c>
      <c r="AG309" s="628" t="str">
        <f t="shared" si="124"/>
        <v/>
      </c>
      <c r="AH309" s="628" t="str">
        <f t="shared" si="124"/>
        <v/>
      </c>
      <c r="AI309" s="638" t="str">
        <f t="shared" si="124"/>
        <v/>
      </c>
      <c r="AJ309" s="504"/>
      <c r="AK309" s="627"/>
      <c r="AL309" s="629"/>
      <c r="AM309" s="627"/>
      <c r="AN309" s="627"/>
      <c r="AO309" s="627"/>
      <c r="AP309" s="627"/>
      <c r="AQ309" s="627"/>
      <c r="AR309" s="627"/>
      <c r="AS309" s="627"/>
      <c r="AT309" s="627"/>
      <c r="AU309" s="627"/>
      <c r="AV309" s="627"/>
      <c r="AW309" s="627"/>
      <c r="AX309" s="627"/>
      <c r="AY309" s="627"/>
      <c r="AZ309" s="627"/>
      <c r="BA309" s="627"/>
      <c r="BB309" s="627"/>
      <c r="BC309" s="627"/>
      <c r="BD309" s="627"/>
      <c r="BE309" s="627"/>
      <c r="BF309" s="627"/>
      <c r="BG309" s="627"/>
      <c r="BH309" s="627"/>
      <c r="BI309" s="627"/>
      <c r="BJ309" s="627"/>
      <c r="BK309" s="627"/>
      <c r="BL309" s="627"/>
      <c r="BM309" s="627"/>
      <c r="BN309" s="627"/>
      <c r="BO309" s="627"/>
      <c r="BP309" s="627"/>
      <c r="BQ309" s="627"/>
      <c r="BR309" s="627"/>
      <c r="BS309" s="627"/>
      <c r="BT309" s="627"/>
      <c r="BU309" s="627"/>
      <c r="BV309" s="627"/>
      <c r="BW309" s="627"/>
      <c r="BX309" s="627"/>
      <c r="BY309" s="627"/>
      <c r="BZ309" s="627"/>
      <c r="CA309" s="690"/>
      <c r="CB309" s="690"/>
      <c r="CC309" s="690"/>
      <c r="CD309" s="690"/>
      <c r="CE309" s="690"/>
      <c r="CF309" s="690"/>
      <c r="CG309" s="690"/>
      <c r="CH309" s="690"/>
      <c r="CI309" s="690"/>
      <c r="CJ309" s="690"/>
      <c r="CK309" s="690"/>
      <c r="CL309" s="690"/>
      <c r="CM309" s="690"/>
      <c r="CN309" s="690"/>
      <c r="CO309" s="690"/>
      <c r="CP309" s="690"/>
      <c r="CQ309" s="690"/>
      <c r="CR309" s="690"/>
      <c r="CS309" s="690"/>
      <c r="CT309" s="690"/>
      <c r="CU309" s="690"/>
      <c r="CV309" s="690"/>
      <c r="CW309" s="690"/>
      <c r="CX309" s="690"/>
      <c r="CY309" s="690"/>
      <c r="CZ309" s="690"/>
      <c r="DA309" s="690"/>
      <c r="DB309" s="690"/>
      <c r="DC309" s="690"/>
    </row>
    <row r="310" spans="1:107" s="630" customFormat="1" ht="12.75" hidden="1" customHeight="1">
      <c r="A310" s="504"/>
      <c r="B310" s="636" t="str">
        <f t="shared" ref="B310:AI310" si="125">IF(B95="","",B95)</f>
        <v/>
      </c>
      <c r="C310" s="628" t="str">
        <f t="shared" si="125"/>
        <v xml:space="preserve"> R2c - Automatic High Speed Door: Between Freezer &amp; Unrefrigerated Dock</v>
      </c>
      <c r="D310" s="628" t="str">
        <f t="shared" si="125"/>
        <v/>
      </c>
      <c r="E310" s="628" t="str">
        <f t="shared" si="125"/>
        <v/>
      </c>
      <c r="F310" s="628" t="str">
        <f t="shared" si="125"/>
        <v/>
      </c>
      <c r="G310" s="628" t="str">
        <f t="shared" si="125"/>
        <v/>
      </c>
      <c r="H310" s="628" t="str">
        <f t="shared" si="125"/>
        <v/>
      </c>
      <c r="I310" s="628" t="str">
        <f t="shared" si="125"/>
        <v/>
      </c>
      <c r="J310" s="628" t="str">
        <f t="shared" si="125"/>
        <v/>
      </c>
      <c r="K310" s="628" t="str">
        <f t="shared" si="125"/>
        <v/>
      </c>
      <c r="L310" s="628" t="str">
        <f t="shared" si="125"/>
        <v/>
      </c>
      <c r="M310" s="628" t="str">
        <f t="shared" si="125"/>
        <v/>
      </c>
      <c r="N310" s="628" t="str">
        <f t="shared" si="125"/>
        <v/>
      </c>
      <c r="O310" s="628" t="str">
        <f t="shared" si="125"/>
        <v/>
      </c>
      <c r="P310" s="628" t="str">
        <f t="shared" si="125"/>
        <v/>
      </c>
      <c r="Q310" s="628" t="str">
        <f t="shared" si="125"/>
        <v/>
      </c>
      <c r="R310" s="628" t="str">
        <f t="shared" si="125"/>
        <v/>
      </c>
      <c r="S310" s="628" t="str">
        <f t="shared" si="125"/>
        <v/>
      </c>
      <c r="T310" s="628" t="str">
        <f t="shared" si="125"/>
        <v/>
      </c>
      <c r="U310" s="628" t="str">
        <f t="shared" si="125"/>
        <v/>
      </c>
      <c r="V310" s="628" t="str">
        <f t="shared" si="125"/>
        <v xml:space="preserve">Qty: </v>
      </c>
      <c r="W310" s="628" t="str">
        <f t="shared" si="125"/>
        <v/>
      </c>
      <c r="X310" s="628" t="str">
        <f t="shared" si="125"/>
        <v/>
      </c>
      <c r="Y310" s="628" t="str">
        <f t="shared" si="125"/>
        <v>sq ft</v>
      </c>
      <c r="Z310" s="628" t="str">
        <f t="shared" si="125"/>
        <v/>
      </c>
      <c r="AA310" s="628" t="str">
        <f t="shared" si="125"/>
        <v/>
      </c>
      <c r="AB310" s="628" t="str">
        <f t="shared" si="125"/>
        <v/>
      </c>
      <c r="AC310" s="628" t="str">
        <f t="shared" si="125"/>
        <v/>
      </c>
      <c r="AD310" s="628" t="str">
        <f t="shared" si="125"/>
        <v>x $100 per sq ft of door =</v>
      </c>
      <c r="AE310" s="628" t="str">
        <f t="shared" si="125"/>
        <v>$</v>
      </c>
      <c r="AF310" s="628" t="str">
        <f t="shared" si="125"/>
        <v/>
      </c>
      <c r="AG310" s="628" t="str">
        <f t="shared" si="125"/>
        <v/>
      </c>
      <c r="AH310" s="628" t="str">
        <f t="shared" si="125"/>
        <v/>
      </c>
      <c r="AI310" s="638" t="str">
        <f t="shared" si="125"/>
        <v/>
      </c>
      <c r="AJ310" s="504"/>
      <c r="AK310" s="627"/>
      <c r="AL310" s="629"/>
      <c r="AM310" s="627"/>
      <c r="AN310" s="627"/>
      <c r="AO310" s="627"/>
      <c r="AP310" s="627"/>
      <c r="AQ310" s="627"/>
      <c r="AR310" s="627"/>
      <c r="AS310" s="627"/>
      <c r="AT310" s="627"/>
      <c r="AU310" s="627"/>
      <c r="AV310" s="627"/>
      <c r="AW310" s="627"/>
      <c r="AX310" s="627"/>
      <c r="AY310" s="627"/>
      <c r="AZ310" s="627"/>
      <c r="BA310" s="627"/>
      <c r="BB310" s="627"/>
      <c r="BC310" s="627"/>
      <c r="BD310" s="627"/>
      <c r="BE310" s="627"/>
      <c r="BF310" s="627"/>
      <c r="BG310" s="627"/>
      <c r="BH310" s="627"/>
      <c r="BI310" s="627"/>
      <c r="BJ310" s="627"/>
      <c r="BK310" s="627"/>
      <c r="BL310" s="627"/>
      <c r="BM310" s="627"/>
      <c r="BN310" s="627"/>
      <c r="BO310" s="627"/>
      <c r="BP310" s="627"/>
      <c r="BQ310" s="627"/>
      <c r="BR310" s="627"/>
      <c r="BS310" s="627"/>
      <c r="BT310" s="627"/>
      <c r="BU310" s="627"/>
      <c r="BV310" s="627"/>
      <c r="BW310" s="627"/>
      <c r="BX310" s="627"/>
      <c r="BY310" s="627"/>
      <c r="BZ310" s="627"/>
      <c r="CA310" s="690"/>
      <c r="CB310" s="690"/>
      <c r="CC310" s="690"/>
      <c r="CD310" s="690"/>
      <c r="CE310" s="690"/>
      <c r="CF310" s="690"/>
      <c r="CG310" s="690"/>
      <c r="CH310" s="690"/>
      <c r="CI310" s="690"/>
      <c r="CJ310" s="690"/>
      <c r="CK310" s="690"/>
      <c r="CL310" s="690"/>
      <c r="CM310" s="690"/>
      <c r="CN310" s="690"/>
      <c r="CO310" s="690"/>
      <c r="CP310" s="690"/>
      <c r="CQ310" s="690"/>
      <c r="CR310" s="690"/>
      <c r="CS310" s="690"/>
      <c r="CT310" s="690"/>
      <c r="CU310" s="690"/>
      <c r="CV310" s="690"/>
      <c r="CW310" s="690"/>
      <c r="CX310" s="690"/>
      <c r="CY310" s="690"/>
      <c r="CZ310" s="690"/>
      <c r="DA310" s="690"/>
      <c r="DB310" s="690"/>
      <c r="DC310" s="690"/>
    </row>
    <row r="311" spans="1:107" s="630" customFormat="1" ht="12.75" hidden="1" customHeight="1">
      <c r="A311" s="504"/>
      <c r="B311" s="636" t="str">
        <f t="shared" ref="B311:AI311" si="126">IF(B96="","",B96)</f>
        <v/>
      </c>
      <c r="C311" s="628" t="str">
        <f t="shared" si="126"/>
        <v xml:space="preserve"> R3 - Evaporative Pre-coolers on Air-Cooled Condensers (Refrigeration)*</v>
      </c>
      <c r="D311" s="628" t="str">
        <f t="shared" si="126"/>
        <v/>
      </c>
      <c r="E311" s="628" t="str">
        <f t="shared" si="126"/>
        <v/>
      </c>
      <c r="F311" s="628" t="str">
        <f t="shared" si="126"/>
        <v/>
      </c>
      <c r="G311" s="628" t="str">
        <f t="shared" si="126"/>
        <v/>
      </c>
      <c r="H311" s="628" t="str">
        <f t="shared" si="126"/>
        <v/>
      </c>
      <c r="I311" s="628" t="str">
        <f t="shared" si="126"/>
        <v/>
      </c>
      <c r="J311" s="628" t="str">
        <f t="shared" si="126"/>
        <v/>
      </c>
      <c r="K311" s="628" t="str">
        <f t="shared" si="126"/>
        <v/>
      </c>
      <c r="L311" s="628" t="str">
        <f t="shared" si="126"/>
        <v/>
      </c>
      <c r="M311" s="628" t="str">
        <f t="shared" si="126"/>
        <v/>
      </c>
      <c r="N311" s="628" t="str">
        <f t="shared" si="126"/>
        <v/>
      </c>
      <c r="O311" s="628" t="str">
        <f t="shared" si="126"/>
        <v/>
      </c>
      <c r="P311" s="628" t="str">
        <f t="shared" si="126"/>
        <v/>
      </c>
      <c r="Q311" s="628" t="str">
        <f t="shared" si="126"/>
        <v/>
      </c>
      <c r="R311" s="628" t="str">
        <f t="shared" si="126"/>
        <v/>
      </c>
      <c r="S311" s="628" t="str">
        <f t="shared" si="126"/>
        <v/>
      </c>
      <c r="T311" s="628" t="str">
        <f t="shared" si="126"/>
        <v/>
      </c>
      <c r="U311" s="628" t="str">
        <f t="shared" si="126"/>
        <v/>
      </c>
      <c r="V311" s="628" t="str">
        <f t="shared" si="126"/>
        <v xml:space="preserve">Total Eligible: </v>
      </c>
      <c r="W311" s="628" t="str">
        <f t="shared" si="126"/>
        <v/>
      </c>
      <c r="X311" s="628" t="str">
        <f t="shared" si="126"/>
        <v/>
      </c>
      <c r="Y311" s="628" t="str">
        <f t="shared" si="126"/>
        <v>tons</v>
      </c>
      <c r="Z311" s="628" t="str">
        <f t="shared" si="126"/>
        <v/>
      </c>
      <c r="AA311" s="628" t="str">
        <f t="shared" si="126"/>
        <v/>
      </c>
      <c r="AB311" s="628" t="str">
        <f t="shared" si="126"/>
        <v/>
      </c>
      <c r="AC311" s="628" t="str">
        <f t="shared" si="126"/>
        <v/>
      </c>
      <c r="AD311" s="628" t="str">
        <f t="shared" si="126"/>
        <v>x $30 per ton=</v>
      </c>
      <c r="AE311" s="628" t="str">
        <f t="shared" si="126"/>
        <v>$</v>
      </c>
      <c r="AF311" s="628" t="str">
        <f t="shared" si="126"/>
        <v/>
      </c>
      <c r="AG311" s="628" t="str">
        <f t="shared" si="126"/>
        <v/>
      </c>
      <c r="AH311" s="628" t="str">
        <f t="shared" si="126"/>
        <v/>
      </c>
      <c r="AI311" s="638" t="str">
        <f t="shared" si="126"/>
        <v/>
      </c>
      <c r="AJ311" s="504"/>
      <c r="AK311" s="627"/>
      <c r="AL311" s="629"/>
      <c r="AM311" s="627"/>
      <c r="AN311" s="627"/>
      <c r="AO311" s="627"/>
      <c r="AP311" s="627"/>
      <c r="AQ311" s="627"/>
      <c r="AR311" s="627"/>
      <c r="AS311" s="627"/>
      <c r="AT311" s="627"/>
      <c r="AU311" s="627"/>
      <c r="AV311" s="627"/>
      <c r="AW311" s="627"/>
      <c r="AX311" s="627"/>
      <c r="AY311" s="627"/>
      <c r="AZ311" s="627"/>
      <c r="BA311" s="627"/>
      <c r="BB311" s="627"/>
      <c r="BC311" s="627"/>
      <c r="BD311" s="627"/>
      <c r="BE311" s="627"/>
      <c r="BF311" s="627"/>
      <c r="BG311" s="627"/>
      <c r="BH311" s="627"/>
      <c r="BI311" s="627"/>
      <c r="BJ311" s="627"/>
      <c r="BK311" s="627"/>
      <c r="BL311" s="627"/>
      <c r="BM311" s="627"/>
      <c r="BN311" s="627"/>
      <c r="BO311" s="627"/>
      <c r="BP311" s="627"/>
      <c r="BQ311" s="627"/>
      <c r="BR311" s="627"/>
      <c r="BS311" s="627"/>
      <c r="BT311" s="627"/>
      <c r="BU311" s="627"/>
      <c r="BV311" s="627"/>
      <c r="BW311" s="627"/>
      <c r="BX311" s="627"/>
      <c r="BY311" s="627"/>
      <c r="BZ311" s="627"/>
      <c r="CA311" s="690"/>
      <c r="CB311" s="690"/>
      <c r="CC311" s="690"/>
      <c r="CD311" s="690"/>
      <c r="CE311" s="690"/>
      <c r="CF311" s="690"/>
      <c r="CG311" s="690"/>
      <c r="CH311" s="690"/>
      <c r="CI311" s="690"/>
      <c r="CJ311" s="690"/>
      <c r="CK311" s="690"/>
      <c r="CL311" s="690"/>
      <c r="CM311" s="690"/>
      <c r="CN311" s="690"/>
      <c r="CO311" s="690"/>
      <c r="CP311" s="690"/>
      <c r="CQ311" s="690"/>
      <c r="CR311" s="690"/>
      <c r="CS311" s="690"/>
      <c r="CT311" s="690"/>
      <c r="CU311" s="690"/>
      <c r="CV311" s="690"/>
      <c r="CW311" s="690"/>
      <c r="CX311" s="690"/>
      <c r="CY311" s="690"/>
      <c r="CZ311" s="690"/>
      <c r="DA311" s="690"/>
      <c r="DB311" s="690"/>
      <c r="DC311" s="690"/>
    </row>
    <row r="312" spans="1:107" s="630" customFormat="1" ht="12.75" hidden="1" customHeight="1">
      <c r="A312" s="504"/>
      <c r="B312" s="636" t="str">
        <f t="shared" ref="B312:AI312" si="127">IF(B97="","",B97)</f>
        <v/>
      </c>
      <c r="C312" s="628" t="str">
        <f t="shared" si="127"/>
        <v/>
      </c>
      <c r="D312" s="628" t="str">
        <f t="shared" si="127"/>
        <v/>
      </c>
      <c r="E312" s="628" t="str">
        <f t="shared" si="127"/>
        <v/>
      </c>
      <c r="F312" s="628" t="str">
        <f t="shared" si="127"/>
        <v/>
      </c>
      <c r="G312" s="628" t="str">
        <f t="shared" si="127"/>
        <v/>
      </c>
      <c r="H312" s="628" t="str">
        <f t="shared" si="127"/>
        <v/>
      </c>
      <c r="I312" s="628" t="str">
        <f t="shared" si="127"/>
        <v/>
      </c>
      <c r="J312" s="628" t="str">
        <f t="shared" si="127"/>
        <v/>
      </c>
      <c r="K312" s="628" t="str">
        <f t="shared" si="127"/>
        <v/>
      </c>
      <c r="L312" s="628" t="str">
        <f t="shared" si="127"/>
        <v/>
      </c>
      <c r="M312" s="628" t="str">
        <f t="shared" si="127"/>
        <v/>
      </c>
      <c r="N312" s="628" t="str">
        <f t="shared" si="127"/>
        <v/>
      </c>
      <c r="O312" s="628" t="str">
        <f t="shared" si="127"/>
        <v/>
      </c>
      <c r="P312" s="628" t="str">
        <f t="shared" si="127"/>
        <v/>
      </c>
      <c r="Q312" s="628" t="str">
        <f t="shared" si="127"/>
        <v/>
      </c>
      <c r="R312" s="628" t="str">
        <f t="shared" si="127"/>
        <v/>
      </c>
      <c r="S312" s="628" t="str">
        <f t="shared" si="127"/>
        <v/>
      </c>
      <c r="T312" s="628" t="str">
        <f t="shared" si="127"/>
        <v/>
      </c>
      <c r="U312" s="628" t="str">
        <f t="shared" si="127"/>
        <v/>
      </c>
      <c r="V312" s="628" t="str">
        <f t="shared" si="127"/>
        <v/>
      </c>
      <c r="W312" s="628" t="str">
        <f t="shared" si="127"/>
        <v/>
      </c>
      <c r="X312" s="628" t="str">
        <f t="shared" si="127"/>
        <v/>
      </c>
      <c r="Y312" s="628" t="str">
        <f t="shared" si="127"/>
        <v/>
      </c>
      <c r="Z312" s="628" t="str">
        <f t="shared" si="127"/>
        <v/>
      </c>
      <c r="AA312" s="628" t="str">
        <f t="shared" si="127"/>
        <v/>
      </c>
      <c r="AB312" s="628" t="str">
        <f t="shared" si="127"/>
        <v/>
      </c>
      <c r="AC312" s="628" t="str">
        <f t="shared" si="127"/>
        <v/>
      </c>
      <c r="AD312" s="628" t="str">
        <f t="shared" si="127"/>
        <v/>
      </c>
      <c r="AE312" s="628" t="str">
        <f t="shared" si="127"/>
        <v/>
      </c>
      <c r="AF312" s="628" t="str">
        <f t="shared" si="127"/>
        <v/>
      </c>
      <c r="AG312" s="628" t="str">
        <f t="shared" si="127"/>
        <v/>
      </c>
      <c r="AH312" s="628" t="str">
        <f t="shared" si="127"/>
        <v/>
      </c>
      <c r="AI312" s="638" t="str">
        <f t="shared" si="127"/>
        <v/>
      </c>
      <c r="AJ312" s="504"/>
      <c r="AK312" s="627"/>
      <c r="AL312" s="629"/>
      <c r="AM312" s="627"/>
      <c r="AN312" s="627"/>
      <c r="AO312" s="627"/>
      <c r="AP312" s="627"/>
      <c r="AQ312" s="627"/>
      <c r="AR312" s="627"/>
      <c r="AS312" s="627"/>
      <c r="AT312" s="627"/>
      <c r="AU312" s="627"/>
      <c r="AV312" s="627"/>
      <c r="AW312" s="627"/>
      <c r="AX312" s="627"/>
      <c r="AY312" s="627"/>
      <c r="AZ312" s="627"/>
      <c r="BA312" s="627"/>
      <c r="BB312" s="627"/>
      <c r="BC312" s="627"/>
      <c r="BD312" s="627"/>
      <c r="BE312" s="627"/>
      <c r="BF312" s="627"/>
      <c r="BG312" s="627"/>
      <c r="BH312" s="627"/>
      <c r="BI312" s="627"/>
      <c r="BJ312" s="627"/>
      <c r="BK312" s="627"/>
      <c r="BL312" s="627"/>
      <c r="BM312" s="627"/>
      <c r="BN312" s="627"/>
      <c r="BO312" s="627"/>
      <c r="BP312" s="627"/>
      <c r="BQ312" s="627"/>
      <c r="BR312" s="627"/>
      <c r="BS312" s="627"/>
      <c r="BT312" s="627"/>
      <c r="BU312" s="627"/>
      <c r="BV312" s="627"/>
      <c r="BW312" s="627"/>
      <c r="BX312" s="627"/>
      <c r="BY312" s="627"/>
      <c r="BZ312" s="627"/>
      <c r="CA312" s="690"/>
      <c r="CB312" s="690"/>
      <c r="CC312" s="690"/>
      <c r="CD312" s="690"/>
      <c r="CE312" s="690"/>
      <c r="CF312" s="690"/>
      <c r="CG312" s="690"/>
      <c r="CH312" s="690"/>
      <c r="CI312" s="690"/>
      <c r="CJ312" s="690"/>
      <c r="CK312" s="690"/>
      <c r="CL312" s="690"/>
      <c r="CM312" s="690"/>
      <c r="CN312" s="690"/>
      <c r="CO312" s="690"/>
      <c r="CP312" s="690"/>
      <c r="CQ312" s="690"/>
      <c r="CR312" s="690"/>
      <c r="CS312" s="690"/>
      <c r="CT312" s="690"/>
      <c r="CU312" s="690"/>
      <c r="CV312" s="690"/>
      <c r="CW312" s="690"/>
      <c r="CX312" s="690"/>
      <c r="CY312" s="690"/>
      <c r="CZ312" s="690"/>
      <c r="DA312" s="690"/>
      <c r="DB312" s="690"/>
      <c r="DC312" s="690"/>
    </row>
    <row r="313" spans="1:107" s="630" customFormat="1" ht="12.75" hidden="1" customHeight="1">
      <c r="A313" s="504"/>
      <c r="B313" s="636" t="str">
        <f t="shared" ref="B313:AI313" si="128">IF(B98="","",B98)</f>
        <v/>
      </c>
      <c r="C313" s="628" t="str">
        <f t="shared" si="128"/>
        <v/>
      </c>
      <c r="D313" s="628" t="str">
        <f t="shared" si="128"/>
        <v/>
      </c>
      <c r="E313" s="628" t="str">
        <f t="shared" si="128"/>
        <v/>
      </c>
      <c r="F313" s="628" t="str">
        <f t="shared" si="128"/>
        <v/>
      </c>
      <c r="G313" s="628" t="str">
        <f t="shared" si="128"/>
        <v/>
      </c>
      <c r="H313" s="628" t="str">
        <f t="shared" si="128"/>
        <v/>
      </c>
      <c r="I313" s="628" t="str">
        <f t="shared" si="128"/>
        <v/>
      </c>
      <c r="J313" s="628" t="str">
        <f t="shared" si="128"/>
        <v/>
      </c>
      <c r="K313" s="628" t="str">
        <f t="shared" si="128"/>
        <v/>
      </c>
      <c r="L313" s="628" t="str">
        <f t="shared" si="128"/>
        <v/>
      </c>
      <c r="M313" s="628" t="str">
        <f t="shared" si="128"/>
        <v/>
      </c>
      <c r="N313" s="628" t="str">
        <f t="shared" si="128"/>
        <v/>
      </c>
      <c r="O313" s="628" t="str">
        <f t="shared" si="128"/>
        <v/>
      </c>
      <c r="P313" s="628" t="str">
        <f t="shared" si="128"/>
        <v/>
      </c>
      <c r="Q313" s="628" t="str">
        <f t="shared" si="128"/>
        <v/>
      </c>
      <c r="R313" s="628" t="str">
        <f t="shared" si="128"/>
        <v/>
      </c>
      <c r="S313" s="628" t="str">
        <f t="shared" si="128"/>
        <v/>
      </c>
      <c r="T313" s="628" t="str">
        <f t="shared" si="128"/>
        <v/>
      </c>
      <c r="U313" s="628" t="str">
        <f t="shared" si="128"/>
        <v/>
      </c>
      <c r="V313" s="628" t="str">
        <f t="shared" si="128"/>
        <v/>
      </c>
      <c r="W313" s="628" t="str">
        <f t="shared" si="128"/>
        <v/>
      </c>
      <c r="X313" s="628" t="str">
        <f t="shared" si="128"/>
        <v/>
      </c>
      <c r="Y313" s="628" t="str">
        <f t="shared" si="128"/>
        <v/>
      </c>
      <c r="Z313" s="628" t="str">
        <f t="shared" si="128"/>
        <v/>
      </c>
      <c r="AA313" s="628" t="str">
        <f t="shared" si="128"/>
        <v/>
      </c>
      <c r="AB313" s="628" t="str">
        <f t="shared" si="128"/>
        <v/>
      </c>
      <c r="AC313" s="628" t="str">
        <f t="shared" si="128"/>
        <v/>
      </c>
      <c r="AD313" s="628" t="str">
        <f t="shared" si="128"/>
        <v/>
      </c>
      <c r="AE313" s="628" t="str">
        <f t="shared" si="128"/>
        <v/>
      </c>
      <c r="AF313" s="628" t="str">
        <f t="shared" si="128"/>
        <v/>
      </c>
      <c r="AG313" s="628" t="str">
        <f t="shared" si="128"/>
        <v/>
      </c>
      <c r="AH313" s="628" t="str">
        <f t="shared" si="128"/>
        <v/>
      </c>
      <c r="AI313" s="638" t="str">
        <f t="shared" si="128"/>
        <v/>
      </c>
      <c r="AJ313" s="504"/>
      <c r="AK313" s="627"/>
      <c r="AL313" s="629"/>
      <c r="AM313" s="627"/>
      <c r="AN313" s="627"/>
      <c r="AO313" s="627"/>
      <c r="AP313" s="627"/>
      <c r="AQ313" s="627"/>
      <c r="AR313" s="627"/>
      <c r="AS313" s="627"/>
      <c r="AT313" s="627"/>
      <c r="AU313" s="627"/>
      <c r="AV313" s="627"/>
      <c r="AW313" s="627"/>
      <c r="AX313" s="627"/>
      <c r="AY313" s="627"/>
      <c r="AZ313" s="627"/>
      <c r="BA313" s="627"/>
      <c r="BB313" s="627"/>
      <c r="BC313" s="627"/>
      <c r="BD313" s="627"/>
      <c r="BE313" s="627"/>
      <c r="BF313" s="627"/>
      <c r="BG313" s="627"/>
      <c r="BH313" s="627"/>
      <c r="BI313" s="627"/>
      <c r="BJ313" s="627"/>
      <c r="BK313" s="627"/>
      <c r="BL313" s="627"/>
      <c r="BM313" s="627"/>
      <c r="BN313" s="627"/>
      <c r="BO313" s="627"/>
      <c r="BP313" s="627"/>
      <c r="BQ313" s="627"/>
      <c r="BR313" s="627"/>
      <c r="BS313" s="627"/>
      <c r="BT313" s="627"/>
      <c r="BU313" s="627"/>
      <c r="BV313" s="627"/>
      <c r="BW313" s="627"/>
      <c r="BX313" s="627"/>
      <c r="BY313" s="627"/>
      <c r="BZ313" s="627"/>
      <c r="CA313" s="690"/>
      <c r="CB313" s="690"/>
      <c r="CC313" s="690"/>
      <c r="CD313" s="690"/>
      <c r="CE313" s="690"/>
      <c r="CF313" s="690"/>
      <c r="CG313" s="690"/>
      <c r="CH313" s="690"/>
      <c r="CI313" s="690"/>
      <c r="CJ313" s="690"/>
      <c r="CK313" s="690"/>
      <c r="CL313" s="690"/>
      <c r="CM313" s="690"/>
      <c r="CN313" s="690"/>
      <c r="CO313" s="690"/>
      <c r="CP313" s="690"/>
      <c r="CQ313" s="690"/>
      <c r="CR313" s="690"/>
      <c r="CS313" s="690"/>
      <c r="CT313" s="690"/>
      <c r="CU313" s="690"/>
      <c r="CV313" s="690"/>
      <c r="CW313" s="690"/>
      <c r="CX313" s="690"/>
      <c r="CY313" s="690"/>
      <c r="CZ313" s="690"/>
      <c r="DA313" s="690"/>
      <c r="DB313" s="690"/>
      <c r="DC313" s="690"/>
    </row>
    <row r="314" spans="1:107" s="630" customFormat="1" ht="12.75" hidden="1" customHeight="1">
      <c r="A314" s="504"/>
      <c r="B314" s="636" t="str">
        <f t="shared" ref="B314:AI314" si="129">IF(B99="","",B99)</f>
        <v>Compressed Air Equipment</v>
      </c>
      <c r="C314" s="628" t="str">
        <f t="shared" si="129"/>
        <v/>
      </c>
      <c r="D314" s="628" t="str">
        <f t="shared" si="129"/>
        <v/>
      </c>
      <c r="E314" s="628" t="str">
        <f t="shared" si="129"/>
        <v/>
      </c>
      <c r="F314" s="628" t="str">
        <f t="shared" si="129"/>
        <v/>
      </c>
      <c r="G314" s="628" t="str">
        <f t="shared" si="129"/>
        <v/>
      </c>
      <c r="H314" s="628" t="str">
        <f t="shared" si="129"/>
        <v/>
      </c>
      <c r="I314" s="628" t="str">
        <f t="shared" si="129"/>
        <v/>
      </c>
      <c r="J314" s="628" t="str">
        <f t="shared" si="129"/>
        <v/>
      </c>
      <c r="K314" s="628" t="str">
        <f t="shared" si="129"/>
        <v/>
      </c>
      <c r="L314" s="628" t="str">
        <f t="shared" si="129"/>
        <v/>
      </c>
      <c r="M314" s="628" t="str">
        <f t="shared" si="129"/>
        <v/>
      </c>
      <c r="N314" s="628" t="str">
        <f t="shared" si="129"/>
        <v/>
      </c>
      <c r="O314" s="628" t="str">
        <f t="shared" si="129"/>
        <v/>
      </c>
      <c r="P314" s="628" t="str">
        <f t="shared" si="129"/>
        <v/>
      </c>
      <c r="Q314" s="628" t="str">
        <f t="shared" si="129"/>
        <v/>
      </c>
      <c r="R314" s="628" t="str">
        <f t="shared" si="129"/>
        <v/>
      </c>
      <c r="S314" s="628" t="str">
        <f t="shared" si="129"/>
        <v/>
      </c>
      <c r="T314" s="628" t="str">
        <f t="shared" si="129"/>
        <v/>
      </c>
      <c r="U314" s="628" t="str">
        <f t="shared" si="129"/>
        <v/>
      </c>
      <c r="V314" s="628" t="str">
        <f t="shared" si="129"/>
        <v/>
      </c>
      <c r="W314" s="628" t="str">
        <f t="shared" si="129"/>
        <v/>
      </c>
      <c r="X314" s="628" t="str">
        <f t="shared" si="129"/>
        <v/>
      </c>
      <c r="Y314" s="628" t="str">
        <f t="shared" si="129"/>
        <v/>
      </c>
      <c r="Z314" s="628" t="str">
        <f t="shared" si="129"/>
        <v/>
      </c>
      <c r="AA314" s="628" t="str">
        <f t="shared" si="129"/>
        <v/>
      </c>
      <c r="AB314" s="628" t="str">
        <f t="shared" si="129"/>
        <v/>
      </c>
      <c r="AC314" s="628" t="str">
        <f t="shared" si="129"/>
        <v/>
      </c>
      <c r="AD314" s="628" t="str">
        <f t="shared" si="129"/>
        <v/>
      </c>
      <c r="AE314" s="628" t="str">
        <f t="shared" si="129"/>
        <v/>
      </c>
      <c r="AF314" s="628" t="str">
        <f t="shared" si="129"/>
        <v/>
      </c>
      <c r="AG314" s="628" t="str">
        <f t="shared" si="129"/>
        <v/>
      </c>
      <c r="AH314" s="628" t="str">
        <f t="shared" si="129"/>
        <v/>
      </c>
      <c r="AI314" s="638" t="str">
        <f t="shared" si="129"/>
        <v/>
      </c>
      <c r="AJ314" s="504"/>
      <c r="AK314" s="627"/>
      <c r="AL314" s="629"/>
      <c r="AM314" s="627"/>
      <c r="AN314" s="627"/>
      <c r="AO314" s="627"/>
      <c r="AP314" s="627"/>
      <c r="AQ314" s="627"/>
      <c r="AR314" s="627"/>
      <c r="AS314" s="627"/>
      <c r="AT314" s="627"/>
      <c r="AU314" s="627"/>
      <c r="AV314" s="627"/>
      <c r="AW314" s="627"/>
      <c r="AX314" s="627"/>
      <c r="AY314" s="627"/>
      <c r="AZ314" s="627"/>
      <c r="BA314" s="627"/>
      <c r="BB314" s="627"/>
      <c r="BC314" s="627"/>
      <c r="BD314" s="627"/>
      <c r="BE314" s="627"/>
      <c r="BF314" s="627"/>
      <c r="BG314" s="627"/>
      <c r="BH314" s="627"/>
      <c r="BI314" s="627"/>
      <c r="BJ314" s="627"/>
      <c r="BK314" s="627"/>
      <c r="BL314" s="627"/>
      <c r="BM314" s="627"/>
      <c r="BN314" s="627"/>
      <c r="BO314" s="627"/>
      <c r="BP314" s="627"/>
      <c r="BQ314" s="627"/>
      <c r="BR314" s="627"/>
      <c r="BS314" s="627"/>
      <c r="BT314" s="627"/>
      <c r="BU314" s="627"/>
      <c r="BV314" s="627"/>
      <c r="BW314" s="627"/>
      <c r="BX314" s="627"/>
      <c r="BY314" s="627"/>
      <c r="BZ314" s="627"/>
      <c r="CA314" s="690"/>
      <c r="CB314" s="690"/>
      <c r="CC314" s="690"/>
      <c r="CD314" s="690"/>
      <c r="CE314" s="690"/>
      <c r="CF314" s="690"/>
      <c r="CG314" s="690"/>
      <c r="CH314" s="690"/>
      <c r="CI314" s="690"/>
      <c r="CJ314" s="690"/>
      <c r="CK314" s="690"/>
      <c r="CL314" s="690"/>
      <c r="CM314" s="690"/>
      <c r="CN314" s="690"/>
      <c r="CO314" s="690"/>
      <c r="CP314" s="690"/>
      <c r="CQ314" s="690"/>
      <c r="CR314" s="690"/>
      <c r="CS314" s="690"/>
      <c r="CT314" s="690"/>
      <c r="CU314" s="690"/>
      <c r="CV314" s="690"/>
      <c r="CW314" s="690"/>
      <c r="CX314" s="690"/>
      <c r="CY314" s="690"/>
      <c r="CZ314" s="690"/>
      <c r="DA314" s="690"/>
      <c r="DB314" s="690"/>
      <c r="DC314" s="690"/>
    </row>
    <row r="315" spans="1:107" s="630" customFormat="1" ht="12.75" hidden="1" customHeight="1">
      <c r="A315" s="504"/>
      <c r="B315" s="636" t="str">
        <f t="shared" ref="B315:AI315" si="130">IF(B100="","",B100)</f>
        <v/>
      </c>
      <c r="C315" s="628" t="str">
        <f t="shared" si="130"/>
        <v/>
      </c>
      <c r="D315" s="628" t="str">
        <f t="shared" si="130"/>
        <v/>
      </c>
      <c r="E315" s="628" t="str">
        <f t="shared" si="130"/>
        <v/>
      </c>
      <c r="F315" s="628" t="str">
        <f t="shared" si="130"/>
        <v/>
      </c>
      <c r="G315" s="628" t="str">
        <f t="shared" si="130"/>
        <v/>
      </c>
      <c r="H315" s="628" t="str">
        <f t="shared" si="130"/>
        <v/>
      </c>
      <c r="I315" s="628" t="str">
        <f t="shared" si="130"/>
        <v/>
      </c>
      <c r="J315" s="628" t="str">
        <f t="shared" si="130"/>
        <v/>
      </c>
      <c r="K315" s="628" t="str">
        <f t="shared" si="130"/>
        <v/>
      </c>
      <c r="L315" s="628" t="str">
        <f t="shared" si="130"/>
        <v/>
      </c>
      <c r="M315" s="628" t="str">
        <f t="shared" si="130"/>
        <v/>
      </c>
      <c r="N315" s="628" t="str">
        <f t="shared" si="130"/>
        <v/>
      </c>
      <c r="O315" s="628" t="str">
        <f t="shared" si="130"/>
        <v/>
      </c>
      <c r="P315" s="628" t="str">
        <f t="shared" si="130"/>
        <v/>
      </c>
      <c r="Q315" s="628" t="str">
        <f t="shared" si="130"/>
        <v/>
      </c>
      <c r="R315" s="628" t="str">
        <f t="shared" si="130"/>
        <v/>
      </c>
      <c r="S315" s="628" t="str">
        <f t="shared" si="130"/>
        <v/>
      </c>
      <c r="T315" s="628" t="str">
        <f t="shared" si="130"/>
        <v/>
      </c>
      <c r="U315" s="628" t="str">
        <f t="shared" si="130"/>
        <v/>
      </c>
      <c r="V315" s="628" t="str">
        <f t="shared" si="130"/>
        <v/>
      </c>
      <c r="W315" s="628" t="str">
        <f t="shared" si="130"/>
        <v/>
      </c>
      <c r="X315" s="628" t="str">
        <f t="shared" si="130"/>
        <v/>
      </c>
      <c r="Y315" s="628" t="str">
        <f t="shared" si="130"/>
        <v/>
      </c>
      <c r="Z315" s="628" t="str">
        <f t="shared" si="130"/>
        <v/>
      </c>
      <c r="AA315" s="628" t="str">
        <f t="shared" si="130"/>
        <v/>
      </c>
      <c r="AB315" s="628" t="str">
        <f t="shared" si="130"/>
        <v/>
      </c>
      <c r="AC315" s="628" t="str">
        <f t="shared" si="130"/>
        <v/>
      </c>
      <c r="AD315" s="628" t="str">
        <f t="shared" si="130"/>
        <v/>
      </c>
      <c r="AE315" s="628" t="str">
        <f t="shared" si="130"/>
        <v/>
      </c>
      <c r="AF315" s="628" t="str">
        <f t="shared" si="130"/>
        <v>Incentive</v>
      </c>
      <c r="AG315" s="628" t="str">
        <f t="shared" si="130"/>
        <v/>
      </c>
      <c r="AH315" s="628" t="str">
        <f t="shared" si="130"/>
        <v/>
      </c>
      <c r="AI315" s="638" t="str">
        <f t="shared" si="130"/>
        <v/>
      </c>
      <c r="AJ315" s="504"/>
      <c r="AK315" s="627"/>
      <c r="AL315" s="629"/>
      <c r="AM315" s="627"/>
      <c r="AN315" s="627"/>
      <c r="AO315" s="627"/>
      <c r="AP315" s="627"/>
      <c r="AQ315" s="627"/>
      <c r="AR315" s="627"/>
      <c r="AS315" s="627"/>
      <c r="AT315" s="627"/>
      <c r="AU315" s="627"/>
      <c r="AV315" s="627"/>
      <c r="AW315" s="627"/>
      <c r="AX315" s="627"/>
      <c r="AY315" s="627"/>
      <c r="AZ315" s="627"/>
      <c r="BA315" s="627"/>
      <c r="BB315" s="627"/>
      <c r="BC315" s="627"/>
      <c r="BD315" s="627"/>
      <c r="BE315" s="627"/>
      <c r="BF315" s="627"/>
      <c r="BG315" s="627"/>
      <c r="BH315" s="627"/>
      <c r="BI315" s="627"/>
      <c r="BJ315" s="627"/>
      <c r="BK315" s="627"/>
      <c r="BL315" s="627"/>
      <c r="BM315" s="627"/>
      <c r="BN315" s="627"/>
      <c r="BO315" s="627"/>
      <c r="BP315" s="627"/>
      <c r="BQ315" s="627"/>
      <c r="BR315" s="627"/>
      <c r="BS315" s="627"/>
      <c r="BT315" s="627"/>
      <c r="BU315" s="627"/>
      <c r="BV315" s="627"/>
      <c r="BW315" s="627"/>
      <c r="BX315" s="627"/>
      <c r="BY315" s="627"/>
      <c r="BZ315" s="627"/>
      <c r="CA315" s="690"/>
      <c r="CB315" s="690"/>
      <c r="CC315" s="690"/>
      <c r="CD315" s="690"/>
      <c r="CE315" s="690"/>
      <c r="CF315" s="690"/>
      <c r="CG315" s="690"/>
      <c r="CH315" s="690"/>
      <c r="CI315" s="690"/>
      <c r="CJ315" s="690"/>
      <c r="CK315" s="690"/>
      <c r="CL315" s="690"/>
      <c r="CM315" s="690"/>
      <c r="CN315" s="690"/>
      <c r="CO315" s="690"/>
      <c r="CP315" s="690"/>
      <c r="CQ315" s="690"/>
      <c r="CR315" s="690"/>
      <c r="CS315" s="690"/>
      <c r="CT315" s="690"/>
      <c r="CU315" s="690"/>
      <c r="CV315" s="690"/>
      <c r="CW315" s="690"/>
      <c r="CX315" s="690"/>
      <c r="CY315" s="690"/>
      <c r="CZ315" s="690"/>
      <c r="DA315" s="690"/>
      <c r="DB315" s="690"/>
      <c r="DC315" s="690"/>
    </row>
    <row r="316" spans="1:107" s="630" customFormat="1" ht="12.75" hidden="1" customHeight="1">
      <c r="A316" s="504"/>
      <c r="B316" s="636" t="str">
        <f t="shared" ref="B316:AI316" si="131">IF(B101="","",B101)</f>
        <v/>
      </c>
      <c r="C316" s="628" t="str">
        <f t="shared" si="131"/>
        <v xml:space="preserve"> CA1 - Air Compressor Variable Speed Drives</v>
      </c>
      <c r="D316" s="628" t="str">
        <f t="shared" si="131"/>
        <v/>
      </c>
      <c r="E316" s="628" t="str">
        <f t="shared" si="131"/>
        <v/>
      </c>
      <c r="F316" s="628" t="str">
        <f t="shared" si="131"/>
        <v/>
      </c>
      <c r="G316" s="628" t="str">
        <f t="shared" si="131"/>
        <v/>
      </c>
      <c r="H316" s="628" t="str">
        <f t="shared" si="131"/>
        <v/>
      </c>
      <c r="I316" s="628" t="str">
        <f t="shared" si="131"/>
        <v/>
      </c>
      <c r="J316" s="628" t="str">
        <f t="shared" si="131"/>
        <v/>
      </c>
      <c r="K316" s="628" t="str">
        <f t="shared" si="131"/>
        <v/>
      </c>
      <c r="L316" s="628" t="str">
        <f t="shared" si="131"/>
        <v/>
      </c>
      <c r="M316" s="628" t="str">
        <f t="shared" si="131"/>
        <v/>
      </c>
      <c r="N316" s="628" t="str">
        <f t="shared" si="131"/>
        <v/>
      </c>
      <c r="O316" s="628" t="str">
        <f t="shared" si="131"/>
        <v/>
      </c>
      <c r="P316" s="628" t="str">
        <f t="shared" si="131"/>
        <v/>
      </c>
      <c r="Q316" s="628" t="str">
        <f t="shared" si="131"/>
        <v/>
      </c>
      <c r="R316" s="628" t="str">
        <f t="shared" si="131"/>
        <v/>
      </c>
      <c r="S316" s="628" t="str">
        <f t="shared" si="131"/>
        <v/>
      </c>
      <c r="T316" s="628" t="str">
        <f t="shared" si="131"/>
        <v/>
      </c>
      <c r="U316" s="628" t="str">
        <f t="shared" si="131"/>
        <v/>
      </c>
      <c r="V316" s="628" t="str">
        <f t="shared" si="131"/>
        <v xml:space="preserve">Qty: </v>
      </c>
      <c r="W316" s="628" t="str">
        <f t="shared" si="131"/>
        <v/>
      </c>
      <c r="X316" s="628" t="str">
        <f t="shared" si="131"/>
        <v/>
      </c>
      <c r="Y316" s="628" t="str">
        <f t="shared" si="131"/>
        <v>hp</v>
      </c>
      <c r="Z316" s="628" t="str">
        <f t="shared" si="131"/>
        <v/>
      </c>
      <c r="AA316" s="628" t="str">
        <f t="shared" si="131"/>
        <v/>
      </c>
      <c r="AB316" s="628" t="str">
        <f t="shared" si="131"/>
        <v/>
      </c>
      <c r="AC316" s="628" t="str">
        <f t="shared" si="131"/>
        <v/>
      </c>
      <c r="AD316" s="628" t="str">
        <f t="shared" si="131"/>
        <v>x $200 per hp=</v>
      </c>
      <c r="AE316" s="628" t="str">
        <f t="shared" si="131"/>
        <v>$</v>
      </c>
      <c r="AF316" s="628" t="str">
        <f t="shared" si="131"/>
        <v/>
      </c>
      <c r="AG316" s="628" t="str">
        <f t="shared" si="131"/>
        <v/>
      </c>
      <c r="AH316" s="628" t="str">
        <f t="shared" si="131"/>
        <v/>
      </c>
      <c r="AI316" s="638" t="str">
        <f t="shared" si="131"/>
        <v/>
      </c>
      <c r="AJ316" s="504"/>
      <c r="AK316" s="627"/>
      <c r="AL316" s="629"/>
      <c r="AM316" s="627"/>
      <c r="AN316" s="627"/>
      <c r="AO316" s="627"/>
      <c r="AP316" s="627"/>
      <c r="AQ316" s="627"/>
      <c r="AR316" s="627"/>
      <c r="AS316" s="627"/>
      <c r="AT316" s="627"/>
      <c r="AU316" s="627"/>
      <c r="AV316" s="627"/>
      <c r="AW316" s="627"/>
      <c r="AX316" s="627"/>
      <c r="AY316" s="627"/>
      <c r="AZ316" s="627"/>
      <c r="BA316" s="627"/>
      <c r="BB316" s="627"/>
      <c r="BC316" s="627"/>
      <c r="BD316" s="627"/>
      <c r="BE316" s="627"/>
      <c r="BF316" s="627"/>
      <c r="BG316" s="627"/>
      <c r="BH316" s="627"/>
      <c r="BI316" s="627"/>
      <c r="BJ316" s="627"/>
      <c r="BK316" s="627"/>
      <c r="BL316" s="627"/>
      <c r="BM316" s="627"/>
      <c r="BN316" s="627"/>
      <c r="BO316" s="627"/>
      <c r="BP316" s="627"/>
      <c r="BQ316" s="627"/>
      <c r="BR316" s="627"/>
      <c r="BS316" s="627"/>
      <c r="BT316" s="627"/>
      <c r="BU316" s="627"/>
      <c r="BV316" s="627"/>
      <c r="BW316" s="627"/>
      <c r="BX316" s="627"/>
      <c r="BY316" s="627"/>
      <c r="BZ316" s="627"/>
      <c r="CA316" s="690"/>
      <c r="CB316" s="690"/>
      <c r="CC316" s="690"/>
      <c r="CD316" s="690"/>
      <c r="CE316" s="690"/>
      <c r="CF316" s="690"/>
      <c r="CG316" s="690"/>
      <c r="CH316" s="690"/>
      <c r="CI316" s="690"/>
      <c r="CJ316" s="690"/>
      <c r="CK316" s="690"/>
      <c r="CL316" s="690"/>
      <c r="CM316" s="690"/>
      <c r="CN316" s="690"/>
      <c r="CO316" s="690"/>
      <c r="CP316" s="690"/>
      <c r="CQ316" s="690"/>
      <c r="CR316" s="690"/>
      <c r="CS316" s="690"/>
      <c r="CT316" s="690"/>
      <c r="CU316" s="690"/>
      <c r="CV316" s="690"/>
      <c r="CW316" s="690"/>
      <c r="CX316" s="690"/>
      <c r="CY316" s="690"/>
      <c r="CZ316" s="690"/>
      <c r="DA316" s="690"/>
      <c r="DB316" s="690"/>
      <c r="DC316" s="690"/>
    </row>
    <row r="317" spans="1:107" s="630" customFormat="1" ht="12.75" hidden="1" customHeight="1">
      <c r="A317" s="504"/>
      <c r="B317" s="636" t="str">
        <f t="shared" ref="B317:AI317" si="132">IF(B102="","",B102)</f>
        <v/>
      </c>
      <c r="C317" s="628" t="str">
        <f t="shared" si="132"/>
        <v xml:space="preserve"> CA2 - No Loss Condensate Drain</v>
      </c>
      <c r="D317" s="628" t="str">
        <f t="shared" si="132"/>
        <v/>
      </c>
      <c r="E317" s="628" t="str">
        <f t="shared" si="132"/>
        <v/>
      </c>
      <c r="F317" s="628" t="str">
        <f t="shared" si="132"/>
        <v/>
      </c>
      <c r="G317" s="628" t="str">
        <f t="shared" si="132"/>
        <v/>
      </c>
      <c r="H317" s="628" t="str">
        <f t="shared" si="132"/>
        <v/>
      </c>
      <c r="I317" s="628" t="str">
        <f t="shared" si="132"/>
        <v/>
      </c>
      <c r="J317" s="628" t="str">
        <f t="shared" si="132"/>
        <v/>
      </c>
      <c r="K317" s="628" t="str">
        <f t="shared" si="132"/>
        <v/>
      </c>
      <c r="L317" s="628" t="str">
        <f t="shared" si="132"/>
        <v/>
      </c>
      <c r="M317" s="628" t="str">
        <f t="shared" si="132"/>
        <v/>
      </c>
      <c r="N317" s="628" t="str">
        <f t="shared" si="132"/>
        <v/>
      </c>
      <c r="O317" s="628" t="str">
        <f t="shared" si="132"/>
        <v/>
      </c>
      <c r="P317" s="628" t="str">
        <f t="shared" si="132"/>
        <v/>
      </c>
      <c r="Q317" s="628" t="str">
        <f t="shared" si="132"/>
        <v/>
      </c>
      <c r="R317" s="628" t="str">
        <f t="shared" si="132"/>
        <v/>
      </c>
      <c r="S317" s="628" t="str">
        <f t="shared" si="132"/>
        <v/>
      </c>
      <c r="T317" s="628" t="str">
        <f t="shared" si="132"/>
        <v/>
      </c>
      <c r="U317" s="628" t="str">
        <f t="shared" si="132"/>
        <v/>
      </c>
      <c r="V317" s="628" t="str">
        <f t="shared" si="132"/>
        <v xml:space="preserve">Qty: </v>
      </c>
      <c r="W317" s="628" t="str">
        <f t="shared" si="132"/>
        <v/>
      </c>
      <c r="X317" s="628" t="str">
        <f t="shared" si="132"/>
        <v/>
      </c>
      <c r="Y317" s="628" t="str">
        <f t="shared" si="132"/>
        <v>unit</v>
      </c>
      <c r="Z317" s="628" t="str">
        <f t="shared" si="132"/>
        <v/>
      </c>
      <c r="AA317" s="628" t="str">
        <f t="shared" si="132"/>
        <v/>
      </c>
      <c r="AB317" s="628" t="str">
        <f t="shared" si="132"/>
        <v/>
      </c>
      <c r="AC317" s="628" t="str">
        <f t="shared" si="132"/>
        <v/>
      </c>
      <c r="AD317" s="628" t="str">
        <f t="shared" si="132"/>
        <v>x $200 per unit=</v>
      </c>
      <c r="AE317" s="628" t="str">
        <f t="shared" si="132"/>
        <v>$</v>
      </c>
      <c r="AF317" s="628" t="str">
        <f t="shared" si="132"/>
        <v/>
      </c>
      <c r="AG317" s="628" t="str">
        <f t="shared" si="132"/>
        <v/>
      </c>
      <c r="AH317" s="628" t="str">
        <f t="shared" si="132"/>
        <v/>
      </c>
      <c r="AI317" s="638" t="str">
        <f t="shared" si="132"/>
        <v/>
      </c>
      <c r="AJ317" s="504"/>
      <c r="AK317" s="627"/>
      <c r="AL317" s="629"/>
      <c r="AM317" s="627"/>
      <c r="AN317" s="627"/>
      <c r="AO317" s="627"/>
      <c r="AP317" s="627"/>
      <c r="AQ317" s="627"/>
      <c r="AR317" s="627"/>
      <c r="AS317" s="627"/>
      <c r="AT317" s="627"/>
      <c r="AU317" s="627"/>
      <c r="AV317" s="627"/>
      <c r="AW317" s="627"/>
      <c r="AX317" s="627"/>
      <c r="AY317" s="627"/>
      <c r="AZ317" s="627"/>
      <c r="BA317" s="627"/>
      <c r="BB317" s="627"/>
      <c r="BC317" s="627"/>
      <c r="BD317" s="627"/>
      <c r="BE317" s="627"/>
      <c r="BF317" s="627"/>
      <c r="BG317" s="627"/>
      <c r="BH317" s="627"/>
      <c r="BI317" s="627"/>
      <c r="BJ317" s="627"/>
      <c r="BK317" s="627"/>
      <c r="BL317" s="627"/>
      <c r="BM317" s="627"/>
      <c r="BN317" s="627"/>
      <c r="BO317" s="627"/>
      <c r="BP317" s="627"/>
      <c r="BQ317" s="627"/>
      <c r="BR317" s="627"/>
      <c r="BS317" s="627"/>
      <c r="BT317" s="627"/>
      <c r="BU317" s="627"/>
      <c r="BV317" s="627"/>
      <c r="BW317" s="627"/>
      <c r="BX317" s="627"/>
      <c r="BY317" s="627"/>
      <c r="BZ317" s="627"/>
      <c r="CA317" s="690"/>
      <c r="CB317" s="690"/>
      <c r="CC317" s="690"/>
      <c r="CD317" s="690"/>
      <c r="CE317" s="690"/>
      <c r="CF317" s="690"/>
      <c r="CG317" s="690"/>
      <c r="CH317" s="690"/>
      <c r="CI317" s="690"/>
      <c r="CJ317" s="690"/>
      <c r="CK317" s="690"/>
      <c r="CL317" s="690"/>
      <c r="CM317" s="690"/>
      <c r="CN317" s="690"/>
      <c r="CO317" s="690"/>
      <c r="CP317" s="690"/>
      <c r="CQ317" s="690"/>
      <c r="CR317" s="690"/>
      <c r="CS317" s="690"/>
      <c r="CT317" s="690"/>
      <c r="CU317" s="690"/>
      <c r="CV317" s="690"/>
      <c r="CW317" s="690"/>
      <c r="CX317" s="690"/>
      <c r="CY317" s="690"/>
      <c r="CZ317" s="690"/>
      <c r="DA317" s="690"/>
      <c r="DB317" s="690"/>
      <c r="DC317" s="690"/>
    </row>
    <row r="318" spans="1:107" s="630" customFormat="1" ht="12.75" hidden="1" customHeight="1">
      <c r="A318" s="504"/>
      <c r="B318" s="636" t="str">
        <f t="shared" ref="B318:AI318" si="133">IF(B103="","",B103)</f>
        <v/>
      </c>
      <c r="C318" s="628" t="str">
        <f t="shared" si="133"/>
        <v xml:space="preserve"> CA3 - Low Pressure Drop Filter</v>
      </c>
      <c r="D318" s="628" t="str">
        <f t="shared" si="133"/>
        <v/>
      </c>
      <c r="E318" s="628" t="str">
        <f t="shared" si="133"/>
        <v/>
      </c>
      <c r="F318" s="628" t="str">
        <f t="shared" si="133"/>
        <v/>
      </c>
      <c r="G318" s="628" t="str">
        <f t="shared" si="133"/>
        <v/>
      </c>
      <c r="H318" s="628" t="str">
        <f t="shared" si="133"/>
        <v/>
      </c>
      <c r="I318" s="628" t="str">
        <f t="shared" si="133"/>
        <v/>
      </c>
      <c r="J318" s="628" t="str">
        <f t="shared" si="133"/>
        <v/>
      </c>
      <c r="K318" s="628" t="str">
        <f t="shared" si="133"/>
        <v/>
      </c>
      <c r="L318" s="628" t="str">
        <f t="shared" si="133"/>
        <v/>
      </c>
      <c r="M318" s="628" t="str">
        <f t="shared" si="133"/>
        <v/>
      </c>
      <c r="N318" s="628" t="str">
        <f t="shared" si="133"/>
        <v/>
      </c>
      <c r="O318" s="628" t="str">
        <f t="shared" si="133"/>
        <v/>
      </c>
      <c r="P318" s="628" t="str">
        <f t="shared" si="133"/>
        <v/>
      </c>
      <c r="Q318" s="628" t="str">
        <f t="shared" si="133"/>
        <v/>
      </c>
      <c r="R318" s="628" t="str">
        <f t="shared" si="133"/>
        <v/>
      </c>
      <c r="S318" s="628" t="str">
        <f t="shared" si="133"/>
        <v/>
      </c>
      <c r="T318" s="628" t="str">
        <f t="shared" si="133"/>
        <v/>
      </c>
      <c r="U318" s="628" t="str">
        <f t="shared" si="133"/>
        <v/>
      </c>
      <c r="V318" s="628" t="str">
        <f t="shared" si="133"/>
        <v xml:space="preserve">Qty: </v>
      </c>
      <c r="W318" s="628" t="str">
        <f t="shared" si="133"/>
        <v/>
      </c>
      <c r="X318" s="628" t="str">
        <f t="shared" si="133"/>
        <v/>
      </c>
      <c r="Y318" s="628" t="str">
        <f t="shared" si="133"/>
        <v>hp</v>
      </c>
      <c r="Z318" s="628" t="str">
        <f t="shared" si="133"/>
        <v/>
      </c>
      <c r="AA318" s="628" t="str">
        <f t="shared" si="133"/>
        <v/>
      </c>
      <c r="AB318" s="628" t="str">
        <f t="shared" si="133"/>
        <v/>
      </c>
      <c r="AC318" s="628" t="str">
        <f t="shared" si="133"/>
        <v/>
      </c>
      <c r="AD318" s="628" t="str">
        <f t="shared" si="133"/>
        <v>x $10 per hp=</v>
      </c>
      <c r="AE318" s="628" t="str">
        <f t="shared" si="133"/>
        <v>$</v>
      </c>
      <c r="AF318" s="628" t="str">
        <f t="shared" si="133"/>
        <v/>
      </c>
      <c r="AG318" s="628" t="str">
        <f t="shared" si="133"/>
        <v/>
      </c>
      <c r="AH318" s="628" t="str">
        <f t="shared" si="133"/>
        <v/>
      </c>
      <c r="AI318" s="638" t="str">
        <f t="shared" si="133"/>
        <v/>
      </c>
      <c r="AJ318" s="504"/>
      <c r="AK318" s="627"/>
      <c r="AL318" s="629"/>
      <c r="AM318" s="627"/>
      <c r="AN318" s="627"/>
      <c r="AO318" s="627"/>
      <c r="AP318" s="627"/>
      <c r="AQ318" s="627"/>
      <c r="AR318" s="627"/>
      <c r="AS318" s="627"/>
      <c r="AT318" s="627"/>
      <c r="AU318" s="627"/>
      <c r="AV318" s="627"/>
      <c r="AW318" s="627"/>
      <c r="AX318" s="627"/>
      <c r="AY318" s="627"/>
      <c r="AZ318" s="627"/>
      <c r="BA318" s="627"/>
      <c r="BB318" s="627"/>
      <c r="BC318" s="627"/>
      <c r="BD318" s="627"/>
      <c r="BE318" s="627"/>
      <c r="BF318" s="627"/>
      <c r="BG318" s="627"/>
      <c r="BH318" s="627"/>
      <c r="BI318" s="627"/>
      <c r="BJ318" s="627"/>
      <c r="BK318" s="627"/>
      <c r="BL318" s="627"/>
      <c r="BM318" s="627"/>
      <c r="BN318" s="627"/>
      <c r="BO318" s="627"/>
      <c r="BP318" s="627"/>
      <c r="BQ318" s="627"/>
      <c r="BR318" s="627"/>
      <c r="BS318" s="627"/>
      <c r="BT318" s="627"/>
      <c r="BU318" s="627"/>
      <c r="BV318" s="627"/>
      <c r="BW318" s="627"/>
      <c r="BX318" s="627"/>
      <c r="BY318" s="627"/>
      <c r="BZ318" s="627"/>
      <c r="CA318" s="690"/>
      <c r="CB318" s="690"/>
      <c r="CC318" s="690"/>
      <c r="CD318" s="690"/>
      <c r="CE318" s="690"/>
      <c r="CF318" s="690"/>
      <c r="CG318" s="690"/>
      <c r="CH318" s="690"/>
      <c r="CI318" s="690"/>
      <c r="CJ318" s="690"/>
      <c r="CK318" s="690"/>
      <c r="CL318" s="690"/>
      <c r="CM318" s="690"/>
      <c r="CN318" s="690"/>
      <c r="CO318" s="690"/>
      <c r="CP318" s="690"/>
      <c r="CQ318" s="690"/>
      <c r="CR318" s="690"/>
      <c r="CS318" s="690"/>
      <c r="CT318" s="690"/>
      <c r="CU318" s="690"/>
      <c r="CV318" s="690"/>
      <c r="CW318" s="690"/>
      <c r="CX318" s="690"/>
      <c r="CY318" s="690"/>
      <c r="CZ318" s="690"/>
      <c r="DA318" s="690"/>
      <c r="DB318" s="690"/>
      <c r="DC318" s="690"/>
    </row>
    <row r="319" spans="1:107" s="630" customFormat="1" ht="12.75" hidden="1" customHeight="1">
      <c r="A319" s="504"/>
      <c r="B319" s="636" t="str">
        <f t="shared" ref="B319:AI319" si="134">IF(B104="","",B104)</f>
        <v/>
      </c>
      <c r="C319" s="628" t="str">
        <f t="shared" si="134"/>
        <v xml:space="preserve"> CA4 - Refrigerated Compressed Air Dryer*</v>
      </c>
      <c r="D319" s="628" t="str">
        <f t="shared" si="134"/>
        <v/>
      </c>
      <c r="E319" s="628" t="str">
        <f t="shared" si="134"/>
        <v/>
      </c>
      <c r="F319" s="628" t="str">
        <f t="shared" si="134"/>
        <v/>
      </c>
      <c r="G319" s="628" t="str">
        <f t="shared" si="134"/>
        <v/>
      </c>
      <c r="H319" s="628" t="str">
        <f t="shared" si="134"/>
        <v/>
      </c>
      <c r="I319" s="628" t="str">
        <f t="shared" si="134"/>
        <v/>
      </c>
      <c r="J319" s="628" t="str">
        <f t="shared" si="134"/>
        <v/>
      </c>
      <c r="K319" s="628" t="str">
        <f t="shared" si="134"/>
        <v/>
      </c>
      <c r="L319" s="628" t="str">
        <f t="shared" si="134"/>
        <v/>
      </c>
      <c r="M319" s="628" t="str">
        <f t="shared" si="134"/>
        <v/>
      </c>
      <c r="N319" s="628" t="str">
        <f t="shared" si="134"/>
        <v/>
      </c>
      <c r="O319" s="628" t="str">
        <f t="shared" si="134"/>
        <v/>
      </c>
      <c r="P319" s="628" t="str">
        <f t="shared" si="134"/>
        <v/>
      </c>
      <c r="Q319" s="628" t="str">
        <f t="shared" si="134"/>
        <v/>
      </c>
      <c r="R319" s="628" t="str">
        <f t="shared" si="134"/>
        <v/>
      </c>
      <c r="S319" s="628" t="str">
        <f t="shared" si="134"/>
        <v/>
      </c>
      <c r="T319" s="628" t="str">
        <f t="shared" si="134"/>
        <v/>
      </c>
      <c r="U319" s="628" t="str">
        <f t="shared" si="134"/>
        <v/>
      </c>
      <c r="V319" s="628" t="str">
        <f t="shared" si="134"/>
        <v xml:space="preserve">Qty: </v>
      </c>
      <c r="W319" s="628" t="str">
        <f t="shared" si="134"/>
        <v/>
      </c>
      <c r="X319" s="628" t="str">
        <f t="shared" si="134"/>
        <v/>
      </c>
      <c r="Y319" s="628" t="str">
        <f t="shared" si="134"/>
        <v>cfm</v>
      </c>
      <c r="Z319" s="628" t="str">
        <f t="shared" si="134"/>
        <v/>
      </c>
      <c r="AA319" s="628" t="str">
        <f t="shared" si="134"/>
        <v/>
      </c>
      <c r="AB319" s="628" t="str">
        <f t="shared" si="134"/>
        <v/>
      </c>
      <c r="AC319" s="628" t="str">
        <f t="shared" si="134"/>
        <v/>
      </c>
      <c r="AD319" s="628" t="str">
        <f t="shared" si="134"/>
        <v>x $3 per cfm =</v>
      </c>
      <c r="AE319" s="628" t="str">
        <f t="shared" si="134"/>
        <v>$</v>
      </c>
      <c r="AF319" s="628" t="str">
        <f t="shared" si="134"/>
        <v/>
      </c>
      <c r="AG319" s="628" t="str">
        <f t="shared" si="134"/>
        <v/>
      </c>
      <c r="AH319" s="628" t="str">
        <f t="shared" si="134"/>
        <v/>
      </c>
      <c r="AI319" s="638" t="str">
        <f t="shared" si="134"/>
        <v/>
      </c>
      <c r="AJ319" s="504"/>
      <c r="AK319" s="627"/>
      <c r="AL319" s="629"/>
      <c r="AM319" s="627"/>
      <c r="AN319" s="627"/>
      <c r="AO319" s="627"/>
      <c r="AP319" s="627"/>
      <c r="AQ319" s="627"/>
      <c r="AR319" s="627"/>
      <c r="AS319" s="627"/>
      <c r="AT319" s="627"/>
      <c r="AU319" s="627"/>
      <c r="AV319" s="627"/>
      <c r="AW319" s="627"/>
      <c r="AX319" s="627"/>
      <c r="AY319" s="627"/>
      <c r="AZ319" s="627"/>
      <c r="BA319" s="627"/>
      <c r="BB319" s="627"/>
      <c r="BC319" s="627"/>
      <c r="BD319" s="627"/>
      <c r="BE319" s="627"/>
      <c r="BF319" s="627"/>
      <c r="BG319" s="627"/>
      <c r="BH319" s="627"/>
      <c r="BI319" s="627"/>
      <c r="BJ319" s="627"/>
      <c r="BK319" s="627"/>
      <c r="BL319" s="627"/>
      <c r="BM319" s="627"/>
      <c r="BN319" s="627"/>
      <c r="BO319" s="627"/>
      <c r="BP319" s="627"/>
      <c r="BQ319" s="627"/>
      <c r="BR319" s="627"/>
      <c r="BS319" s="627"/>
      <c r="BT319" s="627"/>
      <c r="BU319" s="627"/>
      <c r="BV319" s="627"/>
      <c r="BW319" s="627"/>
      <c r="BX319" s="627"/>
      <c r="BY319" s="627"/>
      <c r="BZ319" s="627"/>
      <c r="CA319" s="690"/>
      <c r="CB319" s="690"/>
      <c r="CC319" s="690"/>
      <c r="CD319" s="690"/>
      <c r="CE319" s="690"/>
      <c r="CF319" s="690"/>
      <c r="CG319" s="690"/>
      <c r="CH319" s="690"/>
      <c r="CI319" s="690"/>
      <c r="CJ319" s="690"/>
      <c r="CK319" s="690"/>
      <c r="CL319" s="690"/>
      <c r="CM319" s="690"/>
      <c r="CN319" s="690"/>
      <c r="CO319" s="690"/>
      <c r="CP319" s="690"/>
      <c r="CQ319" s="690"/>
      <c r="CR319" s="690"/>
      <c r="CS319" s="690"/>
      <c r="CT319" s="690"/>
      <c r="CU319" s="690"/>
      <c r="CV319" s="690"/>
      <c r="CW319" s="690"/>
      <c r="CX319" s="690"/>
      <c r="CY319" s="690"/>
      <c r="CZ319" s="690"/>
      <c r="DA319" s="690"/>
      <c r="DB319" s="690"/>
      <c r="DC319" s="690"/>
    </row>
    <row r="320" spans="1:107" s="630" customFormat="1" ht="12.75" hidden="1" customHeight="1">
      <c r="A320" s="504"/>
      <c r="B320" s="636" t="str">
        <f t="shared" ref="B320:AI320" si="135">IF(B105="","",B105)</f>
        <v/>
      </c>
      <c r="C320" s="628" t="str">
        <f t="shared" si="135"/>
        <v xml:space="preserve"> CA5 - Efficient Compressed Air Nozzle</v>
      </c>
      <c r="D320" s="628" t="str">
        <f t="shared" si="135"/>
        <v/>
      </c>
      <c r="E320" s="628" t="str">
        <f t="shared" si="135"/>
        <v/>
      </c>
      <c r="F320" s="628" t="str">
        <f t="shared" si="135"/>
        <v/>
      </c>
      <c r="G320" s="628" t="str">
        <f t="shared" si="135"/>
        <v/>
      </c>
      <c r="H320" s="628" t="str">
        <f t="shared" si="135"/>
        <v/>
      </c>
      <c r="I320" s="628" t="str">
        <f t="shared" si="135"/>
        <v/>
      </c>
      <c r="J320" s="628" t="str">
        <f t="shared" si="135"/>
        <v/>
      </c>
      <c r="K320" s="628" t="str">
        <f t="shared" si="135"/>
        <v/>
      </c>
      <c r="L320" s="628" t="str">
        <f t="shared" si="135"/>
        <v/>
      </c>
      <c r="M320" s="628" t="str">
        <f t="shared" si="135"/>
        <v/>
      </c>
      <c r="N320" s="628" t="str">
        <f t="shared" si="135"/>
        <v/>
      </c>
      <c r="O320" s="628" t="str">
        <f t="shared" si="135"/>
        <v/>
      </c>
      <c r="P320" s="628" t="str">
        <f t="shared" si="135"/>
        <v/>
      </c>
      <c r="Q320" s="628" t="str">
        <f t="shared" si="135"/>
        <v/>
      </c>
      <c r="R320" s="628" t="str">
        <f t="shared" si="135"/>
        <v/>
      </c>
      <c r="S320" s="628" t="str">
        <f t="shared" si="135"/>
        <v/>
      </c>
      <c r="T320" s="628" t="str">
        <f t="shared" si="135"/>
        <v/>
      </c>
      <c r="U320" s="628" t="str">
        <f t="shared" si="135"/>
        <v/>
      </c>
      <c r="V320" s="628" t="str">
        <f t="shared" si="135"/>
        <v xml:space="preserve">Qty: </v>
      </c>
      <c r="W320" s="628" t="str">
        <f t="shared" si="135"/>
        <v/>
      </c>
      <c r="X320" s="628" t="str">
        <f t="shared" si="135"/>
        <v/>
      </c>
      <c r="Y320" s="628" t="str">
        <f t="shared" si="135"/>
        <v>nozzle</v>
      </c>
      <c r="Z320" s="628" t="str">
        <f t="shared" si="135"/>
        <v/>
      </c>
      <c r="AA320" s="628" t="str">
        <f t="shared" si="135"/>
        <v/>
      </c>
      <c r="AB320" s="628" t="str">
        <f t="shared" si="135"/>
        <v/>
      </c>
      <c r="AC320" s="628" t="str">
        <f t="shared" si="135"/>
        <v/>
      </c>
      <c r="AD320" s="628" t="str">
        <f t="shared" si="135"/>
        <v>x $80 per nozzle =</v>
      </c>
      <c r="AE320" s="628" t="str">
        <f t="shared" si="135"/>
        <v>$</v>
      </c>
      <c r="AF320" s="628" t="str">
        <f t="shared" si="135"/>
        <v/>
      </c>
      <c r="AG320" s="628" t="str">
        <f t="shared" si="135"/>
        <v/>
      </c>
      <c r="AH320" s="628" t="str">
        <f t="shared" si="135"/>
        <v/>
      </c>
      <c r="AI320" s="638" t="str">
        <f t="shared" si="135"/>
        <v/>
      </c>
      <c r="AJ320" s="504"/>
      <c r="AK320" s="627"/>
      <c r="AL320" s="629"/>
      <c r="AM320" s="627"/>
      <c r="AN320" s="627"/>
      <c r="AO320" s="627"/>
      <c r="AP320" s="627"/>
      <c r="AQ320" s="627"/>
      <c r="AR320" s="627"/>
      <c r="AS320" s="627"/>
      <c r="AT320" s="627"/>
      <c r="AU320" s="627"/>
      <c r="AV320" s="627"/>
      <c r="AW320" s="627"/>
      <c r="AX320" s="627"/>
      <c r="AY320" s="627"/>
      <c r="AZ320" s="627"/>
      <c r="BA320" s="627"/>
      <c r="BB320" s="627"/>
      <c r="BC320" s="627"/>
      <c r="BD320" s="627"/>
      <c r="BE320" s="627"/>
      <c r="BF320" s="627"/>
      <c r="BG320" s="627"/>
      <c r="BH320" s="627"/>
      <c r="BI320" s="627"/>
      <c r="BJ320" s="627"/>
      <c r="BK320" s="627"/>
      <c r="BL320" s="627"/>
      <c r="BM320" s="627"/>
      <c r="BN320" s="627"/>
      <c r="BO320" s="627"/>
      <c r="BP320" s="627"/>
      <c r="BQ320" s="627"/>
      <c r="BR320" s="627"/>
      <c r="BS320" s="627"/>
      <c r="BT320" s="627"/>
      <c r="BU320" s="627"/>
      <c r="BV320" s="627"/>
      <c r="BW320" s="627"/>
      <c r="BX320" s="627"/>
      <c r="BY320" s="627"/>
      <c r="BZ320" s="627"/>
      <c r="CA320" s="690"/>
      <c r="CB320" s="690"/>
      <c r="CC320" s="690"/>
      <c r="CD320" s="690"/>
      <c r="CE320" s="690"/>
      <c r="CF320" s="690"/>
      <c r="CG320" s="690"/>
      <c r="CH320" s="690"/>
      <c r="CI320" s="690"/>
      <c r="CJ320" s="690"/>
      <c r="CK320" s="690"/>
      <c r="CL320" s="690"/>
      <c r="CM320" s="690"/>
      <c r="CN320" s="690"/>
      <c r="CO320" s="690"/>
      <c r="CP320" s="690"/>
      <c r="CQ320" s="690"/>
      <c r="CR320" s="690"/>
      <c r="CS320" s="690"/>
      <c r="CT320" s="690"/>
      <c r="CU320" s="690"/>
      <c r="CV320" s="690"/>
      <c r="CW320" s="690"/>
      <c r="CX320" s="690"/>
      <c r="CY320" s="690"/>
      <c r="CZ320" s="690"/>
      <c r="DA320" s="690"/>
      <c r="DB320" s="690"/>
      <c r="DC320" s="690"/>
    </row>
    <row r="321" spans="1:256" s="630" customFormat="1" ht="12.75" hidden="1" customHeight="1">
      <c r="A321" s="504"/>
      <c r="B321" s="636" t="str">
        <f t="shared" ref="B321:AI321" si="136">IF(B106="","",B106)</f>
        <v/>
      </c>
      <c r="C321" s="628" t="str">
        <f t="shared" si="136"/>
        <v/>
      </c>
      <c r="D321" s="628" t="str">
        <f t="shared" si="136"/>
        <v/>
      </c>
      <c r="E321" s="628" t="str">
        <f t="shared" si="136"/>
        <v/>
      </c>
      <c r="F321" s="628" t="str">
        <f t="shared" si="136"/>
        <v/>
      </c>
      <c r="G321" s="628" t="str">
        <f t="shared" si="136"/>
        <v/>
      </c>
      <c r="H321" s="628" t="str">
        <f t="shared" si="136"/>
        <v/>
      </c>
      <c r="I321" s="628" t="str">
        <f t="shared" si="136"/>
        <v/>
      </c>
      <c r="J321" s="628" t="str">
        <f t="shared" si="136"/>
        <v/>
      </c>
      <c r="K321" s="628" t="str">
        <f t="shared" si="136"/>
        <v/>
      </c>
      <c r="L321" s="628" t="str">
        <f t="shared" si="136"/>
        <v/>
      </c>
      <c r="M321" s="628" t="str">
        <f t="shared" si="136"/>
        <v/>
      </c>
      <c r="N321" s="628" t="str">
        <f t="shared" si="136"/>
        <v/>
      </c>
      <c r="O321" s="628" t="str">
        <f t="shared" si="136"/>
        <v/>
      </c>
      <c r="P321" s="628" t="str">
        <f t="shared" si="136"/>
        <v/>
      </c>
      <c r="Q321" s="628" t="str">
        <f t="shared" si="136"/>
        <v/>
      </c>
      <c r="R321" s="628" t="str">
        <f t="shared" si="136"/>
        <v/>
      </c>
      <c r="S321" s="628" t="str">
        <f t="shared" si="136"/>
        <v/>
      </c>
      <c r="T321" s="628" t="str">
        <f t="shared" si="136"/>
        <v/>
      </c>
      <c r="U321" s="628" t="str">
        <f t="shared" si="136"/>
        <v/>
      </c>
      <c r="V321" s="628" t="str">
        <f t="shared" si="136"/>
        <v/>
      </c>
      <c r="W321" s="628" t="str">
        <f t="shared" si="136"/>
        <v/>
      </c>
      <c r="X321" s="628" t="str">
        <f t="shared" si="136"/>
        <v/>
      </c>
      <c r="Y321" s="628" t="str">
        <f t="shared" si="136"/>
        <v/>
      </c>
      <c r="Z321" s="628" t="str">
        <f t="shared" si="136"/>
        <v/>
      </c>
      <c r="AA321" s="628" t="str">
        <f t="shared" si="136"/>
        <v/>
      </c>
      <c r="AB321" s="628" t="str">
        <f t="shared" si="136"/>
        <v/>
      </c>
      <c r="AC321" s="628" t="str">
        <f t="shared" si="136"/>
        <v/>
      </c>
      <c r="AD321" s="628" t="str">
        <f t="shared" si="136"/>
        <v/>
      </c>
      <c r="AE321" s="628" t="str">
        <f t="shared" si="136"/>
        <v/>
      </c>
      <c r="AF321" s="628" t="str">
        <f t="shared" si="136"/>
        <v/>
      </c>
      <c r="AG321" s="628" t="str">
        <f t="shared" si="136"/>
        <v/>
      </c>
      <c r="AH321" s="628" t="str">
        <f t="shared" si="136"/>
        <v/>
      </c>
      <c r="AI321" s="638" t="str">
        <f t="shared" si="136"/>
        <v/>
      </c>
      <c r="AJ321" s="504"/>
      <c r="AK321" s="627"/>
      <c r="AL321" s="629"/>
      <c r="AM321" s="627"/>
      <c r="AN321" s="627"/>
      <c r="AO321" s="627"/>
      <c r="AP321" s="627"/>
      <c r="AQ321" s="627"/>
      <c r="AR321" s="627"/>
      <c r="AS321" s="627"/>
      <c r="AT321" s="627"/>
      <c r="AU321" s="627"/>
      <c r="AV321" s="627"/>
      <c r="AW321" s="627"/>
      <c r="AX321" s="627"/>
      <c r="AY321" s="627"/>
      <c r="AZ321" s="627"/>
      <c r="BA321" s="627"/>
      <c r="BB321" s="627"/>
      <c r="BC321" s="627"/>
      <c r="BD321" s="627"/>
      <c r="BE321" s="627"/>
      <c r="BF321" s="627"/>
      <c r="BG321" s="627"/>
      <c r="BH321" s="627"/>
      <c r="BI321" s="627"/>
      <c r="BJ321" s="627"/>
      <c r="BK321" s="627"/>
      <c r="BL321" s="627"/>
      <c r="BM321" s="627"/>
      <c r="BN321" s="627"/>
      <c r="BO321" s="627"/>
      <c r="BP321" s="627"/>
      <c r="BQ321" s="627"/>
      <c r="BR321" s="627"/>
      <c r="BS321" s="627"/>
      <c r="BT321" s="627"/>
      <c r="BU321" s="627"/>
      <c r="BV321" s="627"/>
      <c r="BW321" s="627"/>
      <c r="BX321" s="627"/>
      <c r="BY321" s="627"/>
      <c r="BZ321" s="627"/>
      <c r="CA321" s="690"/>
      <c r="CB321" s="690"/>
      <c r="CC321" s="690"/>
      <c r="CD321" s="690"/>
      <c r="CE321" s="690"/>
      <c r="CF321" s="690"/>
      <c r="CG321" s="690"/>
      <c r="CH321" s="690"/>
      <c r="CI321" s="690"/>
      <c r="CJ321" s="690"/>
      <c r="CK321" s="690"/>
      <c r="CL321" s="690"/>
      <c r="CM321" s="690"/>
      <c r="CN321" s="690"/>
      <c r="CO321" s="690"/>
      <c r="CP321" s="690"/>
      <c r="CQ321" s="690"/>
      <c r="CR321" s="690"/>
      <c r="CS321" s="690"/>
      <c r="CT321" s="690"/>
      <c r="CU321" s="690"/>
      <c r="CV321" s="690"/>
      <c r="CW321" s="690"/>
      <c r="CX321" s="690"/>
      <c r="CY321" s="690"/>
      <c r="CZ321" s="690"/>
      <c r="DA321" s="690"/>
      <c r="DB321" s="690"/>
      <c r="DC321" s="690"/>
    </row>
    <row r="322" spans="1:256" s="630" customFormat="1" ht="12.75" hidden="1" customHeight="1">
      <c r="A322" s="504"/>
      <c r="B322" s="636" t="str">
        <f t="shared" ref="B322:AI322" si="137">IF(B107="","",B107)</f>
        <v/>
      </c>
      <c r="C322" s="628" t="str">
        <f t="shared" si="137"/>
        <v/>
      </c>
      <c r="D322" s="628" t="str">
        <f t="shared" si="137"/>
        <v/>
      </c>
      <c r="E322" s="628" t="str">
        <f t="shared" si="137"/>
        <v/>
      </c>
      <c r="F322" s="628" t="str">
        <f t="shared" si="137"/>
        <v/>
      </c>
      <c r="G322" s="628" t="str">
        <f t="shared" si="137"/>
        <v/>
      </c>
      <c r="H322" s="628" t="str">
        <f t="shared" si="137"/>
        <v/>
      </c>
      <c r="I322" s="628" t="str">
        <f t="shared" si="137"/>
        <v/>
      </c>
      <c r="J322" s="628" t="str">
        <f t="shared" si="137"/>
        <v/>
      </c>
      <c r="K322" s="628" t="str">
        <f t="shared" si="137"/>
        <v/>
      </c>
      <c r="L322" s="628" t="str">
        <f t="shared" si="137"/>
        <v/>
      </c>
      <c r="M322" s="628" t="str">
        <f t="shared" si="137"/>
        <v/>
      </c>
      <c r="N322" s="628" t="str">
        <f t="shared" si="137"/>
        <v/>
      </c>
      <c r="O322" s="628" t="str">
        <f t="shared" si="137"/>
        <v/>
      </c>
      <c r="P322" s="628" t="str">
        <f t="shared" si="137"/>
        <v/>
      </c>
      <c r="Q322" s="628" t="str">
        <f t="shared" si="137"/>
        <v/>
      </c>
      <c r="R322" s="628" t="str">
        <f t="shared" si="137"/>
        <v/>
      </c>
      <c r="S322" s="628" t="str">
        <f t="shared" si="137"/>
        <v/>
      </c>
      <c r="T322" s="628" t="str">
        <f t="shared" si="137"/>
        <v/>
      </c>
      <c r="U322" s="628" t="str">
        <f t="shared" si="137"/>
        <v/>
      </c>
      <c r="V322" s="628" t="str">
        <f t="shared" si="137"/>
        <v/>
      </c>
      <c r="W322" s="628" t="str">
        <f t="shared" si="137"/>
        <v/>
      </c>
      <c r="X322" s="628" t="str">
        <f t="shared" si="137"/>
        <v/>
      </c>
      <c r="Y322" s="628" t="str">
        <f t="shared" si="137"/>
        <v/>
      </c>
      <c r="Z322" s="628" t="str">
        <f t="shared" si="137"/>
        <v/>
      </c>
      <c r="AA322" s="628" t="str">
        <f t="shared" si="137"/>
        <v/>
      </c>
      <c r="AB322" s="628" t="str">
        <f t="shared" si="137"/>
        <v/>
      </c>
      <c r="AC322" s="628" t="str">
        <f t="shared" si="137"/>
        <v/>
      </c>
      <c r="AD322" s="628" t="str">
        <f t="shared" si="137"/>
        <v/>
      </c>
      <c r="AE322" s="628" t="str">
        <f t="shared" si="137"/>
        <v/>
      </c>
      <c r="AF322" s="628" t="str">
        <f t="shared" si="137"/>
        <v/>
      </c>
      <c r="AG322" s="628" t="str">
        <f t="shared" si="137"/>
        <v/>
      </c>
      <c r="AH322" s="628" t="str">
        <f t="shared" si="137"/>
        <v/>
      </c>
      <c r="AI322" s="638" t="str">
        <f t="shared" si="137"/>
        <v/>
      </c>
      <c r="AJ322" s="504"/>
      <c r="AK322" s="627"/>
      <c r="AL322" s="629"/>
      <c r="AM322" s="627"/>
      <c r="AN322" s="627"/>
      <c r="AO322" s="627"/>
      <c r="AP322" s="627"/>
      <c r="AQ322" s="627"/>
      <c r="AR322" s="627"/>
      <c r="AS322" s="627"/>
      <c r="AT322" s="627"/>
      <c r="AU322" s="627"/>
      <c r="AV322" s="627"/>
      <c r="AW322" s="627"/>
      <c r="AX322" s="627"/>
      <c r="AY322" s="627"/>
      <c r="AZ322" s="627"/>
      <c r="BA322" s="627"/>
      <c r="BB322" s="627"/>
      <c r="BC322" s="627"/>
      <c r="BD322" s="627"/>
      <c r="BE322" s="627"/>
      <c r="BF322" s="627"/>
      <c r="BG322" s="627"/>
      <c r="BH322" s="627"/>
      <c r="BI322" s="627"/>
      <c r="BJ322" s="627"/>
      <c r="BK322" s="627"/>
      <c r="BL322" s="627"/>
      <c r="BM322" s="627"/>
      <c r="BN322" s="627"/>
      <c r="BO322" s="627"/>
      <c r="BP322" s="627"/>
      <c r="BQ322" s="627"/>
      <c r="BR322" s="627"/>
      <c r="BS322" s="627"/>
      <c r="BT322" s="627"/>
      <c r="BU322" s="627"/>
      <c r="BV322" s="627"/>
      <c r="BW322" s="627"/>
      <c r="BX322" s="627"/>
      <c r="BY322" s="627"/>
      <c r="BZ322" s="627"/>
      <c r="CA322" s="690"/>
      <c r="CB322" s="690"/>
      <c r="CC322" s="690"/>
      <c r="CD322" s="690"/>
      <c r="CE322" s="690"/>
      <c r="CF322" s="690"/>
      <c r="CG322" s="690"/>
      <c r="CH322" s="690"/>
      <c r="CI322" s="690"/>
      <c r="CJ322" s="690"/>
      <c r="CK322" s="690"/>
      <c r="CL322" s="690"/>
      <c r="CM322" s="690"/>
      <c r="CN322" s="690"/>
      <c r="CO322" s="690"/>
      <c r="CP322" s="690"/>
      <c r="CQ322" s="690"/>
      <c r="CR322" s="690"/>
      <c r="CS322" s="690"/>
      <c r="CT322" s="690"/>
      <c r="CU322" s="690"/>
      <c r="CV322" s="690"/>
      <c r="CW322" s="690"/>
      <c r="CX322" s="690"/>
      <c r="CY322" s="690"/>
      <c r="CZ322" s="690"/>
      <c r="DA322" s="690"/>
      <c r="DB322" s="690"/>
      <c r="DC322" s="690"/>
    </row>
    <row r="323" spans="1:256" s="630" customFormat="1" ht="12.75" hidden="1" customHeight="1">
      <c r="A323" s="504"/>
      <c r="B323" s="636" t="str">
        <f t="shared" ref="B323:AI323" si="138">IF(B108="","",B108)</f>
        <v/>
      </c>
      <c r="C323" s="628" t="str">
        <f t="shared" si="138"/>
        <v/>
      </c>
      <c r="D323" s="628" t="str">
        <f t="shared" si="138"/>
        <v/>
      </c>
      <c r="E323" s="628" t="str">
        <f t="shared" si="138"/>
        <v/>
      </c>
      <c r="F323" s="628" t="str">
        <f t="shared" si="138"/>
        <v/>
      </c>
      <c r="G323" s="628" t="str">
        <f t="shared" si="138"/>
        <v/>
      </c>
      <c r="H323" s="628" t="str">
        <f t="shared" si="138"/>
        <v/>
      </c>
      <c r="I323" s="628" t="str">
        <f t="shared" si="138"/>
        <v/>
      </c>
      <c r="J323" s="628" t="str">
        <f t="shared" si="138"/>
        <v/>
      </c>
      <c r="K323" s="628" t="str">
        <f t="shared" si="138"/>
        <v/>
      </c>
      <c r="L323" s="628" t="str">
        <f t="shared" si="138"/>
        <v/>
      </c>
      <c r="M323" s="628" t="str">
        <f t="shared" si="138"/>
        <v/>
      </c>
      <c r="N323" s="628" t="str">
        <f t="shared" si="138"/>
        <v/>
      </c>
      <c r="O323" s="628" t="str">
        <f t="shared" si="138"/>
        <v/>
      </c>
      <c r="P323" s="628" t="str">
        <f t="shared" si="138"/>
        <v/>
      </c>
      <c r="Q323" s="628" t="str">
        <f t="shared" si="138"/>
        <v/>
      </c>
      <c r="R323" s="628" t="str">
        <f t="shared" si="138"/>
        <v/>
      </c>
      <c r="S323" s="628" t="str">
        <f t="shared" si="138"/>
        <v/>
      </c>
      <c r="T323" s="628" t="str">
        <f t="shared" si="138"/>
        <v/>
      </c>
      <c r="U323" s="628" t="str">
        <f t="shared" si="138"/>
        <v/>
      </c>
      <c r="V323" s="628" t="str">
        <f t="shared" si="138"/>
        <v/>
      </c>
      <c r="W323" s="628" t="str">
        <f t="shared" si="138"/>
        <v/>
      </c>
      <c r="X323" s="628" t="str">
        <f t="shared" si="138"/>
        <v/>
      </c>
      <c r="Y323" s="628" t="str">
        <f t="shared" si="138"/>
        <v/>
      </c>
      <c r="Z323" s="628" t="str">
        <f t="shared" si="138"/>
        <v/>
      </c>
      <c r="AA323" s="628" t="str">
        <f t="shared" si="138"/>
        <v/>
      </c>
      <c r="AB323" s="628" t="str">
        <f t="shared" si="138"/>
        <v/>
      </c>
      <c r="AC323" s="628" t="str">
        <f t="shared" si="138"/>
        <v/>
      </c>
      <c r="AD323" s="628" t="str">
        <f t="shared" si="138"/>
        <v/>
      </c>
      <c r="AE323" s="628" t="str">
        <f t="shared" si="138"/>
        <v/>
      </c>
      <c r="AF323" s="628" t="str">
        <f t="shared" si="138"/>
        <v/>
      </c>
      <c r="AG323" s="628" t="str">
        <f t="shared" si="138"/>
        <v/>
      </c>
      <c r="AH323" s="628" t="str">
        <f t="shared" si="138"/>
        <v/>
      </c>
      <c r="AI323" s="638" t="str">
        <f t="shared" si="138"/>
        <v/>
      </c>
      <c r="AJ323" s="504"/>
      <c r="AK323" s="627"/>
      <c r="AL323" s="629"/>
      <c r="AM323" s="627"/>
      <c r="AN323" s="627"/>
      <c r="AO323" s="627"/>
      <c r="AP323" s="627"/>
      <c r="AQ323" s="627"/>
      <c r="AR323" s="627"/>
      <c r="AS323" s="627"/>
      <c r="AT323" s="627"/>
      <c r="AU323" s="627"/>
      <c r="AV323" s="627"/>
      <c r="AW323" s="627"/>
      <c r="AX323" s="627"/>
      <c r="AY323" s="627"/>
      <c r="AZ323" s="627"/>
      <c r="BA323" s="627"/>
      <c r="BB323" s="627"/>
      <c r="BC323" s="627"/>
      <c r="BD323" s="627"/>
      <c r="BE323" s="627"/>
      <c r="BF323" s="627"/>
      <c r="BG323" s="627"/>
      <c r="BH323" s="627"/>
      <c r="BI323" s="627"/>
      <c r="BJ323" s="627"/>
      <c r="BK323" s="627"/>
      <c r="BL323" s="627"/>
      <c r="BM323" s="627"/>
      <c r="BN323" s="627"/>
      <c r="BO323" s="627"/>
      <c r="BP323" s="627"/>
      <c r="BQ323" s="627"/>
      <c r="BR323" s="627"/>
      <c r="BS323" s="627"/>
      <c r="BT323" s="627"/>
      <c r="BU323" s="627"/>
      <c r="BV323" s="627"/>
      <c r="BW323" s="627"/>
      <c r="BX323" s="627"/>
      <c r="BY323" s="627"/>
      <c r="BZ323" s="627"/>
      <c r="CA323" s="690"/>
      <c r="CB323" s="690"/>
      <c r="CC323" s="690"/>
      <c r="CD323" s="690"/>
      <c r="CE323" s="690"/>
      <c r="CF323" s="690"/>
      <c r="CG323" s="690"/>
      <c r="CH323" s="690"/>
      <c r="CI323" s="690"/>
      <c r="CJ323" s="690"/>
      <c r="CK323" s="690"/>
      <c r="CL323" s="690"/>
      <c r="CM323" s="690"/>
      <c r="CN323" s="690"/>
      <c r="CO323" s="690"/>
      <c r="CP323" s="690"/>
      <c r="CQ323" s="690"/>
      <c r="CR323" s="690"/>
      <c r="CS323" s="690"/>
      <c r="CT323" s="690"/>
      <c r="CU323" s="690"/>
      <c r="CV323" s="690"/>
      <c r="CW323" s="690"/>
      <c r="CX323" s="690"/>
      <c r="CY323" s="690"/>
      <c r="CZ323" s="690"/>
      <c r="DA323" s="690"/>
      <c r="DB323" s="690"/>
      <c r="DC323" s="690"/>
    </row>
    <row r="324" spans="1:256" s="630" customFormat="1" ht="12.75" hidden="1" customHeight="1">
      <c r="A324" s="504"/>
      <c r="B324" s="639" t="str">
        <f t="shared" ref="B324:AI324" si="139">IF(B109="","",B109)</f>
        <v>Pool Covers</v>
      </c>
      <c r="C324" s="628" t="str">
        <f t="shared" si="139"/>
        <v/>
      </c>
      <c r="D324" s="628" t="str">
        <f t="shared" si="139"/>
        <v/>
      </c>
      <c r="E324" s="628" t="str">
        <f t="shared" si="139"/>
        <v/>
      </c>
      <c r="F324" s="628" t="str">
        <f t="shared" si="139"/>
        <v/>
      </c>
      <c r="G324" s="628" t="str">
        <f t="shared" si="139"/>
        <v/>
      </c>
      <c r="H324" s="628" t="str">
        <f t="shared" si="139"/>
        <v/>
      </c>
      <c r="I324" s="628" t="str">
        <f t="shared" si="139"/>
        <v/>
      </c>
      <c r="J324" s="628" t="str">
        <f t="shared" si="139"/>
        <v/>
      </c>
      <c r="K324" s="628" t="str">
        <f t="shared" si="139"/>
        <v/>
      </c>
      <c r="L324" s="628" t="str">
        <f t="shared" si="139"/>
        <v/>
      </c>
      <c r="M324" s="628" t="str">
        <f t="shared" si="139"/>
        <v/>
      </c>
      <c r="N324" s="628" t="str">
        <f t="shared" si="139"/>
        <v/>
      </c>
      <c r="O324" s="628" t="str">
        <f t="shared" si="139"/>
        <v/>
      </c>
      <c r="P324" s="628" t="str">
        <f t="shared" si="139"/>
        <v/>
      </c>
      <c r="Q324" s="628" t="str">
        <f t="shared" si="139"/>
        <v/>
      </c>
      <c r="R324" s="628" t="str">
        <f t="shared" si="139"/>
        <v/>
      </c>
      <c r="S324" s="628" t="str">
        <f t="shared" si="139"/>
        <v/>
      </c>
      <c r="T324" s="628" t="str">
        <f t="shared" si="139"/>
        <v/>
      </c>
      <c r="U324" s="628" t="str">
        <f t="shared" si="139"/>
        <v/>
      </c>
      <c r="V324" s="628" t="str">
        <f t="shared" si="139"/>
        <v/>
      </c>
      <c r="W324" s="628" t="str">
        <f t="shared" si="139"/>
        <v/>
      </c>
      <c r="X324" s="628" t="str">
        <f t="shared" si="139"/>
        <v/>
      </c>
      <c r="Y324" s="628" t="str">
        <f t="shared" si="139"/>
        <v/>
      </c>
      <c r="Z324" s="628" t="str">
        <f t="shared" si="139"/>
        <v/>
      </c>
      <c r="AA324" s="628" t="str">
        <f t="shared" si="139"/>
        <v/>
      </c>
      <c r="AB324" s="628" t="str">
        <f t="shared" si="139"/>
        <v/>
      </c>
      <c r="AC324" s="628" t="str">
        <f t="shared" si="139"/>
        <v/>
      </c>
      <c r="AD324" s="628" t="str">
        <f t="shared" si="139"/>
        <v/>
      </c>
      <c r="AE324" s="628" t="str">
        <f t="shared" si="139"/>
        <v/>
      </c>
      <c r="AF324" s="628" t="str">
        <f t="shared" si="139"/>
        <v/>
      </c>
      <c r="AG324" s="628" t="str">
        <f t="shared" si="139"/>
        <v/>
      </c>
      <c r="AH324" s="628" t="str">
        <f t="shared" si="139"/>
        <v/>
      </c>
      <c r="AI324" s="638" t="str">
        <f t="shared" si="139"/>
        <v/>
      </c>
      <c r="AJ324" s="504"/>
      <c r="AK324" s="627"/>
      <c r="AL324" s="629"/>
      <c r="AM324" s="627"/>
      <c r="AN324" s="627"/>
      <c r="AO324" s="627"/>
      <c r="AP324" s="627"/>
      <c r="AQ324" s="627"/>
      <c r="AR324" s="627"/>
      <c r="AS324" s="627"/>
      <c r="AT324" s="627"/>
      <c r="AU324" s="627"/>
      <c r="AV324" s="627"/>
      <c r="AW324" s="627"/>
      <c r="AX324" s="627"/>
      <c r="AY324" s="627"/>
      <c r="AZ324" s="627"/>
      <c r="BA324" s="627"/>
      <c r="BB324" s="627"/>
      <c r="BC324" s="627"/>
      <c r="BD324" s="627"/>
      <c r="BE324" s="627"/>
      <c r="BF324" s="627"/>
      <c r="BG324" s="627"/>
      <c r="BH324" s="627"/>
      <c r="BI324" s="627"/>
      <c r="BJ324" s="627"/>
      <c r="BK324" s="627"/>
      <c r="BL324" s="627"/>
      <c r="BM324" s="627"/>
      <c r="BN324" s="627"/>
      <c r="BO324" s="627"/>
      <c r="BP324" s="627"/>
      <c r="BQ324" s="627"/>
      <c r="BR324" s="627"/>
      <c r="BS324" s="627"/>
      <c r="BT324" s="627"/>
      <c r="BU324" s="627"/>
      <c r="BV324" s="627"/>
      <c r="BW324" s="627"/>
      <c r="BX324" s="627"/>
      <c r="BY324" s="627"/>
      <c r="BZ324" s="627"/>
      <c r="CA324" s="690"/>
      <c r="CB324" s="690"/>
      <c r="CC324" s="690"/>
      <c r="CD324" s="690"/>
      <c r="CE324" s="690"/>
      <c r="CF324" s="690"/>
      <c r="CG324" s="690"/>
      <c r="CH324" s="690"/>
      <c r="CI324" s="690"/>
      <c r="CJ324" s="690"/>
      <c r="CK324" s="690"/>
      <c r="CL324" s="690"/>
      <c r="CM324" s="690"/>
      <c r="CN324" s="690"/>
      <c r="CO324" s="690"/>
      <c r="CP324" s="690"/>
      <c r="CQ324" s="690"/>
      <c r="CR324" s="690"/>
      <c r="CS324" s="690"/>
      <c r="CT324" s="690"/>
      <c r="CU324" s="690"/>
      <c r="CV324" s="690"/>
      <c r="CW324" s="690"/>
      <c r="CX324" s="690"/>
      <c r="CY324" s="690"/>
      <c r="CZ324" s="690"/>
      <c r="DA324" s="690"/>
      <c r="DB324" s="690"/>
      <c r="DC324" s="690"/>
    </row>
    <row r="325" spans="1:256" s="630" customFormat="1" ht="12.75" hidden="1" customHeight="1">
      <c r="A325" s="504"/>
      <c r="B325" s="636" t="str">
        <f t="shared" ref="B325:AI326" si="140">IF(B110="","",B110)</f>
        <v/>
      </c>
      <c r="C325" s="628" t="str">
        <f t="shared" si="140"/>
        <v/>
      </c>
      <c r="D325" s="628" t="str">
        <f t="shared" si="140"/>
        <v/>
      </c>
      <c r="E325" s="628" t="str">
        <f t="shared" si="140"/>
        <v/>
      </c>
      <c r="F325" s="628" t="str">
        <f t="shared" si="140"/>
        <v/>
      </c>
      <c r="G325" s="628" t="str">
        <f t="shared" si="140"/>
        <v/>
      </c>
      <c r="H325" s="628" t="str">
        <f t="shared" si="140"/>
        <v/>
      </c>
      <c r="I325" s="628" t="str">
        <f t="shared" si="140"/>
        <v/>
      </c>
      <c r="J325" s="628" t="str">
        <f t="shared" si="140"/>
        <v/>
      </c>
      <c r="K325" s="628" t="str">
        <f t="shared" si="140"/>
        <v/>
      </c>
      <c r="L325" s="628" t="str">
        <f t="shared" si="140"/>
        <v/>
      </c>
      <c r="M325" s="628" t="str">
        <f t="shared" si="140"/>
        <v/>
      </c>
      <c r="N325" s="628" t="str">
        <f t="shared" si="140"/>
        <v/>
      </c>
      <c r="O325" s="628" t="str">
        <f t="shared" si="140"/>
        <v/>
      </c>
      <c r="P325" s="628" t="str">
        <f t="shared" si="140"/>
        <v/>
      </c>
      <c r="Q325" s="628" t="str">
        <f t="shared" si="140"/>
        <v/>
      </c>
      <c r="R325" s="628" t="str">
        <f t="shared" si="140"/>
        <v/>
      </c>
      <c r="S325" s="628" t="str">
        <f t="shared" si="140"/>
        <v/>
      </c>
      <c r="T325" s="628" t="str">
        <f t="shared" si="140"/>
        <v/>
      </c>
      <c r="U325" s="628" t="str">
        <f t="shared" si="140"/>
        <v/>
      </c>
      <c r="V325" s="628" t="str">
        <f t="shared" si="140"/>
        <v/>
      </c>
      <c r="W325" s="628" t="str">
        <f t="shared" si="140"/>
        <v/>
      </c>
      <c r="X325" s="628" t="str">
        <f t="shared" si="140"/>
        <v/>
      </c>
      <c r="Y325" s="628" t="str">
        <f t="shared" si="140"/>
        <v/>
      </c>
      <c r="Z325" s="628" t="str">
        <f t="shared" si="140"/>
        <v/>
      </c>
      <c r="AA325" s="628" t="str">
        <f t="shared" si="140"/>
        <v/>
      </c>
      <c r="AB325" s="628" t="str">
        <f t="shared" si="140"/>
        <v/>
      </c>
      <c r="AC325" s="628" t="str">
        <f t="shared" si="140"/>
        <v/>
      </c>
      <c r="AD325" s="628" t="str">
        <f t="shared" si="140"/>
        <v/>
      </c>
      <c r="AE325" s="628" t="str">
        <f t="shared" si="140"/>
        <v/>
      </c>
      <c r="AF325" s="628" t="str">
        <f t="shared" si="140"/>
        <v>Incentive</v>
      </c>
      <c r="AG325" s="628" t="str">
        <f t="shared" si="140"/>
        <v/>
      </c>
      <c r="AH325" s="628" t="str">
        <f t="shared" si="140"/>
        <v/>
      </c>
      <c r="AI325" s="638" t="str">
        <f t="shared" si="140"/>
        <v/>
      </c>
      <c r="AJ325" s="504"/>
      <c r="AK325" s="627"/>
      <c r="AL325" s="629"/>
      <c r="AM325" s="627"/>
      <c r="AN325" s="627"/>
      <c r="AO325" s="627"/>
      <c r="AP325" s="627"/>
      <c r="AQ325" s="627"/>
      <c r="AR325" s="627"/>
      <c r="AS325" s="627"/>
      <c r="AT325" s="627"/>
      <c r="AU325" s="627"/>
      <c r="AV325" s="627"/>
      <c r="AW325" s="627"/>
      <c r="AX325" s="627"/>
      <c r="AY325" s="627"/>
      <c r="AZ325" s="627"/>
      <c r="BA325" s="627"/>
      <c r="BB325" s="627"/>
      <c r="BC325" s="627"/>
      <c r="BD325" s="627"/>
      <c r="BE325" s="627"/>
      <c r="BF325" s="627"/>
      <c r="BG325" s="627"/>
      <c r="BH325" s="627"/>
      <c r="BI325" s="627"/>
      <c r="BJ325" s="627"/>
      <c r="BK325" s="627"/>
      <c r="BL325" s="627"/>
      <c r="BM325" s="627"/>
      <c r="BN325" s="627"/>
      <c r="BO325" s="627"/>
      <c r="BP325" s="627"/>
      <c r="BQ325" s="627"/>
      <c r="BR325" s="627"/>
      <c r="BS325" s="627"/>
      <c r="BT325" s="627"/>
      <c r="BU325" s="627"/>
      <c r="BV325" s="627"/>
      <c r="BW325" s="627"/>
      <c r="BX325" s="627"/>
      <c r="BY325" s="627"/>
      <c r="BZ325" s="627"/>
      <c r="CA325" s="690"/>
      <c r="CB325" s="690"/>
      <c r="CC325" s="690"/>
      <c r="CD325" s="690"/>
      <c r="CE325" s="690"/>
      <c r="CF325" s="690"/>
      <c r="CG325" s="690"/>
      <c r="CH325" s="690"/>
      <c r="CI325" s="690"/>
      <c r="CJ325" s="690"/>
      <c r="CK325" s="690"/>
      <c r="CL325" s="690"/>
      <c r="CM325" s="690"/>
      <c r="CN325" s="690"/>
      <c r="CO325" s="690"/>
      <c r="CP325" s="690"/>
      <c r="CQ325" s="690"/>
      <c r="CR325" s="690"/>
      <c r="CS325" s="690"/>
      <c r="CT325" s="690"/>
      <c r="CU325" s="690"/>
      <c r="CV325" s="690"/>
      <c r="CW325" s="690"/>
      <c r="CX325" s="690"/>
      <c r="CY325" s="690"/>
      <c r="CZ325" s="690"/>
      <c r="DA325" s="690"/>
      <c r="DB325" s="690"/>
      <c r="DC325" s="690"/>
    </row>
    <row r="326" spans="1:256" s="5" customFormat="1" ht="12.75" customHeight="1">
      <c r="A326" s="1"/>
      <c r="B326" s="253" t="str">
        <f t="shared" ref="B326:AI326" si="141">IF(B111="","",B111)</f>
        <v/>
      </c>
      <c r="C326" s="9" t="str">
        <f t="shared" si="141"/>
        <v xml:space="preserve"> P1N - Indoor Pool Covers (electric heat only)</v>
      </c>
      <c r="D326" s="9"/>
      <c r="E326" s="9"/>
      <c r="F326" s="9"/>
      <c r="G326" s="9"/>
      <c r="H326" s="9"/>
      <c r="I326" s="9"/>
      <c r="J326" s="9"/>
      <c r="K326" s="9"/>
      <c r="L326" s="9"/>
      <c r="M326" s="9"/>
      <c r="N326" s="623" t="str">
        <f t="shared" si="141"/>
        <v/>
      </c>
      <c r="O326" s="847" t="str">
        <f t="shared" si="141"/>
        <v/>
      </c>
      <c r="P326" s="847"/>
      <c r="Q326" s="847"/>
      <c r="R326" s="847"/>
      <c r="S326" s="847"/>
      <c r="T326" s="9"/>
      <c r="U326" s="9"/>
      <c r="V326" s="623" t="str">
        <f t="shared" si="141"/>
        <v xml:space="preserve">Pool area: </v>
      </c>
      <c r="W326" s="844" t="str">
        <f t="shared" si="140"/>
        <v/>
      </c>
      <c r="X326" s="845"/>
      <c r="Y326" s="9" t="str">
        <f t="shared" si="141"/>
        <v>sq ft</v>
      </c>
      <c r="Z326" s="9"/>
      <c r="AA326" s="9"/>
      <c r="AB326" s="9"/>
      <c r="AC326" s="9"/>
      <c r="AD326" s="623" t="str">
        <f t="shared" si="141"/>
        <v>x $2 per sq ft=</v>
      </c>
      <c r="AE326" s="9" t="str">
        <f t="shared" si="141"/>
        <v>$</v>
      </c>
      <c r="AF326" s="846" t="str">
        <f t="shared" si="140"/>
        <v/>
      </c>
      <c r="AG326" s="846"/>
      <c r="AH326" s="846"/>
      <c r="AI326" s="633" t="str">
        <f t="shared" si="141"/>
        <v/>
      </c>
      <c r="AJ326" s="1"/>
      <c r="AK326" s="94"/>
      <c r="AL326" s="98"/>
      <c r="AM326" s="94"/>
      <c r="AN326" s="94"/>
      <c r="AO326" s="94"/>
      <c r="AP326" s="94"/>
      <c r="AQ326" s="94"/>
      <c r="AR326" s="94"/>
      <c r="AS326" s="94"/>
      <c r="AT326" s="94"/>
      <c r="AU326" s="94"/>
      <c r="AV326" s="94"/>
      <c r="AW326" s="94"/>
      <c r="AX326" s="94"/>
      <c r="AY326" s="94"/>
      <c r="AZ326" s="94"/>
      <c r="BA326" s="94"/>
      <c r="BB326" s="94"/>
      <c r="BC326" s="94"/>
      <c r="BD326" s="94"/>
      <c r="BE326" s="94"/>
      <c r="BF326" s="94"/>
      <c r="BG326" s="94"/>
      <c r="BH326" s="94"/>
      <c r="BI326" s="94"/>
      <c r="BJ326" s="94"/>
      <c r="BK326" s="94"/>
      <c r="BL326" s="94"/>
      <c r="BM326" s="94"/>
      <c r="BN326" s="94"/>
      <c r="BO326" s="94"/>
      <c r="BP326" s="94"/>
      <c r="BQ326" s="94"/>
      <c r="BR326" s="94"/>
      <c r="BS326" s="94"/>
      <c r="BT326" s="94"/>
      <c r="BU326" s="94"/>
      <c r="BV326" s="94"/>
      <c r="BW326" s="94"/>
      <c r="BX326" s="94"/>
      <c r="BY326" s="94"/>
      <c r="BZ326" s="94"/>
      <c r="CA326" s="684"/>
      <c r="CB326" s="684"/>
      <c r="CC326" s="684"/>
      <c r="CD326" s="684"/>
      <c r="CE326" s="684"/>
      <c r="CF326" s="684"/>
      <c r="CG326" s="684"/>
      <c r="CH326" s="684"/>
      <c r="CI326" s="684"/>
      <c r="CJ326" s="684"/>
      <c r="CK326" s="684"/>
      <c r="CL326" s="684"/>
      <c r="CM326" s="684"/>
      <c r="CN326" s="684"/>
      <c r="CO326" s="684"/>
      <c r="CP326" s="684"/>
      <c r="CQ326" s="684"/>
      <c r="CR326" s="684"/>
      <c r="CS326" s="684"/>
      <c r="CT326" s="684"/>
      <c r="CU326" s="684"/>
      <c r="CV326" s="684"/>
      <c r="CW326" s="684"/>
      <c r="CX326" s="684"/>
      <c r="CY326" s="684"/>
      <c r="CZ326" s="684"/>
      <c r="DA326" s="684"/>
      <c r="DB326" s="684"/>
      <c r="DC326" s="684"/>
    </row>
    <row r="327" spans="1:256" s="5" customFormat="1" ht="12.75" customHeight="1">
      <c r="A327" s="1"/>
      <c r="B327" s="634" t="str">
        <f t="shared" ref="B327:AI327" si="142">IF(B112="","",B112)</f>
        <v/>
      </c>
      <c r="C327" s="248" t="str">
        <f t="shared" si="142"/>
        <v/>
      </c>
      <c r="D327" s="248" t="str">
        <f t="shared" si="142"/>
        <v/>
      </c>
      <c r="E327" s="248" t="str">
        <f t="shared" si="142"/>
        <v/>
      </c>
      <c r="F327" s="248" t="str">
        <f t="shared" si="142"/>
        <v/>
      </c>
      <c r="G327" s="248" t="str">
        <f t="shared" si="142"/>
        <v/>
      </c>
      <c r="H327" s="248" t="str">
        <f t="shared" si="142"/>
        <v/>
      </c>
      <c r="I327" s="248" t="str">
        <f t="shared" si="142"/>
        <v/>
      </c>
      <c r="J327" s="248" t="str">
        <f t="shared" si="142"/>
        <v/>
      </c>
      <c r="K327" s="248" t="str">
        <f t="shared" si="142"/>
        <v/>
      </c>
      <c r="L327" s="248" t="str">
        <f t="shared" si="142"/>
        <v/>
      </c>
      <c r="M327" s="248" t="str">
        <f t="shared" si="142"/>
        <v/>
      </c>
      <c r="N327" s="248" t="str">
        <f t="shared" si="142"/>
        <v/>
      </c>
      <c r="O327" s="248" t="str">
        <f t="shared" si="142"/>
        <v/>
      </c>
      <c r="P327" s="248" t="str">
        <f t="shared" si="142"/>
        <v/>
      </c>
      <c r="Q327" s="248" t="str">
        <f t="shared" si="142"/>
        <v/>
      </c>
      <c r="R327" s="248" t="str">
        <f t="shared" si="142"/>
        <v/>
      </c>
      <c r="S327" s="248" t="str">
        <f t="shared" si="142"/>
        <v/>
      </c>
      <c r="T327" s="248" t="str">
        <f t="shared" si="142"/>
        <v/>
      </c>
      <c r="U327" s="248" t="str">
        <f t="shared" si="142"/>
        <v/>
      </c>
      <c r="V327" s="248" t="str">
        <f t="shared" si="142"/>
        <v/>
      </c>
      <c r="W327" s="248" t="str">
        <f t="shared" si="142"/>
        <v/>
      </c>
      <c r="X327" s="248" t="str">
        <f t="shared" si="142"/>
        <v/>
      </c>
      <c r="Y327" s="248" t="str">
        <f t="shared" si="142"/>
        <v/>
      </c>
      <c r="Z327" s="248" t="str">
        <f t="shared" si="142"/>
        <v/>
      </c>
      <c r="AA327" s="248" t="str">
        <f t="shared" si="142"/>
        <v/>
      </c>
      <c r="AB327" s="248" t="str">
        <f t="shared" si="142"/>
        <v/>
      </c>
      <c r="AC327" s="248" t="str">
        <f t="shared" si="142"/>
        <v/>
      </c>
      <c r="AD327" s="248" t="str">
        <f t="shared" si="142"/>
        <v/>
      </c>
      <c r="AE327" s="248" t="str">
        <f t="shared" si="142"/>
        <v/>
      </c>
      <c r="AF327" s="248" t="str">
        <f t="shared" si="142"/>
        <v/>
      </c>
      <c r="AG327" s="248" t="str">
        <f t="shared" si="142"/>
        <v/>
      </c>
      <c r="AH327" s="248" t="str">
        <f t="shared" si="142"/>
        <v/>
      </c>
      <c r="AI327" s="635" t="str">
        <f t="shared" si="142"/>
        <v/>
      </c>
      <c r="AJ327" s="1"/>
      <c r="AK327" s="94"/>
      <c r="AL327" s="98"/>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A327" s="684"/>
      <c r="CB327" s="684"/>
      <c r="CC327" s="684"/>
      <c r="CD327" s="684"/>
      <c r="CE327" s="684"/>
      <c r="CF327" s="684"/>
      <c r="CG327" s="684"/>
      <c r="CH327" s="684"/>
      <c r="CI327" s="684"/>
      <c r="CJ327" s="684"/>
      <c r="CK327" s="684"/>
      <c r="CL327" s="684"/>
      <c r="CM327" s="684"/>
      <c r="CN327" s="684"/>
      <c r="CO327" s="684"/>
      <c r="CP327" s="684"/>
      <c r="CQ327" s="684"/>
      <c r="CR327" s="684"/>
      <c r="CS327" s="684"/>
      <c r="CT327" s="684"/>
      <c r="CU327" s="684"/>
      <c r="CV327" s="684"/>
      <c r="CW327" s="684"/>
      <c r="CX327" s="684"/>
      <c r="CY327" s="684"/>
      <c r="CZ327" s="684"/>
      <c r="DA327" s="684"/>
      <c r="DB327" s="684"/>
      <c r="DC327" s="684"/>
    </row>
    <row r="328" spans="1:256" s="5" customFormat="1" ht="12.75" customHeight="1">
      <c r="A328" s="1"/>
      <c r="B328" s="9" t="str">
        <f t="shared" ref="B328:AI329" si="143">IF(B113="","",B113)</f>
        <v/>
      </c>
      <c r="C328" s="9" t="str">
        <f t="shared" si="143"/>
        <v/>
      </c>
      <c r="D328" s="9" t="str">
        <f t="shared" si="143"/>
        <v/>
      </c>
      <c r="E328" s="9" t="str">
        <f t="shared" si="143"/>
        <v/>
      </c>
      <c r="F328" s="9" t="str">
        <f t="shared" si="143"/>
        <v/>
      </c>
      <c r="G328" s="9" t="str">
        <f t="shared" si="143"/>
        <v/>
      </c>
      <c r="H328" s="9" t="str">
        <f t="shared" si="143"/>
        <v/>
      </c>
      <c r="I328" s="9" t="str">
        <f t="shared" si="143"/>
        <v/>
      </c>
      <c r="J328" s="9" t="str">
        <f t="shared" si="143"/>
        <v/>
      </c>
      <c r="K328" s="9" t="str">
        <f t="shared" si="143"/>
        <v/>
      </c>
      <c r="L328" s="9" t="str">
        <f t="shared" si="143"/>
        <v/>
      </c>
      <c r="M328" s="9" t="str">
        <f t="shared" si="143"/>
        <v/>
      </c>
      <c r="N328" s="9" t="str">
        <f t="shared" si="143"/>
        <v/>
      </c>
      <c r="O328" s="9" t="str">
        <f t="shared" si="143"/>
        <v/>
      </c>
      <c r="P328" s="9" t="str">
        <f t="shared" si="143"/>
        <v/>
      </c>
      <c r="Q328" s="9" t="str">
        <f t="shared" si="143"/>
        <v/>
      </c>
      <c r="R328" s="9" t="str">
        <f t="shared" si="143"/>
        <v/>
      </c>
      <c r="S328" s="9" t="str">
        <f t="shared" si="143"/>
        <v/>
      </c>
      <c r="T328" s="9" t="str">
        <f t="shared" si="143"/>
        <v/>
      </c>
      <c r="U328" s="9" t="str">
        <f t="shared" si="143"/>
        <v/>
      </c>
      <c r="V328" s="9" t="str">
        <f t="shared" si="143"/>
        <v/>
      </c>
      <c r="W328" s="9" t="str">
        <f t="shared" si="143"/>
        <v/>
      </c>
      <c r="X328" s="9" t="str">
        <f t="shared" si="143"/>
        <v/>
      </c>
      <c r="Y328" s="9" t="str">
        <f t="shared" si="143"/>
        <v/>
      </c>
      <c r="Z328" s="9" t="str">
        <f t="shared" si="143"/>
        <v/>
      </c>
      <c r="AA328" s="9" t="str">
        <f t="shared" si="143"/>
        <v/>
      </c>
      <c r="AB328" s="9" t="str">
        <f t="shared" si="143"/>
        <v/>
      </c>
      <c r="AC328" s="9" t="str">
        <f t="shared" si="143"/>
        <v/>
      </c>
      <c r="AD328" s="9" t="str">
        <f t="shared" si="143"/>
        <v/>
      </c>
      <c r="AE328" s="9" t="str">
        <f t="shared" si="143"/>
        <v/>
      </c>
      <c r="AF328" s="9" t="str">
        <f t="shared" si="143"/>
        <v/>
      </c>
      <c r="AG328" s="9" t="str">
        <f t="shared" si="143"/>
        <v/>
      </c>
      <c r="AH328" s="9" t="str">
        <f t="shared" si="143"/>
        <v/>
      </c>
      <c r="AI328" s="9" t="str">
        <f t="shared" si="143"/>
        <v/>
      </c>
      <c r="AJ328" s="1"/>
      <c r="AK328" s="94"/>
      <c r="AL328" s="98"/>
      <c r="AM328" s="94"/>
      <c r="AN328" s="94"/>
      <c r="AO328" s="94"/>
      <c r="AP328" s="94"/>
      <c r="AQ328" s="94"/>
      <c r="AR328" s="94"/>
      <c r="AS328" s="94"/>
      <c r="AT328" s="94"/>
      <c r="AU328" s="94"/>
      <c r="AV328" s="94"/>
      <c r="AW328" s="94"/>
      <c r="AX328" s="94"/>
      <c r="AY328" s="94"/>
      <c r="AZ328" s="94"/>
      <c r="BA328" s="94"/>
      <c r="BB328" s="94"/>
      <c r="BC328" s="94"/>
      <c r="BD328" s="94"/>
      <c r="BE328" s="94"/>
      <c r="BF328" s="94"/>
      <c r="BG328" s="94"/>
      <c r="BH328" s="94"/>
      <c r="BI328" s="94"/>
      <c r="BJ328" s="94"/>
      <c r="BK328" s="94"/>
      <c r="BL328" s="94"/>
      <c r="BM328" s="94"/>
      <c r="BN328" s="94"/>
      <c r="BO328" s="94"/>
      <c r="BP328" s="94"/>
      <c r="BQ328" s="94"/>
      <c r="BR328" s="94"/>
      <c r="BS328" s="94"/>
      <c r="BT328" s="94"/>
      <c r="BU328" s="94"/>
      <c r="BV328" s="94"/>
      <c r="BW328" s="94"/>
      <c r="BX328" s="94"/>
      <c r="BY328" s="94"/>
      <c r="BZ328" s="94"/>
      <c r="CA328" s="684"/>
      <c r="CB328" s="684"/>
      <c r="CC328" s="684"/>
      <c r="CD328" s="684"/>
      <c r="CE328" s="684"/>
      <c r="CF328" s="684"/>
      <c r="CG328" s="684"/>
      <c r="CH328" s="684"/>
      <c r="CI328" s="684"/>
      <c r="CJ328" s="684"/>
      <c r="CK328" s="684"/>
      <c r="CL328" s="684"/>
      <c r="CM328" s="684"/>
      <c r="CN328" s="684"/>
      <c r="CO328" s="684"/>
      <c r="CP328" s="684"/>
      <c r="CQ328" s="684"/>
      <c r="CR328" s="684"/>
      <c r="CS328" s="684"/>
      <c r="CT328" s="684"/>
      <c r="CU328" s="684"/>
      <c r="CV328" s="684"/>
      <c r="CW328" s="684"/>
      <c r="CX328" s="684"/>
      <c r="CY328" s="684"/>
      <c r="CZ328" s="684"/>
      <c r="DA328" s="684"/>
      <c r="DB328" s="684"/>
      <c r="DC328" s="684"/>
    </row>
    <row r="329" spans="1:256" s="5" customFormat="1" ht="12.75" customHeight="1">
      <c r="A329" s="1"/>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623" t="str">
        <f t="shared" ref="AD329:AI329" si="144">IF(AD114="","",AD114)</f>
        <v>Total Incentive for Common Area</v>
      </c>
      <c r="AE329" s="9" t="str">
        <f t="shared" si="144"/>
        <v>$</v>
      </c>
      <c r="AF329" s="846" t="str">
        <f t="shared" si="143"/>
        <v/>
      </c>
      <c r="AG329" s="846"/>
      <c r="AH329" s="846"/>
      <c r="AI329" s="9" t="str">
        <f t="shared" si="144"/>
        <v/>
      </c>
      <c r="AJ329" s="1"/>
      <c r="AK329" s="94"/>
      <c r="AL329" s="98"/>
      <c r="AM329" s="94"/>
      <c r="AN329" s="94"/>
      <c r="AO329" s="94"/>
      <c r="AP329" s="94"/>
      <c r="AQ329" s="94"/>
      <c r="AR329" s="94"/>
      <c r="AS329" s="94"/>
      <c r="AT329" s="94"/>
      <c r="AU329" s="94"/>
      <c r="AV329" s="94"/>
      <c r="AW329" s="94"/>
      <c r="AX329" s="94"/>
      <c r="AY329" s="94"/>
      <c r="AZ329" s="94"/>
      <c r="BA329" s="94"/>
      <c r="BB329" s="94"/>
      <c r="BC329" s="94"/>
      <c r="BD329" s="94"/>
      <c r="BE329" s="94"/>
      <c r="BF329" s="94"/>
      <c r="BG329" s="94"/>
      <c r="BH329" s="94"/>
      <c r="BI329" s="94"/>
      <c r="BJ329" s="94"/>
      <c r="BK329" s="94"/>
      <c r="BL329" s="94"/>
      <c r="BM329" s="94"/>
      <c r="BN329" s="94"/>
      <c r="BO329" s="94"/>
      <c r="BP329" s="94"/>
      <c r="BQ329" s="94"/>
      <c r="BR329" s="94"/>
      <c r="BS329" s="94"/>
      <c r="BT329" s="94"/>
      <c r="BU329" s="94"/>
      <c r="BV329" s="94"/>
      <c r="BW329" s="94"/>
      <c r="BX329" s="94"/>
      <c r="BY329" s="94"/>
      <c r="BZ329" s="94"/>
      <c r="CA329" s="684"/>
      <c r="CB329" s="684"/>
      <c r="CC329" s="684"/>
      <c r="CD329" s="684"/>
      <c r="CE329" s="684"/>
      <c r="CF329" s="684"/>
      <c r="CG329" s="684"/>
      <c r="CH329" s="684"/>
      <c r="CI329" s="684"/>
      <c r="CJ329" s="684"/>
      <c r="CK329" s="684"/>
      <c r="CL329" s="684"/>
      <c r="CM329" s="684"/>
      <c r="CN329" s="684"/>
      <c r="CO329" s="684"/>
      <c r="CP329" s="684"/>
      <c r="CQ329" s="684"/>
      <c r="CR329" s="684"/>
      <c r="CS329" s="684"/>
      <c r="CT329" s="684"/>
      <c r="CU329" s="684"/>
      <c r="CV329" s="684"/>
      <c r="CW329" s="684"/>
      <c r="CX329" s="684"/>
      <c r="CY329" s="684"/>
      <c r="CZ329" s="684"/>
      <c r="DA329" s="684"/>
      <c r="DB329" s="684"/>
      <c r="DC329" s="684"/>
    </row>
    <row r="330" spans="1:256" s="5" customFormat="1" ht="12.75" customHeight="1">
      <c r="A330" s="1"/>
      <c r="B330" s="9" t="str">
        <f t="shared" ref="B330:AI330" si="145">IF(B115="","",B115)</f>
        <v/>
      </c>
      <c r="C330" s="9" t="str">
        <f t="shared" si="145"/>
        <v/>
      </c>
      <c r="D330" s="9" t="str">
        <f t="shared" si="145"/>
        <v/>
      </c>
      <c r="E330" s="9" t="str">
        <f t="shared" si="145"/>
        <v/>
      </c>
      <c r="F330" s="9" t="str">
        <f t="shared" si="145"/>
        <v/>
      </c>
      <c r="G330" s="9" t="str">
        <f t="shared" si="145"/>
        <v/>
      </c>
      <c r="H330" s="9" t="str">
        <f t="shared" si="145"/>
        <v/>
      </c>
      <c r="I330" s="9" t="str">
        <f t="shared" si="145"/>
        <v/>
      </c>
      <c r="J330" s="9" t="str">
        <f t="shared" si="145"/>
        <v/>
      </c>
      <c r="K330" s="9" t="str">
        <f t="shared" si="145"/>
        <v/>
      </c>
      <c r="L330" s="9" t="str">
        <f t="shared" si="145"/>
        <v/>
      </c>
      <c r="M330" s="9" t="str">
        <f t="shared" si="145"/>
        <v/>
      </c>
      <c r="N330" s="9" t="str">
        <f t="shared" si="145"/>
        <v/>
      </c>
      <c r="O330" s="9" t="str">
        <f t="shared" si="145"/>
        <v/>
      </c>
      <c r="P330" s="9" t="str">
        <f t="shared" si="145"/>
        <v/>
      </c>
      <c r="Q330" s="9" t="str">
        <f t="shared" si="145"/>
        <v/>
      </c>
      <c r="R330" s="9" t="str">
        <f t="shared" si="145"/>
        <v/>
      </c>
      <c r="S330" s="9" t="str">
        <f t="shared" si="145"/>
        <v/>
      </c>
      <c r="T330" s="9" t="str">
        <f t="shared" si="145"/>
        <v/>
      </c>
      <c r="U330" s="9" t="str">
        <f t="shared" si="145"/>
        <v/>
      </c>
      <c r="V330" s="9" t="str">
        <f t="shared" si="145"/>
        <v/>
      </c>
      <c r="W330" s="9" t="str">
        <f t="shared" si="145"/>
        <v/>
      </c>
      <c r="X330" s="9" t="str">
        <f t="shared" si="145"/>
        <v/>
      </c>
      <c r="Y330" s="9" t="str">
        <f t="shared" si="145"/>
        <v/>
      </c>
      <c r="Z330" s="9" t="str">
        <f t="shared" si="145"/>
        <v/>
      </c>
      <c r="AA330" s="9" t="str">
        <f t="shared" si="145"/>
        <v/>
      </c>
      <c r="AB330" s="9" t="str">
        <f t="shared" si="145"/>
        <v/>
      </c>
      <c r="AC330" s="9" t="str">
        <f t="shared" si="145"/>
        <v/>
      </c>
      <c r="AD330" s="9" t="str">
        <f t="shared" si="145"/>
        <v/>
      </c>
      <c r="AE330" s="9" t="str">
        <f t="shared" si="145"/>
        <v/>
      </c>
      <c r="AF330" s="9" t="str">
        <f t="shared" si="145"/>
        <v/>
      </c>
      <c r="AG330" s="9" t="str">
        <f t="shared" si="145"/>
        <v/>
      </c>
      <c r="AH330" s="9" t="str">
        <f t="shared" si="145"/>
        <v/>
      </c>
      <c r="AI330" s="9" t="str">
        <f t="shared" si="145"/>
        <v/>
      </c>
      <c r="AJ330" s="1"/>
      <c r="AK330" s="94"/>
      <c r="AL330" s="98"/>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c r="BK330" s="94"/>
      <c r="BL330" s="94"/>
      <c r="BM330" s="94"/>
      <c r="BN330" s="94"/>
      <c r="BO330" s="94"/>
      <c r="BP330" s="94"/>
      <c r="BQ330" s="94"/>
      <c r="BR330" s="94"/>
      <c r="BS330" s="94"/>
      <c r="BT330" s="94"/>
      <c r="BU330" s="94"/>
      <c r="BV330" s="94"/>
      <c r="BW330" s="94"/>
      <c r="BX330" s="94"/>
      <c r="BY330" s="94"/>
      <c r="BZ330" s="94"/>
      <c r="CA330" s="684"/>
      <c r="CB330" s="684"/>
      <c r="CC330" s="684"/>
      <c r="CD330" s="684"/>
      <c r="CE330" s="684"/>
      <c r="CF330" s="684"/>
      <c r="CG330" s="684"/>
      <c r="CH330" s="684"/>
      <c r="CI330" s="684"/>
      <c r="CJ330" s="684"/>
      <c r="CK330" s="684"/>
      <c r="CL330" s="684"/>
      <c r="CM330" s="684"/>
      <c r="CN330" s="684"/>
      <c r="CO330" s="684"/>
      <c r="CP330" s="684"/>
      <c r="CQ330" s="684"/>
      <c r="CR330" s="684"/>
      <c r="CS330" s="684"/>
      <c r="CT330" s="684"/>
      <c r="CU330" s="684"/>
      <c r="CV330" s="684"/>
      <c r="CW330" s="684"/>
      <c r="CX330" s="684"/>
      <c r="CY330" s="684"/>
      <c r="CZ330" s="684"/>
      <c r="DA330" s="684"/>
      <c r="DB330" s="684"/>
      <c r="DC330" s="684"/>
    </row>
    <row r="331" spans="1:256" s="5" customFormat="1" ht="12.75" customHeight="1">
      <c r="A331" s="1"/>
      <c r="B331" s="735" t="str">
        <f>Version</f>
        <v>MF (11/23)</v>
      </c>
      <c r="C331" s="735"/>
      <c r="D331" s="735"/>
      <c r="E331" s="735"/>
      <c r="F331" s="735"/>
      <c r="G331" s="735"/>
      <c r="H331" s="735"/>
      <c r="I331" s="735"/>
      <c r="J331" s="735"/>
      <c r="K331" s="735"/>
      <c r="L331" s="735"/>
      <c r="M331" s="735"/>
      <c r="N331" s="735"/>
      <c r="O331" s="735"/>
      <c r="P331" s="735"/>
      <c r="Q331" s="735"/>
      <c r="R331" s="735"/>
      <c r="S331" s="735"/>
      <c r="T331" s="735"/>
      <c r="U331" s="735"/>
      <c r="V331" s="735"/>
      <c r="W331" s="735"/>
      <c r="X331" s="735"/>
      <c r="Y331" s="735"/>
      <c r="Z331" s="735"/>
      <c r="AA331" s="735"/>
      <c r="AB331" s="735"/>
      <c r="AC331" s="735"/>
      <c r="AD331" s="735"/>
      <c r="AE331" s="735"/>
      <c r="AF331" s="735"/>
      <c r="AG331" s="735"/>
      <c r="AH331" s="735"/>
      <c r="AI331" s="9" t="str">
        <f t="shared" ref="AI331" si="146">IF(AI116="","",AI116)</f>
        <v/>
      </c>
      <c r="AJ331" s="1"/>
      <c r="AK331" s="94"/>
      <c r="AL331" s="98"/>
      <c r="AM331" s="94"/>
      <c r="AN331" s="94"/>
      <c r="AO331" s="94"/>
      <c r="AP331" s="94"/>
      <c r="AQ331" s="94"/>
      <c r="AR331" s="94"/>
      <c r="AS331" s="94"/>
      <c r="AT331" s="94"/>
      <c r="AU331" s="94"/>
      <c r="AV331" s="94"/>
      <c r="AW331" s="94"/>
      <c r="AX331" s="94"/>
      <c r="AY331" s="94"/>
      <c r="AZ331" s="94"/>
      <c r="BA331" s="94"/>
      <c r="BB331" s="94"/>
      <c r="BC331" s="94"/>
      <c r="BD331" s="94"/>
      <c r="BE331" s="94"/>
      <c r="BF331" s="94"/>
      <c r="BG331" s="94"/>
      <c r="BH331" s="94"/>
      <c r="BI331" s="94"/>
      <c r="BJ331" s="94"/>
      <c r="BK331" s="94"/>
      <c r="BL331" s="94"/>
      <c r="BM331" s="94"/>
      <c r="BN331" s="94"/>
      <c r="BO331" s="94"/>
      <c r="BP331" s="94"/>
      <c r="BQ331" s="94"/>
      <c r="BR331" s="94"/>
      <c r="BS331" s="94"/>
      <c r="BT331" s="94"/>
      <c r="BU331" s="94"/>
      <c r="BV331" s="94"/>
      <c r="BW331" s="94"/>
      <c r="BX331" s="94"/>
      <c r="BY331" s="94"/>
      <c r="BZ331" s="94"/>
      <c r="CA331" s="684"/>
      <c r="CB331" s="684"/>
      <c r="CC331" s="684"/>
      <c r="CD331" s="684"/>
      <c r="CE331" s="684"/>
      <c r="CF331" s="684"/>
      <c r="CG331" s="684"/>
      <c r="CH331" s="684"/>
      <c r="CI331" s="684"/>
      <c r="CJ331" s="684"/>
      <c r="CK331" s="684"/>
      <c r="CL331" s="684"/>
      <c r="CM331" s="684"/>
      <c r="CN331" s="684"/>
      <c r="CO331" s="684"/>
      <c r="CP331" s="684"/>
      <c r="CQ331" s="684"/>
      <c r="CR331" s="684"/>
      <c r="CS331" s="684"/>
      <c r="CT331" s="684"/>
      <c r="CU331" s="684"/>
      <c r="CV331" s="684"/>
      <c r="CW331" s="684"/>
      <c r="CX331" s="684"/>
      <c r="CY331" s="684"/>
      <c r="CZ331" s="684"/>
      <c r="DA331" s="684"/>
      <c r="DB331" s="684"/>
      <c r="DC331" s="684"/>
    </row>
    <row r="332" spans="1:256" ht="12.7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100"/>
      <c r="AQ332" s="100"/>
      <c r="AR332" s="100"/>
      <c r="AS332" s="100"/>
      <c r="AT332" s="100"/>
      <c r="AU332" s="100"/>
      <c r="AV332" s="100"/>
      <c r="AW332" s="100"/>
      <c r="AX332" s="100"/>
      <c r="AY332" s="100"/>
      <c r="AZ332" s="100"/>
      <c r="BA332" s="100"/>
      <c r="BB332" s="100"/>
      <c r="BC332" s="100"/>
      <c r="BD332" s="100"/>
      <c r="BE332" s="100"/>
      <c r="BF332" s="100"/>
      <c r="BG332" s="100"/>
      <c r="BH332" s="100"/>
      <c r="BI332" s="100"/>
      <c r="BJ332" s="100"/>
      <c r="BK332" s="100"/>
      <c r="BL332" s="100"/>
      <c r="BM332" s="100"/>
      <c r="BN332" s="100"/>
      <c r="BO332" s="100"/>
      <c r="BP332" s="100"/>
      <c r="BQ332" s="100"/>
      <c r="BR332" s="100"/>
      <c r="BS332" s="100"/>
      <c r="BT332" s="100"/>
      <c r="BU332" s="100"/>
      <c r="BV332" s="100"/>
      <c r="BW332" s="100"/>
      <c r="BX332" s="100"/>
      <c r="BY332" s="100"/>
      <c r="BZ332" s="100"/>
      <c r="CA332" s="687"/>
      <c r="CB332" s="687"/>
      <c r="CC332" s="687"/>
      <c r="CD332" s="687"/>
      <c r="CE332" s="687"/>
      <c r="CF332" s="687"/>
      <c r="CG332" s="687"/>
      <c r="CH332" s="687"/>
      <c r="CI332" s="687"/>
      <c r="CJ332" s="687"/>
      <c r="CK332" s="687"/>
      <c r="CL332" s="687"/>
      <c r="CM332" s="687"/>
      <c r="CN332" s="687"/>
      <c r="CO332" s="687"/>
      <c r="CP332" s="687"/>
      <c r="CQ332" s="687"/>
      <c r="CR332" s="687"/>
      <c r="CS332" s="687"/>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c r="HA332" s="10"/>
      <c r="HB332" s="10"/>
      <c r="HC332" s="10"/>
      <c r="HD332" s="10"/>
      <c r="HE332" s="10"/>
      <c r="HF332" s="10"/>
      <c r="HG332" s="10"/>
      <c r="HH332" s="10"/>
      <c r="HI332" s="10"/>
      <c r="HJ332" s="10"/>
      <c r="HK332" s="10"/>
      <c r="HL332" s="10"/>
      <c r="HM332" s="10"/>
      <c r="HN332" s="10"/>
      <c r="HO332" s="10"/>
      <c r="HP332" s="10"/>
      <c r="HQ332" s="10"/>
      <c r="HR332" s="10"/>
      <c r="HS332" s="10"/>
      <c r="HT332" s="10"/>
      <c r="HU332" s="10"/>
      <c r="HV332" s="10"/>
      <c r="HW332" s="10"/>
      <c r="HX332" s="10"/>
      <c r="HY332" s="10"/>
      <c r="HZ332" s="10"/>
      <c r="IA332" s="10"/>
      <c r="IB332" s="10"/>
      <c r="IC332" s="10"/>
      <c r="ID332" s="10"/>
      <c r="IE332" s="10"/>
      <c r="IF332" s="10"/>
      <c r="IG332" s="10"/>
      <c r="IH332" s="10"/>
      <c r="II332" s="10"/>
      <c r="IJ332" s="10"/>
      <c r="IK332" s="10"/>
      <c r="IL332" s="10"/>
      <c r="IM332" s="10"/>
      <c r="IN332" s="10"/>
      <c r="IO332" s="10"/>
      <c r="IP332" s="10"/>
      <c r="IQ332" s="10"/>
      <c r="IR332" s="10"/>
      <c r="IS332" s="10"/>
      <c r="IT332" s="10"/>
      <c r="IU332" s="10"/>
      <c r="IV332" s="10"/>
    </row>
  </sheetData>
  <sheetProtection algorithmName="SHA-512" hashValue="IDgjI1WRBPKsrKGdaCYh7OunFA+ZSB1fXfLEPcssNJlezsTi9CJLB/FwslyZVHYp8M89Ko4OtFWELHairyLxSg==" saltValue="LaWHZK4WfcCIDWoOllMunQ==" spinCount="100000" sheet="1" selectLockedCells="1"/>
  <mergeCells count="243">
    <mergeCell ref="AF233:AH233"/>
    <mergeCell ref="AF235:AH235"/>
    <mergeCell ref="AF236:AH236"/>
    <mergeCell ref="AF237:AH237"/>
    <mergeCell ref="AF239:AH239"/>
    <mergeCell ref="AF242:AH242"/>
    <mergeCell ref="O239:S239"/>
    <mergeCell ref="J247:P247"/>
    <mergeCell ref="AA247:AD249"/>
    <mergeCell ref="J249:K249"/>
    <mergeCell ref="M249:N249"/>
    <mergeCell ref="P249:Q249"/>
    <mergeCell ref="O248:R248"/>
    <mergeCell ref="S249:T249"/>
    <mergeCell ref="X249:Y249"/>
    <mergeCell ref="AF249:AH249"/>
    <mergeCell ref="W233:X233"/>
    <mergeCell ref="W235:X235"/>
    <mergeCell ref="W236:X236"/>
    <mergeCell ref="W237:X237"/>
    <mergeCell ref="W239:X239"/>
    <mergeCell ref="O233:P233"/>
    <mergeCell ref="N232:AD232"/>
    <mergeCell ref="N234:AD234"/>
    <mergeCell ref="N238:AD238"/>
    <mergeCell ref="O235:S235"/>
    <mergeCell ref="O236:S236"/>
    <mergeCell ref="O237:S237"/>
    <mergeCell ref="K225:Q225"/>
    <mergeCell ref="K226:Q226"/>
    <mergeCell ref="K227:Q227"/>
    <mergeCell ref="K228:Q228"/>
    <mergeCell ref="O230:P230"/>
    <mergeCell ref="W230:X230"/>
    <mergeCell ref="W231:X231"/>
    <mergeCell ref="AF225:AH225"/>
    <mergeCell ref="AF226:AH226"/>
    <mergeCell ref="AF227:AH227"/>
    <mergeCell ref="AF228:AH228"/>
    <mergeCell ref="O229:P229"/>
    <mergeCell ref="W229:X229"/>
    <mergeCell ref="AF229:AH229"/>
    <mergeCell ref="AM8:AN8"/>
    <mergeCell ref="AM7:AN7"/>
    <mergeCell ref="J32:Q32"/>
    <mergeCell ref="AA32:AD34"/>
    <mergeCell ref="O33:R33"/>
    <mergeCell ref="J34:K34"/>
    <mergeCell ref="M34:N34"/>
    <mergeCell ref="AF34:AH34"/>
    <mergeCell ref="O22:S22"/>
    <mergeCell ref="O24:S24"/>
    <mergeCell ref="S40:T40"/>
    <mergeCell ref="AF35:AH35"/>
    <mergeCell ref="AF10:AH10"/>
    <mergeCell ref="AF11:AH11"/>
    <mergeCell ref="K49:Q49"/>
    <mergeCell ref="AF49:AH49"/>
    <mergeCell ref="K50:Q50"/>
    <mergeCell ref="AO8:AU8"/>
    <mergeCell ref="W24:X24"/>
    <mergeCell ref="AF24:AH24"/>
    <mergeCell ref="AO7:AU7"/>
    <mergeCell ref="AM30:AN30"/>
    <mergeCell ref="AO30:AU30"/>
    <mergeCell ref="W14:X14"/>
    <mergeCell ref="AF14:AH14"/>
    <mergeCell ref="AF13:AH13"/>
    <mergeCell ref="AF12:AH12"/>
    <mergeCell ref="AF15:AH15"/>
    <mergeCell ref="AF16:AH16"/>
    <mergeCell ref="AF18:AH18"/>
    <mergeCell ref="AF21:AH21"/>
    <mergeCell ref="W22:X22"/>
    <mergeCell ref="AF22:AH22"/>
    <mergeCell ref="AF28:AH28"/>
    <mergeCell ref="W20:X20"/>
    <mergeCell ref="AF20:AH20"/>
    <mergeCell ref="N17:AD17"/>
    <mergeCell ref="N19:AD19"/>
    <mergeCell ref="N23:AD23"/>
    <mergeCell ref="O20:S20"/>
    <mergeCell ref="O21:S21"/>
    <mergeCell ref="B1:T1"/>
    <mergeCell ref="P34:Q34"/>
    <mergeCell ref="S34:T34"/>
    <mergeCell ref="X34:Y34"/>
    <mergeCell ref="J35:K35"/>
    <mergeCell ref="M35:N35"/>
    <mergeCell ref="P35:Q35"/>
    <mergeCell ref="S35:T35"/>
    <mergeCell ref="X35:Y35"/>
    <mergeCell ref="K12:Q12"/>
    <mergeCell ref="W15:X15"/>
    <mergeCell ref="O14:P14"/>
    <mergeCell ref="O15:P15"/>
    <mergeCell ref="W16:X16"/>
    <mergeCell ref="O18:P18"/>
    <mergeCell ref="W18:X18"/>
    <mergeCell ref="W21:X21"/>
    <mergeCell ref="K10:Q10"/>
    <mergeCell ref="K11:Q11"/>
    <mergeCell ref="K13:Q13"/>
    <mergeCell ref="K51:Q51"/>
    <mergeCell ref="AF51:AH51"/>
    <mergeCell ref="X41:Y41"/>
    <mergeCell ref="AF41:AH41"/>
    <mergeCell ref="B43:AI44"/>
    <mergeCell ref="AM32:AN32"/>
    <mergeCell ref="AO32:AU32"/>
    <mergeCell ref="AM47:AN47"/>
    <mergeCell ref="AO47:AU47"/>
    <mergeCell ref="AM65:AN65"/>
    <mergeCell ref="AO60:AU60"/>
    <mergeCell ref="W62:X62"/>
    <mergeCell ref="AF62:AH62"/>
    <mergeCell ref="Z66:AD67"/>
    <mergeCell ref="W67:X67"/>
    <mergeCell ref="AF67:AH67"/>
    <mergeCell ref="W55:X55"/>
    <mergeCell ref="AF55:AH55"/>
    <mergeCell ref="W56:X56"/>
    <mergeCell ref="AF56:AH56"/>
    <mergeCell ref="W57:X57"/>
    <mergeCell ref="AF57:AH57"/>
    <mergeCell ref="W52:X52"/>
    <mergeCell ref="AF52:AH52"/>
    <mergeCell ref="W53:X53"/>
    <mergeCell ref="AF53:AH53"/>
    <mergeCell ref="W54:X54"/>
    <mergeCell ref="AF54:AH54"/>
    <mergeCell ref="X40:Y40"/>
    <mergeCell ref="AM60:AN60"/>
    <mergeCell ref="AF50:AH50"/>
    <mergeCell ref="AM90:AN90"/>
    <mergeCell ref="AO90:AU90"/>
    <mergeCell ref="AM76:AN76"/>
    <mergeCell ref="AO76:AU76"/>
    <mergeCell ref="AO65:AU65"/>
    <mergeCell ref="W78:X78"/>
    <mergeCell ref="AF78:AH78"/>
    <mergeCell ref="W79:X79"/>
    <mergeCell ref="AF79:AH79"/>
    <mergeCell ref="W80:X80"/>
    <mergeCell ref="AF80:AH80"/>
    <mergeCell ref="W84:X84"/>
    <mergeCell ref="AF84:AH84"/>
    <mergeCell ref="W86:X86"/>
    <mergeCell ref="AF86:AH86"/>
    <mergeCell ref="W87:X87"/>
    <mergeCell ref="AF87:AH87"/>
    <mergeCell ref="W82:X82"/>
    <mergeCell ref="AF82:AH82"/>
    <mergeCell ref="W83:X83"/>
    <mergeCell ref="AF83:AH83"/>
    <mergeCell ref="W72:X72"/>
    <mergeCell ref="AF72:AH72"/>
    <mergeCell ref="AF71:AH71"/>
    <mergeCell ref="AM99:AN99"/>
    <mergeCell ref="AO99:AU99"/>
    <mergeCell ref="AF114:AH114"/>
    <mergeCell ref="B115:AI115"/>
    <mergeCell ref="B116:AI116"/>
    <mergeCell ref="W104:X104"/>
    <mergeCell ref="AF104:AH104"/>
    <mergeCell ref="W105:X105"/>
    <mergeCell ref="AF105:AH105"/>
    <mergeCell ref="W101:X101"/>
    <mergeCell ref="AF101:AH101"/>
    <mergeCell ref="W102:X102"/>
    <mergeCell ref="AF102:AH102"/>
    <mergeCell ref="W103:X103"/>
    <mergeCell ref="AF103:AH103"/>
    <mergeCell ref="AM109:AN109"/>
    <mergeCell ref="AO109:AU109"/>
    <mergeCell ref="W111:X111"/>
    <mergeCell ref="O111:S111"/>
    <mergeCell ref="X256:Y256"/>
    <mergeCell ref="AF256:AH256"/>
    <mergeCell ref="B258:AI259"/>
    <mergeCell ref="G39:R39"/>
    <mergeCell ref="S38:T38"/>
    <mergeCell ref="L38:R38"/>
    <mergeCell ref="G37:R37"/>
    <mergeCell ref="S36:T36"/>
    <mergeCell ref="L36:R36"/>
    <mergeCell ref="AF111:AH111"/>
    <mergeCell ref="W95:X95"/>
    <mergeCell ref="AF95:AH95"/>
    <mergeCell ref="W96:X96"/>
    <mergeCell ref="AF96:AH96"/>
    <mergeCell ref="Q84:R84"/>
    <mergeCell ref="AF230:AH230"/>
    <mergeCell ref="AF231:AH231"/>
    <mergeCell ref="J250:K250"/>
    <mergeCell ref="M250:N250"/>
    <mergeCell ref="P250:Q250"/>
    <mergeCell ref="S250:T250"/>
    <mergeCell ref="X250:Y250"/>
    <mergeCell ref="X251:Y251"/>
    <mergeCell ref="AF250:AH250"/>
    <mergeCell ref="AF27:AH27"/>
    <mergeCell ref="X36:Y36"/>
    <mergeCell ref="AF36:AH36"/>
    <mergeCell ref="W37:AH37"/>
    <mergeCell ref="X38:Y38"/>
    <mergeCell ref="AF38:AH38"/>
    <mergeCell ref="W39:AH39"/>
    <mergeCell ref="AF40:AH40"/>
    <mergeCell ref="W94:X94"/>
    <mergeCell ref="AF94:AH94"/>
    <mergeCell ref="W81:X81"/>
    <mergeCell ref="AF81:AH81"/>
    <mergeCell ref="W92:X92"/>
    <mergeCell ref="AF92:AH92"/>
    <mergeCell ref="W93:X93"/>
    <mergeCell ref="AF93:AH93"/>
    <mergeCell ref="W73:X73"/>
    <mergeCell ref="AF73:AH73"/>
    <mergeCell ref="W68:X68"/>
    <mergeCell ref="AF68:AH68"/>
    <mergeCell ref="AF69:AH69"/>
    <mergeCell ref="W70:X70"/>
    <mergeCell ref="AF70:AH70"/>
    <mergeCell ref="W71:X71"/>
    <mergeCell ref="K264:Q264"/>
    <mergeCell ref="K266:Q266"/>
    <mergeCell ref="W267:X267"/>
    <mergeCell ref="W271:X271"/>
    <mergeCell ref="AF264:AH264"/>
    <mergeCell ref="AF265:AH265"/>
    <mergeCell ref="AF266:AH266"/>
    <mergeCell ref="AF267:AH267"/>
    <mergeCell ref="AF271:AH271"/>
    <mergeCell ref="W277:X277"/>
    <mergeCell ref="AF277:AH277"/>
    <mergeCell ref="O326:S326"/>
    <mergeCell ref="W326:X326"/>
    <mergeCell ref="AF326:AH326"/>
    <mergeCell ref="AF329:AH329"/>
    <mergeCell ref="W293:X293"/>
    <mergeCell ref="B331:AH331"/>
    <mergeCell ref="AF293:AH293"/>
  </mergeCells>
  <conditionalFormatting sqref="AF114">
    <cfRule type="cellIs" dxfId="469" priority="179" stopIfTrue="1" operator="equal">
      <formula>100000</formula>
    </cfRule>
  </conditionalFormatting>
  <conditionalFormatting sqref="O18 W18">
    <cfRule type="expression" dxfId="468" priority="178" stopIfTrue="1">
      <formula>AND($AK18=TRUE,O18="",$AQ$1="Electric")</formula>
    </cfRule>
  </conditionalFormatting>
  <conditionalFormatting sqref="W52:X53">
    <cfRule type="expression" dxfId="467" priority="175" stopIfTrue="1">
      <formula>AND($AK52=TRUE,W52="")</formula>
    </cfRule>
  </conditionalFormatting>
  <conditionalFormatting sqref="W62:X62">
    <cfRule type="expression" dxfId="466" priority="174" stopIfTrue="1">
      <formula>AND($AK62=TRUE,W62="")</formula>
    </cfRule>
  </conditionalFormatting>
  <conditionalFormatting sqref="W68:X68">
    <cfRule type="expression" dxfId="465" priority="173" stopIfTrue="1">
      <formula>AND($AK68=TRUE,W68="")</formula>
    </cfRule>
  </conditionalFormatting>
  <conditionalFormatting sqref="P69:Q70">
    <cfRule type="expression" dxfId="464" priority="182" stopIfTrue="1">
      <formula>AND(AV43=TRUE,$BR43="")</formula>
    </cfRule>
  </conditionalFormatting>
  <conditionalFormatting sqref="P71:Q72">
    <cfRule type="expression" dxfId="463" priority="183" stopIfTrue="1">
      <formula>AND(AV44=TRUE,$BR44="")</formula>
    </cfRule>
  </conditionalFormatting>
  <conditionalFormatting sqref="W70:X70">
    <cfRule type="expression" dxfId="462" priority="171" stopIfTrue="1">
      <formula>AND($AK70=TRUE,W70="")</formula>
    </cfRule>
  </conditionalFormatting>
  <conditionalFormatting sqref="P73:Q73">
    <cfRule type="expression" dxfId="461" priority="184" stopIfTrue="1">
      <formula>AND(AV45=TRUE,$BR45="")</formula>
    </cfRule>
  </conditionalFormatting>
  <conditionalFormatting sqref="W101:X103">
    <cfRule type="expression" dxfId="460" priority="170" stopIfTrue="1">
      <formula>AND($AK101=TRUE,W101="")</formula>
    </cfRule>
  </conditionalFormatting>
  <conditionalFormatting sqref="W104:X104">
    <cfRule type="expression" dxfId="459" priority="185">
      <formula>AND(W104&gt;0,#REF!="OR")</formula>
    </cfRule>
    <cfRule type="expression" dxfId="458" priority="186" stopIfTrue="1">
      <formula>AND($AK104=TRUE,W104="")</formula>
    </cfRule>
  </conditionalFormatting>
  <conditionalFormatting sqref="W96:X96">
    <cfRule type="expression" dxfId="457" priority="188" stopIfTrue="1">
      <formula>AND($AK96=TRUE,W96="")</formula>
    </cfRule>
  </conditionalFormatting>
  <conditionalFormatting sqref="W92:X92">
    <cfRule type="expression" dxfId="456" priority="190" stopIfTrue="1">
      <formula>AND($AK92=TRUE,W92="")</formula>
    </cfRule>
  </conditionalFormatting>
  <conditionalFormatting sqref="W79:X79">
    <cfRule type="expression" dxfId="455" priority="192" stopIfTrue="1">
      <formula>AND($AK79=TRUE,W79="")</formula>
    </cfRule>
  </conditionalFormatting>
  <conditionalFormatting sqref="W72:X72">
    <cfRule type="expression" dxfId="454" priority="194" stopIfTrue="1">
      <formula>AND($AK72=TRUE,W72="")</formula>
    </cfRule>
  </conditionalFormatting>
  <conditionalFormatting sqref="W57:X57">
    <cfRule type="expression" dxfId="453" priority="196" stopIfTrue="1">
      <formula>AND($AK57=TRUE,W57="")</formula>
    </cfRule>
  </conditionalFormatting>
  <conditionalFormatting sqref="W55:X55">
    <cfRule type="expression" dxfId="452" priority="198" stopIfTrue="1">
      <formula>AND($AK55=TRUE,W55="")</formula>
    </cfRule>
  </conditionalFormatting>
  <conditionalFormatting sqref="W54:X54">
    <cfRule type="expression" dxfId="451" priority="200" stopIfTrue="1">
      <formula>AND($AK54=TRUE,W54="")</formula>
    </cfRule>
  </conditionalFormatting>
  <conditionalFormatting sqref="N67:V67 N69:V71 V74 N73:V73 N72:U72 V86:V87">
    <cfRule type="expression" dxfId="450" priority="1189" stopIfTrue="1">
      <formula>AND($AK67=TRUE,$AF67="")</formula>
    </cfRule>
  </conditionalFormatting>
  <conditionalFormatting sqref="W78 Y41 W93:X95 W62:X62 W68:X68 W101:X103 W105:X105">
    <cfRule type="expression" dxfId="449" priority="1195" stopIfTrue="1">
      <formula>AND($AK41=TRUE,$W41="")</formula>
    </cfRule>
  </conditionalFormatting>
  <conditionalFormatting sqref="J49:R51">
    <cfRule type="expression" dxfId="448" priority="1202">
      <formula>AND($AK49=TRUE,$AF49="")</formula>
    </cfRule>
  </conditionalFormatting>
  <conditionalFormatting sqref="W84 Q84">
    <cfRule type="expression" dxfId="447" priority="1203">
      <formula>AND($AK84=TRUE,$W84="",$Q84="")</formula>
    </cfRule>
  </conditionalFormatting>
  <conditionalFormatting sqref="K10:R13">
    <cfRule type="expression" dxfId="446" priority="86">
      <formula>AND($AK10=TRUE,$AF10="")</formula>
    </cfRule>
  </conditionalFormatting>
  <conditionalFormatting sqref="O14:P15">
    <cfRule type="expression" dxfId="445" priority="48" stopIfTrue="1">
      <formula>AND($AK14=TRUE,O14="")</formula>
    </cfRule>
  </conditionalFormatting>
  <conditionalFormatting sqref="W14:X15">
    <cfRule type="expression" dxfId="444" priority="46" stopIfTrue="1">
      <formula>AND($AK14=TRUE,W14="")</formula>
    </cfRule>
  </conditionalFormatting>
  <conditionalFormatting sqref="W16:X16">
    <cfRule type="expression" dxfId="443" priority="44" stopIfTrue="1">
      <formula>AND($AK16=TRUE,W16="")</formula>
    </cfRule>
  </conditionalFormatting>
  <conditionalFormatting sqref="W16:X16">
    <cfRule type="expression" dxfId="442" priority="45" stopIfTrue="1">
      <formula>AND($AK16=TRUE,$W16="")</formula>
    </cfRule>
  </conditionalFormatting>
  <conditionalFormatting sqref="W20:X22 W24:X24">
    <cfRule type="expression" dxfId="441" priority="41" stopIfTrue="1">
      <formula>AND($AK$19=TRUE,$W20="",$AQ$1="Electric")</formula>
    </cfRule>
  </conditionalFormatting>
  <conditionalFormatting sqref="W111">
    <cfRule type="expression" dxfId="440" priority="36" stopIfTrue="1">
      <formula>AND($AK111=TRUE,$W111="")</formula>
    </cfRule>
  </conditionalFormatting>
  <conditionalFormatting sqref="W111">
    <cfRule type="expression" dxfId="439" priority="35" stopIfTrue="1">
      <formula>AND($AK111=TRUE,$W111="")</formula>
    </cfRule>
  </conditionalFormatting>
  <conditionalFormatting sqref="X111">
    <cfRule type="expression" dxfId="438" priority="34" stopIfTrue="1">
      <formula>AND($AK111=TRUE,$W111="")</formula>
    </cfRule>
  </conditionalFormatting>
  <conditionalFormatting sqref="W111:X111">
    <cfRule type="expression" dxfId="437" priority="33" stopIfTrue="1">
      <formula>AND($AK111=TRUE,W111="")</formula>
    </cfRule>
  </conditionalFormatting>
  <conditionalFormatting sqref="AF27:AF28">
    <cfRule type="cellIs" dxfId="436" priority="32" stopIfTrue="1" operator="equal">
      <formula>100000</formula>
    </cfRule>
  </conditionalFormatting>
  <conditionalFormatting sqref="X36">
    <cfRule type="expression" dxfId="435" priority="28" stopIfTrue="1">
      <formula>AND($AK36=TRUE,X36="")</formula>
    </cfRule>
  </conditionalFormatting>
  <conditionalFormatting sqref="X38">
    <cfRule type="expression" dxfId="434" priority="27" stopIfTrue="1">
      <formula>AND($AK38=TRUE,X38="")</formula>
    </cfRule>
  </conditionalFormatting>
  <conditionalFormatting sqref="F37 V37">
    <cfRule type="expression" dxfId="433" priority="26">
      <formula>$AK$70=TRUE</formula>
    </cfRule>
  </conditionalFormatting>
  <conditionalFormatting sqref="G37 W37">
    <cfRule type="expression" dxfId="432" priority="25">
      <formula>$AK$70=TRUE</formula>
    </cfRule>
  </conditionalFormatting>
  <conditionalFormatting sqref="F39">
    <cfRule type="expression" dxfId="431" priority="24">
      <formula>$AK$72=TRUE</formula>
    </cfRule>
  </conditionalFormatting>
  <conditionalFormatting sqref="G39 W39">
    <cfRule type="expression" dxfId="430" priority="23">
      <formula>$AK$72=TRUE</formula>
    </cfRule>
  </conditionalFormatting>
  <conditionalFormatting sqref="L36:R36 L38:R38">
    <cfRule type="expression" dxfId="429" priority="29">
      <formula>AND($AK36=TRUE,$W37="")</formula>
    </cfRule>
    <cfRule type="expression" dxfId="428" priority="30">
      <formula>AND($AK36=TRUE,$G37="")</formula>
    </cfRule>
    <cfRule type="expression" dxfId="427" priority="31">
      <formula>AND($AK36=TRUE,$X36="")</formula>
    </cfRule>
  </conditionalFormatting>
  <conditionalFormatting sqref="V39">
    <cfRule type="expression" dxfId="426" priority="20">
      <formula>$AK$72=TRUE</formula>
    </cfRule>
  </conditionalFormatting>
  <conditionalFormatting sqref="C40">
    <cfRule type="expression" dxfId="425" priority="19">
      <formula>$AD$11="OR"</formula>
    </cfRule>
  </conditionalFormatting>
  <conditionalFormatting sqref="W40">
    <cfRule type="expression" dxfId="424" priority="18">
      <formula>$AD$11="OR"</formula>
    </cfRule>
  </conditionalFormatting>
  <conditionalFormatting sqref="AD40">
    <cfRule type="expression" dxfId="423" priority="17">
      <formula>$AD$11="OR"</formula>
    </cfRule>
  </conditionalFormatting>
  <conditionalFormatting sqref="AE40">
    <cfRule type="expression" dxfId="422" priority="16">
      <formula>$AD$11="OR"</formula>
    </cfRule>
  </conditionalFormatting>
  <conditionalFormatting sqref="G37:R37 W37:AH37">
    <cfRule type="expression" dxfId="421" priority="22">
      <formula>AND($AK36=TRUE,G37="")</formula>
    </cfRule>
  </conditionalFormatting>
  <conditionalFormatting sqref="G39:R39 W39:AH39">
    <cfRule type="expression" dxfId="420" priority="21">
      <formula>AND($AK38=TRUE,G39="")</formula>
    </cfRule>
  </conditionalFormatting>
  <conditionalFormatting sqref="X40:Y40">
    <cfRule type="expression" dxfId="419" priority="14" stopIfTrue="1">
      <formula>$AD$11="OR"</formula>
    </cfRule>
  </conditionalFormatting>
  <conditionalFormatting sqref="O20:S20">
    <cfRule type="expression" dxfId="418" priority="12">
      <formula>AND($AK$19=TRUE,$AQ$1="Electric")</formula>
    </cfRule>
  </conditionalFormatting>
  <conditionalFormatting sqref="O21:S21">
    <cfRule type="expression" dxfId="417" priority="11">
      <formula>AND($AK$19=TRUE,$AQ$1="Electric")</formula>
    </cfRule>
  </conditionalFormatting>
  <conditionalFormatting sqref="O22:S22">
    <cfRule type="expression" dxfId="416" priority="10">
      <formula>AND($AK$19=TRUE,$AQ$1="Electric")</formula>
    </cfRule>
  </conditionalFormatting>
  <conditionalFormatting sqref="O24:S24">
    <cfRule type="expression" dxfId="415" priority="9">
      <formula>AND($AK$23=TRUE,$AQ$1="Electric")</formula>
    </cfRule>
  </conditionalFormatting>
  <conditionalFormatting sqref="O111:S111">
    <cfRule type="expression" dxfId="414" priority="8">
      <formula>$AK$111=TRUE</formula>
    </cfRule>
  </conditionalFormatting>
  <conditionalFormatting sqref="N17">
    <cfRule type="expression" dxfId="413" priority="7">
      <formula>AND($AK18=TRUE,(O18+W18)&gt;0,$AQ$1&lt;&gt;"Electric")</formula>
    </cfRule>
  </conditionalFormatting>
  <conditionalFormatting sqref="N19">
    <cfRule type="expression" dxfId="412" priority="6">
      <formula>AND($AK19=TRUE,SUM($W20:$W22)&gt;0,$AQ$1&lt;&gt;"Electric")</formula>
    </cfRule>
  </conditionalFormatting>
  <conditionalFormatting sqref="N23">
    <cfRule type="expression" dxfId="411" priority="5">
      <formula>AND($AK23=TRUE,SUM($W23:$W24)&gt;0,$AQ$1&lt;&gt;"Electric")</formula>
    </cfRule>
  </conditionalFormatting>
  <conditionalFormatting sqref="X40:Y40">
    <cfRule type="expression" dxfId="410" priority="1259" stopIfTrue="1">
      <formula>AND($AK40=TRUE,X40="")</formula>
    </cfRule>
  </conditionalFormatting>
  <conditionalFormatting sqref="K225:Q228 K264:Q266">
    <cfRule type="expression" dxfId="409" priority="4">
      <formula>AND($AK10=TRUE,$AF10="")</formula>
    </cfRule>
  </conditionalFormatting>
  <conditionalFormatting sqref="C51 AD51:AH51 C266 AD266:AH266">
    <cfRule type="expression" dxfId="408" priority="2">
      <formula>$AO$1="OR"</formula>
    </cfRule>
  </conditionalFormatting>
  <dataValidations count="22">
    <dataValidation allowBlank="1" showInputMessage="1" showErrorMessage="1" prompt="Must be paired with an electric dryer." sqref="W78:X78" xr:uid="{210FE07D-A5B9-4A34-AD06-B8A379853170}"/>
    <dataValidation allowBlank="1" showInputMessage="1" showErrorMessage="1" prompt="Must operate continuously._x000a_" sqref="W81:X83" xr:uid="{82D2B20E-3ABB-44C5-AE6A-76DCFE7C2FEC}"/>
    <dataValidation allowBlank="1" showInputMessage="1" showErrorMessage="1" prompt="Industrial material handling vehicles or forklifts" sqref="W84:X84 Q84:R84" xr:uid="{BA41FBC1-A96F-4BCE-A98D-EEFCE9B98C74}"/>
    <dataValidation type="decimal" allowBlank="1" showInputMessage="1" showErrorMessage="1" errorTitle="Error" error="Enter the unit tons as a number." prompt="Economizers are incented only when not already required by code._x000a__x000a_Chilled-water plant systems 110 tons or less._x000a__x000a_District chilled-water systems 143 tons or less." sqref="W53:X53" xr:uid="{3676303A-1F0A-4AE5-95DA-1BCCBC9ED6AC}">
      <formula1>0.5</formula1>
      <formula2>1000</formula2>
    </dataValidation>
    <dataValidation type="decimal" allowBlank="1" showInputMessage="1" showErrorMessage="1" errorTitle="Error" error="Enter the unit tons as a number." prompt="Economizers are incented only when not already required by code._x000a__x000a_Each unit must be less than 5 tons. " sqref="W52:X52" xr:uid="{556AD3CD-B1E3-468B-946F-D061061D88E3}">
      <formula1>0.5</formula1>
      <formula2>1000</formula2>
    </dataValidation>
    <dataValidation type="whole" operator="lessThanOrEqual" allowBlank="1" showInputMessage="1" showErrorMessage="1" error="Must be 100 hp or less. Larger hp may qualify under Custom Projects." prompt="The compressor must operate at least 2000 hours per year in order to be eligible.  _x000a__x000a_Motors must be less than 200 hp" sqref="W101:X101" xr:uid="{7311AF29-B492-47C7-9766-544E5353A6B2}">
      <formula1>2000</formula1>
    </dataValidation>
    <dataValidation type="decimal" allowBlank="1" showInputMessage="1" showErrorMessage="1" errorTitle="Error" error="Enter the unit hp as a number." sqref="W70:X71 W73:X73" xr:uid="{5983F836-E9E7-4591-A9B0-2E2B0F64E70B}">
      <formula1>0.5</formula1>
      <formula2>1000</formula2>
    </dataValidation>
    <dataValidation type="decimal" allowBlank="1" showInputMessage="1" showErrorMessage="1" errorTitle="Error" error="Enter the unit tons as a number." sqref="W56:X56" xr:uid="{27C6D188-5596-47B0-93E1-A55475AAA58C}">
      <formula1>0.5</formula1>
      <formula2>1000</formula2>
    </dataValidation>
    <dataValidation type="whole" errorStyle="warning" allowBlank="1" showInputMessage="1" showErrorMessage="1" errorTitle="Error" error="Please enter the operating hours between 0 and 8760." sqref="S34:S36 S38 S40" xr:uid="{2C0FBE42-A340-4CE9-AF5A-D811EE5617CA}">
      <formula1>0</formula1>
      <formula2>8760</formula2>
    </dataValidation>
    <dataValidation type="decimal" allowBlank="1" showInputMessage="1" showErrorMessage="1" errorTitle="Error" error="Enter the code allowed lighting load in kW. (This can be calculated by multiplying the s.f. x allowed W/s.f. x 1000 kW/W.)" sqref="J34:J35 M34:M35" xr:uid="{E4907496-CF77-4AD8-BA4C-47DBBF3AEADC}">
      <formula1>0.01</formula1>
      <formula2>100000</formula2>
    </dataValidation>
    <dataValidation type="decimal" allowBlank="1" showInputMessage="1" showErrorMessage="1" errorTitle="Error" error="Enter the area of the roof in s.f." sqref="W62" xr:uid="{589AD6B2-D5D6-43E5-90AB-91A0D65AC1FA}">
      <formula1>9</formula1>
      <formula2>9000000</formula2>
    </dataValidation>
    <dataValidation type="decimal" allowBlank="1" showInputMessage="1" showErrorMessage="1" errorTitle="Error" error="Enter the quantity as a number." sqref="O14:P15 W14:X14" xr:uid="{B9562E8F-8759-4EDA-B5CD-C7BC835CC493}">
      <formula1>0</formula1>
      <formula2>1000</formula2>
    </dataValidation>
    <dataValidation type="decimal" allowBlank="1" showInputMessage="1" showErrorMessage="1" errorTitle="Error" error="Enter the area of the roof in s.f." prompt="Must have initial solar reflectivity of at least 0.70 and an emissivity of 0.75 or more. Roofs pitched more than 2 in 12 are not eligible." sqref="W16:X16" xr:uid="{10C4EF57-F820-4618-AC31-AA2016A79B99}">
      <formula1>9</formula1>
      <formula2>9000000</formula2>
    </dataValidation>
    <dataValidation type="decimal" allowBlank="1" showInputMessage="1" showErrorMessage="1" errorTitle="Error" error="Enter the area of the window in s.f." sqref="W20:X22 W24:X24" xr:uid="{46234EFA-D6F4-4258-84DE-9607EE34DCF7}">
      <formula1>9</formula1>
      <formula2>9000000</formula2>
    </dataValidation>
    <dataValidation type="decimal" allowBlank="1" showInputMessage="1" showErrorMessage="1" errorTitle="Error" error="Enter the quantity as a number." prompt="Number of smart thermostats installed on dwelling units using an electric heat pump." sqref="O18:P18" xr:uid="{3C4A2BFE-40E2-46ED-A4F3-4F86ACCC06DF}">
      <formula1>0</formula1>
      <formula2>1000</formula2>
    </dataValidation>
    <dataValidation type="decimal" allowBlank="1" showInputMessage="1" showErrorMessage="1" errorTitle="Error" error="Enter the quantity as a number." prompt="Number of smart thermostats installed on dwelling units using an electric furnace." sqref="W18:X18" xr:uid="{D3670114-B86A-4EE6-A296-AFD0EB4D4D5E}">
      <formula1>0</formula1>
      <formula2>1000</formula2>
    </dataValidation>
    <dataValidation type="decimal" allowBlank="1" showInputMessage="1" showErrorMessage="1" errorTitle="Error" error="Enter the area of the pool in s.f." sqref="W111:X111" xr:uid="{33A83585-1064-48C9-9E38-34579521EA15}">
      <formula1>1</formula1>
      <formula2>9000000</formula2>
    </dataValidation>
    <dataValidation type="list" allowBlank="1" showInputMessage="1" showErrorMessage="1" prompt="At least one strategy must be a sensor-based strategy" sqref="W37 G37" xr:uid="{7B2AD3FE-11C1-4831-B0F3-3AC7C33F6D19}">
      <formula1>interiorNLC</formula1>
    </dataValidation>
    <dataValidation type="list" allowBlank="1" showInputMessage="1" showErrorMessage="1" prompt="At least one strategy must be a sensor-based strategy" sqref="W39 G39" xr:uid="{0BD43A8B-53EC-4199-8079-5EE6C231B763}">
      <formula1>exteriorNLC</formula1>
    </dataValidation>
    <dataValidation allowBlank="1" showErrorMessage="1" sqref="X36:Y36 X38:Y38" xr:uid="{452325B9-C534-4116-84D1-F0CC8427516E}"/>
    <dataValidation type="list" allowBlank="1" showInputMessage="1" showErrorMessage="1" sqref="O20:S22 O24:S24 O111:S111" xr:uid="{161DB793-9D66-4B0A-AD35-888FEC92C074}">
      <formula1>HeatingSystem</formula1>
    </dataValidation>
    <dataValidation type="decimal" allowBlank="1" showInputMessage="1" showErrorMessage="1" errorTitle="Error" error="Enter the quantity as a number." prompt="Light must be less than 13 watts." sqref="W15:X15" xr:uid="{EEEFE2CD-E4D4-40A8-A202-3873A34F0161}">
      <formula1>0</formula1>
      <formula2>1000</formula2>
    </dataValidation>
  </dataValidations>
  <printOptions horizontalCentered="1"/>
  <pageMargins left="0.25" right="0.25" top="0.25" bottom="0.25" header="0.1" footer="0.5"/>
  <pageSetup scale="74"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01" r:id="rId4" name="B1">
              <controlPr defaultSize="0" autoFill="0" autoLine="0" autoPict="0">
                <anchor moveWithCells="1">
                  <from>
                    <xdr:col>1</xdr:col>
                    <xdr:colOff>0</xdr:colOff>
                    <xdr:row>60</xdr:row>
                    <xdr:rowOff>190500</xdr:rowOff>
                  </from>
                  <to>
                    <xdr:col>2</xdr:col>
                    <xdr:colOff>57150</xdr:colOff>
                    <xdr:row>61</xdr:row>
                    <xdr:rowOff>152400</xdr:rowOff>
                  </to>
                </anchor>
              </controlPr>
            </control>
          </mc:Choice>
        </mc:AlternateContent>
        <mc:AlternateContent xmlns:mc="http://schemas.openxmlformats.org/markup-compatibility/2006">
          <mc:Choice Requires="x14">
            <control shapeId="55303" r:id="rId5" name="A3">
              <controlPr defaultSize="0" autoFill="0" autoLine="0" autoPict="0">
                <anchor moveWithCells="1">
                  <from>
                    <xdr:col>1</xdr:col>
                    <xdr:colOff>0</xdr:colOff>
                    <xdr:row>49</xdr:row>
                    <xdr:rowOff>152400</xdr:rowOff>
                  </from>
                  <to>
                    <xdr:col>2</xdr:col>
                    <xdr:colOff>104775</xdr:colOff>
                    <xdr:row>51</xdr:row>
                    <xdr:rowOff>38100</xdr:rowOff>
                  </to>
                </anchor>
              </controlPr>
            </control>
          </mc:Choice>
        </mc:AlternateContent>
        <mc:AlternateContent xmlns:mc="http://schemas.openxmlformats.org/markup-compatibility/2006">
          <mc:Choice Requires="x14">
            <control shapeId="55305" r:id="rId6" name="A1">
              <controlPr defaultSize="0" autoFill="0" autoLine="0" autoPict="0">
                <anchor moveWithCells="1">
                  <from>
                    <xdr:col>1</xdr:col>
                    <xdr:colOff>0</xdr:colOff>
                    <xdr:row>47</xdr:row>
                    <xdr:rowOff>142875</xdr:rowOff>
                  </from>
                  <to>
                    <xdr:col>2</xdr:col>
                    <xdr:colOff>104775</xdr:colOff>
                    <xdr:row>50</xdr:row>
                    <xdr:rowOff>57150</xdr:rowOff>
                  </to>
                </anchor>
              </controlPr>
            </control>
          </mc:Choice>
        </mc:AlternateContent>
        <mc:AlternateContent xmlns:mc="http://schemas.openxmlformats.org/markup-compatibility/2006">
          <mc:Choice Requires="x14">
            <control shapeId="55306" r:id="rId7" name="L5">
              <controlPr defaultSize="0" autoFill="0" autoLine="0" autoPict="0">
                <anchor moveWithCells="1">
                  <from>
                    <xdr:col>1</xdr:col>
                    <xdr:colOff>0</xdr:colOff>
                    <xdr:row>40</xdr:row>
                    <xdr:rowOff>9525</xdr:rowOff>
                  </from>
                  <to>
                    <xdr:col>2</xdr:col>
                    <xdr:colOff>104775</xdr:colOff>
                    <xdr:row>41</xdr:row>
                    <xdr:rowOff>57150</xdr:rowOff>
                  </to>
                </anchor>
              </controlPr>
            </control>
          </mc:Choice>
        </mc:AlternateContent>
        <mc:AlternateContent xmlns:mc="http://schemas.openxmlformats.org/markup-compatibility/2006">
          <mc:Choice Requires="x14">
            <control shapeId="55309" r:id="rId8" name="L2">
              <controlPr defaultSize="0" autoFill="0" autoLine="0" autoPict="0">
                <anchor moveWithCells="1">
                  <from>
                    <xdr:col>0</xdr:col>
                    <xdr:colOff>66675</xdr:colOff>
                    <xdr:row>33</xdr:row>
                    <xdr:rowOff>133350</xdr:rowOff>
                  </from>
                  <to>
                    <xdr:col>2</xdr:col>
                    <xdr:colOff>85725</xdr:colOff>
                    <xdr:row>40</xdr:row>
                    <xdr:rowOff>28575</xdr:rowOff>
                  </to>
                </anchor>
              </controlPr>
            </control>
          </mc:Choice>
        </mc:AlternateContent>
        <mc:AlternateContent xmlns:mc="http://schemas.openxmlformats.org/markup-compatibility/2006">
          <mc:Choice Requires="x14">
            <control shapeId="55310" r:id="rId9" name="L1">
              <controlPr defaultSize="0" autoFill="0" autoLine="0" autoPict="0">
                <anchor moveWithCells="1">
                  <from>
                    <xdr:col>0</xdr:col>
                    <xdr:colOff>66675</xdr:colOff>
                    <xdr:row>32</xdr:row>
                    <xdr:rowOff>180975</xdr:rowOff>
                  </from>
                  <to>
                    <xdr:col>2</xdr:col>
                    <xdr:colOff>95250</xdr:colOff>
                    <xdr:row>34</xdr:row>
                    <xdr:rowOff>57150</xdr:rowOff>
                  </to>
                </anchor>
              </controlPr>
            </control>
          </mc:Choice>
        </mc:AlternateContent>
        <mc:AlternateContent xmlns:mc="http://schemas.openxmlformats.org/markup-compatibility/2006">
          <mc:Choice Requires="x14">
            <control shapeId="55313" r:id="rId10" name="Check Box 17">
              <controlPr defaultSize="0" autoFill="0" autoLine="0" autoPict="0">
                <anchor moveWithCells="1">
                  <from>
                    <xdr:col>1</xdr:col>
                    <xdr:colOff>28575</xdr:colOff>
                    <xdr:row>76</xdr:row>
                    <xdr:rowOff>152400</xdr:rowOff>
                  </from>
                  <to>
                    <xdr:col>2</xdr:col>
                    <xdr:colOff>114300</xdr:colOff>
                    <xdr:row>110</xdr:row>
                    <xdr:rowOff>47625</xdr:rowOff>
                  </to>
                </anchor>
              </controlPr>
            </control>
          </mc:Choice>
        </mc:AlternateContent>
        <mc:AlternateContent xmlns:mc="http://schemas.openxmlformats.org/markup-compatibility/2006">
          <mc:Choice Requires="x14">
            <control shapeId="55398" r:id="rId11" name="A4">
              <controlPr defaultSize="0" autoFill="0" autoLine="0" autoPict="0">
                <anchor moveWithCells="1">
                  <from>
                    <xdr:col>1</xdr:col>
                    <xdr:colOff>0</xdr:colOff>
                    <xdr:row>12</xdr:row>
                    <xdr:rowOff>171450</xdr:rowOff>
                  </from>
                  <to>
                    <xdr:col>2</xdr:col>
                    <xdr:colOff>57150</xdr:colOff>
                    <xdr:row>14</xdr:row>
                    <xdr:rowOff>0</xdr:rowOff>
                  </to>
                </anchor>
              </controlPr>
            </control>
          </mc:Choice>
        </mc:AlternateContent>
        <mc:AlternateContent xmlns:mc="http://schemas.openxmlformats.org/markup-compatibility/2006">
          <mc:Choice Requires="x14">
            <control shapeId="55399" r:id="rId12" name="Check Box 103">
              <controlPr defaultSize="0" autoFill="0" autoLine="0" autoPict="0">
                <anchor moveWithCells="1">
                  <from>
                    <xdr:col>0</xdr:col>
                    <xdr:colOff>76200</xdr:colOff>
                    <xdr:row>11</xdr:row>
                    <xdr:rowOff>38100</xdr:rowOff>
                  </from>
                  <to>
                    <xdr:col>2</xdr:col>
                    <xdr:colOff>38100</xdr:colOff>
                    <xdr:row>12</xdr:row>
                    <xdr:rowOff>0</xdr:rowOff>
                  </to>
                </anchor>
              </controlPr>
            </control>
          </mc:Choice>
        </mc:AlternateContent>
        <mc:AlternateContent xmlns:mc="http://schemas.openxmlformats.org/markup-compatibility/2006">
          <mc:Choice Requires="x14">
            <control shapeId="55400" r:id="rId13" name="A2">
              <controlPr defaultSize="0" autoFill="0" autoLine="0" autoPict="0">
                <anchor moveWithCells="1">
                  <from>
                    <xdr:col>1</xdr:col>
                    <xdr:colOff>0</xdr:colOff>
                    <xdr:row>9</xdr:row>
                    <xdr:rowOff>161925</xdr:rowOff>
                  </from>
                  <to>
                    <xdr:col>2</xdr:col>
                    <xdr:colOff>95250</xdr:colOff>
                    <xdr:row>11</xdr:row>
                    <xdr:rowOff>19050</xdr:rowOff>
                  </to>
                </anchor>
              </controlPr>
            </control>
          </mc:Choice>
        </mc:AlternateContent>
        <mc:AlternateContent xmlns:mc="http://schemas.openxmlformats.org/markup-compatibility/2006">
          <mc:Choice Requires="x14">
            <control shapeId="55401" r:id="rId14" name="Check Box 105">
              <controlPr defaultSize="0" autoFill="0" autoLine="0" autoPict="0">
                <anchor moveWithCells="1">
                  <from>
                    <xdr:col>0</xdr:col>
                    <xdr:colOff>76200</xdr:colOff>
                    <xdr:row>9</xdr:row>
                    <xdr:rowOff>9525</xdr:rowOff>
                  </from>
                  <to>
                    <xdr:col>2</xdr:col>
                    <xdr:colOff>38100</xdr:colOff>
                    <xdr:row>10</xdr:row>
                    <xdr:rowOff>28575</xdr:rowOff>
                  </to>
                </anchor>
              </controlPr>
            </control>
          </mc:Choice>
        </mc:AlternateContent>
        <mc:AlternateContent xmlns:mc="http://schemas.openxmlformats.org/markup-compatibility/2006">
          <mc:Choice Requires="x14">
            <control shapeId="55412" r:id="rId15" name="Check Box 116">
              <controlPr defaultSize="0" autoFill="0" autoLine="0" autoPict="0">
                <anchor moveWithCells="1">
                  <from>
                    <xdr:col>1</xdr:col>
                    <xdr:colOff>0</xdr:colOff>
                    <xdr:row>12</xdr:row>
                    <xdr:rowOff>9525</xdr:rowOff>
                  </from>
                  <to>
                    <xdr:col>2</xdr:col>
                    <xdr:colOff>57150</xdr:colOff>
                    <xdr:row>12</xdr:row>
                    <xdr:rowOff>180975</xdr:rowOff>
                  </to>
                </anchor>
              </controlPr>
            </control>
          </mc:Choice>
        </mc:AlternateContent>
        <mc:AlternateContent xmlns:mc="http://schemas.openxmlformats.org/markup-compatibility/2006">
          <mc:Choice Requires="x14">
            <control shapeId="55413" r:id="rId16" name="Check Box 117">
              <controlPr defaultSize="0" autoFill="0" autoLine="0" autoPict="0">
                <anchor moveWithCells="1">
                  <from>
                    <xdr:col>1</xdr:col>
                    <xdr:colOff>0</xdr:colOff>
                    <xdr:row>13</xdr:row>
                    <xdr:rowOff>171450</xdr:rowOff>
                  </from>
                  <to>
                    <xdr:col>2</xdr:col>
                    <xdr:colOff>57150</xdr:colOff>
                    <xdr:row>15</xdr:row>
                    <xdr:rowOff>19050</xdr:rowOff>
                  </to>
                </anchor>
              </controlPr>
            </control>
          </mc:Choice>
        </mc:AlternateContent>
        <mc:AlternateContent xmlns:mc="http://schemas.openxmlformats.org/markup-compatibility/2006">
          <mc:Choice Requires="x14">
            <control shapeId="55414" r:id="rId17" name="Check Box 118">
              <controlPr defaultSize="0" autoFill="0" autoLine="0" autoPict="0">
                <anchor moveWithCells="1">
                  <from>
                    <xdr:col>1</xdr:col>
                    <xdr:colOff>0</xdr:colOff>
                    <xdr:row>14</xdr:row>
                    <xdr:rowOff>190500</xdr:rowOff>
                  </from>
                  <to>
                    <xdr:col>2</xdr:col>
                    <xdr:colOff>57150</xdr:colOff>
                    <xdr:row>15</xdr:row>
                    <xdr:rowOff>152400</xdr:rowOff>
                  </to>
                </anchor>
              </controlPr>
            </control>
          </mc:Choice>
        </mc:AlternateContent>
        <mc:AlternateContent xmlns:mc="http://schemas.openxmlformats.org/markup-compatibility/2006">
          <mc:Choice Requires="x14">
            <control shapeId="55415" r:id="rId18" name="Check Box 119">
              <controlPr defaultSize="0" autoFill="0" autoLine="0" autoPict="0">
                <anchor moveWithCells="1">
                  <from>
                    <xdr:col>1</xdr:col>
                    <xdr:colOff>0</xdr:colOff>
                    <xdr:row>15</xdr:row>
                    <xdr:rowOff>171450</xdr:rowOff>
                  </from>
                  <to>
                    <xdr:col>2</xdr:col>
                    <xdr:colOff>57150</xdr:colOff>
                    <xdr:row>17</xdr:row>
                    <xdr:rowOff>19050</xdr:rowOff>
                  </to>
                </anchor>
              </controlPr>
            </control>
          </mc:Choice>
        </mc:AlternateContent>
        <mc:AlternateContent xmlns:mc="http://schemas.openxmlformats.org/markup-compatibility/2006">
          <mc:Choice Requires="x14">
            <control shapeId="55417" r:id="rId19" name="Check Box 121">
              <controlPr defaultSize="0" autoFill="0" autoLine="0" autoPict="0">
                <anchor moveWithCells="1">
                  <from>
                    <xdr:col>1</xdr:col>
                    <xdr:colOff>0</xdr:colOff>
                    <xdr:row>15</xdr:row>
                    <xdr:rowOff>171450</xdr:rowOff>
                  </from>
                  <to>
                    <xdr:col>2</xdr:col>
                    <xdr:colOff>57150</xdr:colOff>
                    <xdr:row>17</xdr:row>
                    <xdr:rowOff>19050</xdr:rowOff>
                  </to>
                </anchor>
              </controlPr>
            </control>
          </mc:Choice>
        </mc:AlternateContent>
        <mc:AlternateContent xmlns:mc="http://schemas.openxmlformats.org/markup-compatibility/2006">
          <mc:Choice Requires="x14">
            <control shapeId="55418" r:id="rId20" name="Check Box 122">
              <controlPr defaultSize="0" autoFill="0" autoLine="0" autoPict="0">
                <anchor moveWithCells="1">
                  <from>
                    <xdr:col>1</xdr:col>
                    <xdr:colOff>9525</xdr:colOff>
                    <xdr:row>18</xdr:row>
                    <xdr:rowOff>19050</xdr:rowOff>
                  </from>
                  <to>
                    <xdr:col>2</xdr:col>
                    <xdr:colOff>57150</xdr:colOff>
                    <xdr:row>19</xdr:row>
                    <xdr:rowOff>9525</xdr:rowOff>
                  </to>
                </anchor>
              </controlPr>
            </control>
          </mc:Choice>
        </mc:AlternateContent>
        <mc:AlternateContent xmlns:mc="http://schemas.openxmlformats.org/markup-compatibility/2006">
          <mc:Choice Requires="x14">
            <control shapeId="55448" r:id="rId21" name="Check Box 152">
              <controlPr defaultSize="0" autoFill="0" autoLine="0" autoPict="0">
                <anchor moveWithCells="1">
                  <from>
                    <xdr:col>1</xdr:col>
                    <xdr:colOff>19050</xdr:colOff>
                    <xdr:row>110</xdr:row>
                    <xdr:rowOff>9525</xdr:rowOff>
                  </from>
                  <to>
                    <xdr:col>2</xdr:col>
                    <xdr:colOff>104775</xdr:colOff>
                    <xdr:row>111</xdr:row>
                    <xdr:rowOff>57150</xdr:rowOff>
                  </to>
                </anchor>
              </controlPr>
            </control>
          </mc:Choice>
        </mc:AlternateContent>
        <mc:AlternateContent xmlns:mc="http://schemas.openxmlformats.org/markup-compatibility/2006">
          <mc:Choice Requires="x14">
            <control shapeId="55455" r:id="rId22" name="Check Box 159">
              <controlPr defaultSize="0" autoFill="0" autoLine="0" autoPict="0">
                <anchor moveWithCells="1">
                  <from>
                    <xdr:col>0</xdr:col>
                    <xdr:colOff>66675</xdr:colOff>
                    <xdr:row>50</xdr:row>
                    <xdr:rowOff>152400</xdr:rowOff>
                  </from>
                  <to>
                    <xdr:col>2</xdr:col>
                    <xdr:colOff>85725</xdr:colOff>
                    <xdr:row>55</xdr:row>
                    <xdr:rowOff>28575</xdr:rowOff>
                  </to>
                </anchor>
              </controlPr>
            </control>
          </mc:Choice>
        </mc:AlternateContent>
        <mc:AlternateContent xmlns:mc="http://schemas.openxmlformats.org/markup-compatibility/2006">
          <mc:Choice Requires="x14">
            <control shapeId="55457" r:id="rId23" name="Check Box 161">
              <controlPr defaultSize="0" autoFill="0" autoLine="0" autoPict="0">
                <anchor moveWithCells="1">
                  <from>
                    <xdr:col>0</xdr:col>
                    <xdr:colOff>76200</xdr:colOff>
                    <xdr:row>52</xdr:row>
                    <xdr:rowOff>152400</xdr:rowOff>
                  </from>
                  <to>
                    <xdr:col>2</xdr:col>
                    <xdr:colOff>85725</xdr:colOff>
                    <xdr:row>57</xdr:row>
                    <xdr:rowOff>57150</xdr:rowOff>
                  </to>
                </anchor>
              </controlPr>
            </control>
          </mc:Choice>
        </mc:AlternateContent>
        <mc:AlternateContent xmlns:mc="http://schemas.openxmlformats.org/markup-compatibility/2006">
          <mc:Choice Requires="x14">
            <control shapeId="55464" r:id="rId24" name="Check Box 168">
              <controlPr defaultSize="0" autoFill="0" autoLine="0" autoPict="0">
                <anchor moveWithCells="1">
                  <from>
                    <xdr:col>1</xdr:col>
                    <xdr:colOff>9525</xdr:colOff>
                    <xdr:row>223</xdr:row>
                    <xdr:rowOff>152400</xdr:rowOff>
                  </from>
                  <to>
                    <xdr:col>2</xdr:col>
                    <xdr:colOff>47625</xdr:colOff>
                    <xdr:row>225</xdr:row>
                    <xdr:rowOff>19050</xdr:rowOff>
                  </to>
                </anchor>
              </controlPr>
            </control>
          </mc:Choice>
        </mc:AlternateContent>
        <mc:AlternateContent xmlns:mc="http://schemas.openxmlformats.org/markup-compatibility/2006">
          <mc:Choice Requires="x14">
            <control shapeId="55465" r:id="rId25" name="Check Box 169">
              <controlPr defaultSize="0" autoFill="0" autoLine="0" autoPict="0">
                <anchor moveWithCells="1">
                  <from>
                    <xdr:col>1</xdr:col>
                    <xdr:colOff>9525</xdr:colOff>
                    <xdr:row>224</xdr:row>
                    <xdr:rowOff>133350</xdr:rowOff>
                  </from>
                  <to>
                    <xdr:col>2</xdr:col>
                    <xdr:colOff>76200</xdr:colOff>
                    <xdr:row>226</xdr:row>
                    <xdr:rowOff>19050</xdr:rowOff>
                  </to>
                </anchor>
              </controlPr>
            </control>
          </mc:Choice>
        </mc:AlternateContent>
        <mc:AlternateContent xmlns:mc="http://schemas.openxmlformats.org/markup-compatibility/2006">
          <mc:Choice Requires="x14">
            <control shapeId="55466" r:id="rId26" name="Check Box 170">
              <controlPr defaultSize="0" autoFill="0" autoLine="0" autoPict="0">
                <anchor moveWithCells="1">
                  <from>
                    <xdr:col>1</xdr:col>
                    <xdr:colOff>9525</xdr:colOff>
                    <xdr:row>226</xdr:row>
                    <xdr:rowOff>0</xdr:rowOff>
                  </from>
                  <to>
                    <xdr:col>2</xdr:col>
                    <xdr:colOff>47625</xdr:colOff>
                    <xdr:row>226</xdr:row>
                    <xdr:rowOff>152400</xdr:rowOff>
                  </to>
                </anchor>
              </controlPr>
            </control>
          </mc:Choice>
        </mc:AlternateContent>
        <mc:AlternateContent xmlns:mc="http://schemas.openxmlformats.org/markup-compatibility/2006">
          <mc:Choice Requires="x14">
            <control shapeId="55467" r:id="rId27" name="Check Box 171">
              <controlPr defaultSize="0" autoFill="0" autoLine="0" autoPict="0">
                <anchor moveWithCells="1">
                  <from>
                    <xdr:col>1</xdr:col>
                    <xdr:colOff>9525</xdr:colOff>
                    <xdr:row>226</xdr:row>
                    <xdr:rowOff>152400</xdr:rowOff>
                  </from>
                  <to>
                    <xdr:col>2</xdr:col>
                    <xdr:colOff>66675</xdr:colOff>
                    <xdr:row>228</xdr:row>
                    <xdr:rowOff>0</xdr:rowOff>
                  </to>
                </anchor>
              </controlPr>
            </control>
          </mc:Choice>
        </mc:AlternateContent>
        <mc:AlternateContent xmlns:mc="http://schemas.openxmlformats.org/markup-compatibility/2006">
          <mc:Choice Requires="x14">
            <control shapeId="55468" r:id="rId28" name="Check Box 172">
              <controlPr defaultSize="0" autoFill="0" autoLine="0" autoPict="0">
                <anchor moveWithCells="1">
                  <from>
                    <xdr:col>1</xdr:col>
                    <xdr:colOff>9525</xdr:colOff>
                    <xdr:row>227</xdr:row>
                    <xdr:rowOff>133350</xdr:rowOff>
                  </from>
                  <to>
                    <xdr:col>2</xdr:col>
                    <xdr:colOff>57150</xdr:colOff>
                    <xdr:row>228</xdr:row>
                    <xdr:rowOff>152400</xdr:rowOff>
                  </to>
                </anchor>
              </controlPr>
            </control>
          </mc:Choice>
        </mc:AlternateContent>
        <mc:AlternateContent xmlns:mc="http://schemas.openxmlformats.org/markup-compatibility/2006">
          <mc:Choice Requires="x14">
            <control shapeId="55469" r:id="rId29" name="Check Box 173">
              <controlPr defaultSize="0" autoFill="0" autoLine="0" autoPict="0">
                <anchor moveWithCells="1">
                  <from>
                    <xdr:col>1</xdr:col>
                    <xdr:colOff>0</xdr:colOff>
                    <xdr:row>228</xdr:row>
                    <xdr:rowOff>152400</xdr:rowOff>
                  </from>
                  <to>
                    <xdr:col>2</xdr:col>
                    <xdr:colOff>57150</xdr:colOff>
                    <xdr:row>230</xdr:row>
                    <xdr:rowOff>9525</xdr:rowOff>
                  </to>
                </anchor>
              </controlPr>
            </control>
          </mc:Choice>
        </mc:AlternateContent>
        <mc:AlternateContent xmlns:mc="http://schemas.openxmlformats.org/markup-compatibility/2006">
          <mc:Choice Requires="x14">
            <control shapeId="55470" r:id="rId30" name="Check Box 174">
              <controlPr defaultSize="0" autoFill="0" autoLine="0" autoPict="0">
                <anchor moveWithCells="1">
                  <from>
                    <xdr:col>1</xdr:col>
                    <xdr:colOff>0</xdr:colOff>
                    <xdr:row>230</xdr:row>
                    <xdr:rowOff>0</xdr:rowOff>
                  </from>
                  <to>
                    <xdr:col>2</xdr:col>
                    <xdr:colOff>57150</xdr:colOff>
                    <xdr:row>230</xdr:row>
                    <xdr:rowOff>152400</xdr:rowOff>
                  </to>
                </anchor>
              </controlPr>
            </control>
          </mc:Choice>
        </mc:AlternateContent>
        <mc:AlternateContent xmlns:mc="http://schemas.openxmlformats.org/markup-compatibility/2006">
          <mc:Choice Requires="x14">
            <control shapeId="55471" r:id="rId31" name="Check Box 175">
              <controlPr defaultSize="0" autoFill="0" autoLine="0" autoPict="0">
                <anchor moveWithCells="1">
                  <from>
                    <xdr:col>1</xdr:col>
                    <xdr:colOff>0</xdr:colOff>
                    <xdr:row>230</xdr:row>
                    <xdr:rowOff>142875</xdr:rowOff>
                  </from>
                  <to>
                    <xdr:col>2</xdr:col>
                    <xdr:colOff>57150</xdr:colOff>
                    <xdr:row>232</xdr:row>
                    <xdr:rowOff>0</xdr:rowOff>
                  </to>
                </anchor>
              </controlPr>
            </control>
          </mc:Choice>
        </mc:AlternateContent>
        <mc:AlternateContent xmlns:mc="http://schemas.openxmlformats.org/markup-compatibility/2006">
          <mc:Choice Requires="x14">
            <control shapeId="55472" r:id="rId32" name="Check Box 176">
              <controlPr defaultSize="0" autoFill="0" autoLine="0" autoPict="0">
                <anchor moveWithCells="1">
                  <from>
                    <xdr:col>0</xdr:col>
                    <xdr:colOff>76200</xdr:colOff>
                    <xdr:row>233</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55474" r:id="rId33" name="Check Box 178">
              <controlPr defaultSize="0" autoFill="0" autoLine="0" autoPict="0">
                <anchor moveWithCells="1">
                  <from>
                    <xdr:col>1</xdr:col>
                    <xdr:colOff>9525</xdr:colOff>
                    <xdr:row>247</xdr:row>
                    <xdr:rowOff>152400</xdr:rowOff>
                  </from>
                  <to>
                    <xdr:col>2</xdr:col>
                    <xdr:colOff>114300</xdr:colOff>
                    <xdr:row>249</xdr:row>
                    <xdr:rowOff>38100</xdr:rowOff>
                  </to>
                </anchor>
              </controlPr>
            </control>
          </mc:Choice>
        </mc:AlternateContent>
        <mc:AlternateContent xmlns:mc="http://schemas.openxmlformats.org/markup-compatibility/2006">
          <mc:Choice Requires="x14">
            <control shapeId="55475" r:id="rId34" name="Check Box 179">
              <controlPr defaultSize="0" autoFill="0" autoLine="0" autoPict="0">
                <anchor moveWithCells="1">
                  <from>
                    <xdr:col>1</xdr:col>
                    <xdr:colOff>9525</xdr:colOff>
                    <xdr:row>248</xdr:row>
                    <xdr:rowOff>104775</xdr:rowOff>
                  </from>
                  <to>
                    <xdr:col>2</xdr:col>
                    <xdr:colOff>123825</xdr:colOff>
                    <xdr:row>255</xdr:row>
                    <xdr:rowOff>28575</xdr:rowOff>
                  </to>
                </anchor>
              </controlPr>
            </control>
          </mc:Choice>
        </mc:AlternateContent>
        <mc:AlternateContent xmlns:mc="http://schemas.openxmlformats.org/markup-compatibility/2006">
          <mc:Choice Requires="x14">
            <control shapeId="55476" r:id="rId35" name="Check Box 180">
              <controlPr defaultSize="0" autoFill="0" autoLine="0" autoPict="0">
                <anchor moveWithCells="1">
                  <from>
                    <xdr:col>1</xdr:col>
                    <xdr:colOff>9525</xdr:colOff>
                    <xdr:row>249</xdr:row>
                    <xdr:rowOff>133350</xdr:rowOff>
                  </from>
                  <to>
                    <xdr:col>2</xdr:col>
                    <xdr:colOff>95250</xdr:colOff>
                    <xdr:row>256</xdr:row>
                    <xdr:rowOff>38100</xdr:rowOff>
                  </to>
                </anchor>
              </controlPr>
            </control>
          </mc:Choice>
        </mc:AlternateContent>
        <mc:AlternateContent xmlns:mc="http://schemas.openxmlformats.org/markup-compatibility/2006">
          <mc:Choice Requires="x14">
            <control shapeId="55477" r:id="rId36" name="Check Box 181">
              <controlPr defaultSize="0" autoFill="0" autoLine="0" autoPict="0">
                <anchor moveWithCells="1">
                  <from>
                    <xdr:col>1</xdr:col>
                    <xdr:colOff>0</xdr:colOff>
                    <xdr:row>262</xdr:row>
                    <xdr:rowOff>114300</xdr:rowOff>
                  </from>
                  <to>
                    <xdr:col>2</xdr:col>
                    <xdr:colOff>95250</xdr:colOff>
                    <xdr:row>265</xdr:row>
                    <xdr:rowOff>47625</xdr:rowOff>
                  </to>
                </anchor>
              </controlPr>
            </control>
          </mc:Choice>
        </mc:AlternateContent>
        <mc:AlternateContent xmlns:mc="http://schemas.openxmlformats.org/markup-compatibility/2006">
          <mc:Choice Requires="x14">
            <control shapeId="55478" r:id="rId37" name="Check Box 182">
              <controlPr defaultSize="0" autoFill="0" autoLine="0" autoPict="0">
                <anchor moveWithCells="1">
                  <from>
                    <xdr:col>0</xdr:col>
                    <xdr:colOff>76200</xdr:colOff>
                    <xdr:row>263</xdr:row>
                    <xdr:rowOff>133350</xdr:rowOff>
                  </from>
                  <to>
                    <xdr:col>2</xdr:col>
                    <xdr:colOff>95250</xdr:colOff>
                    <xdr:row>266</xdr:row>
                    <xdr:rowOff>38100</xdr:rowOff>
                  </to>
                </anchor>
              </controlPr>
            </control>
          </mc:Choice>
        </mc:AlternateContent>
        <mc:AlternateContent xmlns:mc="http://schemas.openxmlformats.org/markup-compatibility/2006">
          <mc:Choice Requires="x14">
            <control shapeId="55479" r:id="rId38" name="Check Box 183">
              <controlPr defaultSize="0" autoFill="0" autoLine="0" autoPict="0">
                <anchor moveWithCells="1">
                  <from>
                    <xdr:col>1</xdr:col>
                    <xdr:colOff>9525</xdr:colOff>
                    <xdr:row>265</xdr:row>
                    <xdr:rowOff>142875</xdr:rowOff>
                  </from>
                  <to>
                    <xdr:col>2</xdr:col>
                    <xdr:colOff>123825</xdr:colOff>
                    <xdr:row>270</xdr:row>
                    <xdr:rowOff>47625</xdr:rowOff>
                  </to>
                </anchor>
              </controlPr>
            </control>
          </mc:Choice>
        </mc:AlternateContent>
        <mc:AlternateContent xmlns:mc="http://schemas.openxmlformats.org/markup-compatibility/2006">
          <mc:Choice Requires="x14">
            <control shapeId="55480" r:id="rId39" name="Check Box 184">
              <controlPr defaultSize="0" autoFill="0" autoLine="0" autoPict="0">
                <anchor moveWithCells="1">
                  <from>
                    <xdr:col>1</xdr:col>
                    <xdr:colOff>0</xdr:colOff>
                    <xdr:row>266</xdr:row>
                    <xdr:rowOff>142875</xdr:rowOff>
                  </from>
                  <to>
                    <xdr:col>2</xdr:col>
                    <xdr:colOff>95250</xdr:colOff>
                    <xdr:row>272</xdr:row>
                    <xdr:rowOff>38100</xdr:rowOff>
                  </to>
                </anchor>
              </controlPr>
            </control>
          </mc:Choice>
        </mc:AlternateContent>
        <mc:AlternateContent xmlns:mc="http://schemas.openxmlformats.org/markup-compatibility/2006">
          <mc:Choice Requires="x14">
            <control shapeId="55481" r:id="rId40" name="Check Box 185">
              <controlPr defaultSize="0" autoFill="0" autoLine="0" autoPict="0">
                <anchor moveWithCells="1">
                  <from>
                    <xdr:col>1</xdr:col>
                    <xdr:colOff>0</xdr:colOff>
                    <xdr:row>276</xdr:row>
                    <xdr:rowOff>0</xdr:rowOff>
                  </from>
                  <to>
                    <xdr:col>2</xdr:col>
                    <xdr:colOff>57150</xdr:colOff>
                    <xdr:row>276</xdr:row>
                    <xdr:rowOff>152400</xdr:rowOff>
                  </to>
                </anchor>
              </controlPr>
            </control>
          </mc:Choice>
        </mc:AlternateContent>
        <mc:AlternateContent xmlns:mc="http://schemas.openxmlformats.org/markup-compatibility/2006">
          <mc:Choice Requires="x14">
            <control shapeId="55482" r:id="rId41" name="Check Box 186">
              <controlPr defaultSize="0" autoFill="0" autoLine="0" autoPict="0">
                <anchor moveWithCells="1">
                  <from>
                    <xdr:col>1</xdr:col>
                    <xdr:colOff>0</xdr:colOff>
                    <xdr:row>291</xdr:row>
                    <xdr:rowOff>133350</xdr:rowOff>
                  </from>
                  <to>
                    <xdr:col>2</xdr:col>
                    <xdr:colOff>95250</xdr:colOff>
                    <xdr:row>325</xdr:row>
                    <xdr:rowOff>28575</xdr:rowOff>
                  </to>
                </anchor>
              </controlPr>
            </control>
          </mc:Choice>
        </mc:AlternateContent>
        <mc:AlternateContent xmlns:mc="http://schemas.openxmlformats.org/markup-compatibility/2006">
          <mc:Choice Requires="x14">
            <control shapeId="55483" r:id="rId42" name="Check Box 187">
              <controlPr defaultSize="0" autoFill="0" autoLine="0" autoPict="0">
                <anchor moveWithCells="1">
                  <from>
                    <xdr:col>1</xdr:col>
                    <xdr:colOff>0</xdr:colOff>
                    <xdr:row>292</xdr:row>
                    <xdr:rowOff>133350</xdr:rowOff>
                  </from>
                  <to>
                    <xdr:col>2</xdr:col>
                    <xdr:colOff>76200</xdr:colOff>
                    <xdr:row>326</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05">
    <tabColor theme="5" tint="0.59999389629810485"/>
  </sheetPr>
  <dimension ref="A1:FV456"/>
  <sheetViews>
    <sheetView showGridLines="0" showRowColHeaders="0" zoomScaleNormal="100" workbookViewId="0">
      <selection activeCell="B1" sqref="B1:T1"/>
    </sheetView>
  </sheetViews>
  <sheetFormatPr defaultColWidth="8.85546875" defaultRowHeight="0" customHeight="1" zeroHeight="1"/>
  <cols>
    <col min="1" max="1" width="1.42578125" style="1" customWidth="1"/>
    <col min="2" max="2" width="3.140625" style="1" customWidth="1"/>
    <col min="3" max="3" width="0.42578125" style="1" customWidth="1"/>
    <col min="4" max="4" width="4.42578125" style="1" customWidth="1"/>
    <col min="5" max="5" width="0.5703125" style="1" customWidth="1"/>
    <col min="6" max="16" width="4.42578125" style="1" customWidth="1"/>
    <col min="17" max="17" width="1.140625" style="1" customWidth="1"/>
    <col min="18" max="19" width="4.42578125" style="1" customWidth="1"/>
    <col min="20" max="20" width="2.5703125" style="1" customWidth="1"/>
    <col min="21" max="21" width="4.42578125" style="1" customWidth="1"/>
    <col min="22" max="22" width="1.140625" style="1" customWidth="1"/>
    <col min="23" max="28" width="4.42578125" style="1" customWidth="1"/>
    <col min="29" max="29" width="1.140625" style="1" customWidth="1"/>
    <col min="30" max="33" width="4.42578125" style="1" customWidth="1"/>
    <col min="34" max="34" width="1.140625" style="1" customWidth="1"/>
    <col min="35" max="35" width="4.42578125" style="1" customWidth="1"/>
    <col min="36" max="36" width="6.140625" style="1" customWidth="1"/>
    <col min="37" max="37" width="7" style="1" customWidth="1"/>
    <col min="38" max="40" width="6.140625" style="1" customWidth="1"/>
    <col min="41" max="41" width="1.42578125" style="1" customWidth="1"/>
    <col min="42" max="42" width="5.28515625" style="1" customWidth="1"/>
    <col min="43" max="43" width="6.140625" style="1" customWidth="1"/>
    <col min="44" max="44" width="6.85546875" style="1" customWidth="1"/>
    <col min="45" max="47" width="6.140625" style="1" customWidth="1"/>
    <col min="48" max="48" width="1.42578125" style="1" customWidth="1"/>
    <col min="49" max="50" width="7" style="1" customWidth="1"/>
    <col min="51" max="51" width="4.42578125" style="1" customWidth="1"/>
    <col min="52" max="52" width="5.140625" style="1" customWidth="1"/>
    <col min="53" max="56" width="5.42578125" style="1" customWidth="1"/>
    <col min="57" max="58" width="6" style="1" customWidth="1"/>
    <col min="59" max="59" width="4.42578125" style="1" customWidth="1"/>
    <col min="60" max="61" width="4.85546875" style="1" customWidth="1"/>
    <col min="62" max="62" width="1.42578125" style="1" customWidth="1"/>
    <col min="63" max="63" width="4.42578125" style="1" hidden="1" customWidth="1"/>
    <col min="64" max="64" width="5.140625" style="1" hidden="1" customWidth="1"/>
    <col min="65" max="68" width="4.42578125" style="1" hidden="1" customWidth="1"/>
    <col min="69" max="71" width="10.42578125" style="1" hidden="1" customWidth="1"/>
    <col min="72" max="72" width="11.85546875" style="1" hidden="1" customWidth="1"/>
    <col min="73" max="73" width="10.42578125" style="1" hidden="1" customWidth="1"/>
    <col min="74" max="74" width="15.42578125" style="1" hidden="1" customWidth="1"/>
    <col min="75" max="75" width="17.5703125" style="1" hidden="1" customWidth="1"/>
    <col min="76" max="81" width="10.42578125" style="1" hidden="1" customWidth="1"/>
    <col min="82" max="83" width="11.140625" style="1" hidden="1" customWidth="1"/>
    <col min="84" max="84" width="10.42578125" style="1" hidden="1" customWidth="1"/>
    <col min="85" max="85" width="11.140625" style="1" hidden="1" customWidth="1"/>
    <col min="86" max="86" width="7.42578125" style="1" hidden="1" customWidth="1"/>
    <col min="87" max="87" width="5.5703125" style="1" hidden="1" customWidth="1"/>
    <col min="88" max="88" width="8.42578125" style="1" hidden="1" customWidth="1"/>
    <col min="89" max="91" width="5" style="1" hidden="1" customWidth="1"/>
    <col min="92" max="135" width="9.140625" style="1" customWidth="1"/>
    <col min="136" max="136" width="1.42578125" style="1" customWidth="1"/>
    <col min="137" max="137" width="3.140625" style="1" customWidth="1"/>
    <col min="138" max="138" width="0.42578125" style="1" customWidth="1"/>
    <col min="139" max="139" width="54.42578125" style="1" bestFit="1" customWidth="1"/>
    <col min="140" max="140" width="0.42578125" style="1" customWidth="1"/>
    <col min="141" max="141" width="13.140625" style="1" customWidth="1"/>
    <col min="142" max="142" width="0.42578125" style="1" customWidth="1"/>
    <col min="143" max="143" width="4.42578125" style="1" bestFit="1" customWidth="1"/>
    <col min="144" max="144" width="0.42578125" style="1" customWidth="1"/>
    <col min="145" max="145" width="5.42578125" style="1" bestFit="1" customWidth="1"/>
    <col min="146" max="146" width="5.5703125" style="1" bestFit="1" customWidth="1"/>
    <col min="147" max="147" width="0.42578125" style="1" customWidth="1"/>
    <col min="148" max="148" width="5.42578125" style="1" bestFit="1" customWidth="1"/>
    <col min="149" max="149" width="5.5703125" style="1" bestFit="1" customWidth="1"/>
    <col min="150" max="150" width="0.42578125" style="1" customWidth="1"/>
    <col min="151" max="151" width="10.42578125" style="1" bestFit="1" customWidth="1"/>
    <col min="152" max="152" width="1.42578125" style="1" customWidth="1"/>
    <col min="153" max="153" width="8.85546875" style="1" customWidth="1"/>
    <col min="154" max="154" width="0.42578125" style="1" customWidth="1"/>
    <col min="155" max="155" width="1.42578125" style="1" customWidth="1"/>
    <col min="156" max="156" width="0.42578125" style="1" customWidth="1"/>
    <col min="157" max="157" width="5.42578125" style="1" bestFit="1" customWidth="1"/>
    <col min="158" max="158" width="4.42578125" style="1" customWidth="1"/>
    <col min="159" max="159" width="0.42578125" style="1" customWidth="1"/>
    <col min="160" max="160" width="10.42578125" style="1" bestFit="1" customWidth="1"/>
    <col min="161" max="161" width="1.42578125" style="1" customWidth="1"/>
    <col min="162" max="162" width="8" style="1" customWidth="1"/>
    <col min="163" max="163" width="0.42578125" style="1" customWidth="1"/>
    <col min="164" max="16384" width="8.85546875" style="1"/>
  </cols>
  <sheetData>
    <row r="1" spans="1:178" ht="27" customHeight="1">
      <c r="B1" s="766" t="s">
        <v>66</v>
      </c>
      <c r="C1" s="766"/>
      <c r="D1" s="766"/>
      <c r="E1" s="766"/>
      <c r="F1" s="766"/>
      <c r="G1" s="766"/>
      <c r="H1" s="766"/>
      <c r="I1" s="767"/>
      <c r="J1" s="767"/>
      <c r="K1" s="767"/>
      <c r="L1" s="767"/>
      <c r="M1" s="767"/>
      <c r="N1" s="767"/>
      <c r="O1" s="767"/>
      <c r="P1" s="767"/>
      <c r="Q1" s="767"/>
      <c r="R1" s="767"/>
      <c r="S1" s="767"/>
      <c r="T1" s="767"/>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43" t="str">
        <f>'Preliminary Application'!AJ1</f>
        <v>Effective November 1, 2023</v>
      </c>
      <c r="BI1" s="16"/>
      <c r="BJ1" s="16"/>
      <c r="BK1" s="16"/>
      <c r="BL1" s="16"/>
      <c r="BN1" s="66"/>
      <c r="BQ1" s="17" t="s">
        <v>2473</v>
      </c>
      <c r="BR1" s="1" t="str">
        <f>IF('Preliminary Application'!$AD$11="","",'Preliminary Application'!$AD$11)</f>
        <v/>
      </c>
      <c r="BS1" s="393" t="s">
        <v>2474</v>
      </c>
      <c r="BT1" s="1" t="str">
        <f>IF('Final Application'!$AK$60=TRUE,"Electric",IF('Final Application'!$AL$60=TRUE,"Gas",IF('Final Application'!$AM$60=TRUE,"Other","")))</f>
        <v/>
      </c>
      <c r="BU1" s="393" t="s">
        <v>2475</v>
      </c>
      <c r="BV1" s="1" t="str">
        <f>IF('Final Application'!$AK$62=TRUE,"Electric",IF('Final Application'!$AL$62=TRUE,"Gas",IF('Final Application'!$AM$62=TRUE,"Other","")))</f>
        <v/>
      </c>
      <c r="BW1" s="3" t="s">
        <v>226</v>
      </c>
      <c r="BX1" s="3" t="s">
        <v>2476</v>
      </c>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row>
    <row r="2" spans="1:178" ht="18" customHeight="1">
      <c r="B2" s="18" t="s">
        <v>68</v>
      </c>
      <c r="C2" s="67"/>
      <c r="D2" s="67"/>
      <c r="E2" s="67"/>
      <c r="F2" s="67"/>
      <c r="G2" s="67"/>
      <c r="H2" s="67"/>
      <c r="I2" s="67"/>
      <c r="J2" s="67"/>
      <c r="K2" s="67"/>
      <c r="L2" s="67"/>
      <c r="M2" s="67"/>
      <c r="N2" s="67"/>
      <c r="O2" s="67"/>
      <c r="P2" s="67"/>
      <c r="Q2" s="67"/>
      <c r="BG2" s="67"/>
      <c r="BH2" s="67"/>
      <c r="BI2" s="67"/>
      <c r="BJ2" s="67"/>
      <c r="BK2" s="67"/>
      <c r="BL2" s="67"/>
      <c r="BM2" s="67"/>
      <c r="BN2" s="67"/>
      <c r="BQ2" s="913" t="s">
        <v>2651</v>
      </c>
      <c r="BR2" s="913"/>
      <c r="BS2" s="913"/>
      <c r="BT2" s="913"/>
      <c r="BU2" s="913"/>
      <c r="BV2" s="913"/>
      <c r="BW2" s="913"/>
      <c r="BX2" s="913"/>
      <c r="BY2" s="94"/>
      <c r="BZ2" s="94"/>
      <c r="CA2" s="94"/>
      <c r="CB2" s="913" t="s">
        <v>3334</v>
      </c>
      <c r="CC2" s="913"/>
      <c r="CD2" s="913"/>
      <c r="CE2" s="913"/>
      <c r="CF2" s="913"/>
      <c r="CG2" s="913"/>
      <c r="CH2" s="913"/>
      <c r="CI2" s="913"/>
      <c r="CJ2" s="913"/>
      <c r="CK2" s="913"/>
      <c r="CL2" s="913"/>
      <c r="CM2" s="94"/>
      <c r="CN2" s="94"/>
      <c r="CO2" s="94"/>
      <c r="CP2" s="94"/>
      <c r="CQ2" s="94"/>
      <c r="CR2" s="94"/>
      <c r="CS2" s="94"/>
      <c r="CT2" s="94"/>
      <c r="CU2" s="94"/>
      <c r="CV2" s="94"/>
      <c r="CW2" s="94"/>
      <c r="CX2" s="94"/>
      <c r="CY2" s="94"/>
      <c r="CZ2" s="94"/>
    </row>
    <row r="3" spans="1:178" ht="18">
      <c r="B3" s="82" t="s">
        <v>2652</v>
      </c>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81" t="s">
        <v>152</v>
      </c>
      <c r="AY3" s="920" t="str">
        <f>IF('Final Application'!AF7="","",'Final Application'!AF7)</f>
        <v/>
      </c>
      <c r="AZ3" s="920"/>
      <c r="BA3" s="920"/>
      <c r="BB3" s="920"/>
      <c r="BC3" s="920"/>
      <c r="BD3" s="920"/>
      <c r="BE3" s="920"/>
      <c r="BF3" s="920"/>
      <c r="BG3" s="920"/>
      <c r="BH3" s="920"/>
      <c r="BI3" s="920"/>
      <c r="BN3" s="294"/>
      <c r="BQ3" s="913"/>
      <c r="BR3" s="913"/>
      <c r="BS3" s="913"/>
      <c r="BT3" s="913"/>
      <c r="BU3" s="913"/>
      <c r="BV3" s="913"/>
      <c r="BW3" s="913"/>
      <c r="BX3" s="913"/>
      <c r="BY3" s="94"/>
      <c r="BZ3" s="94"/>
      <c r="CA3" s="94"/>
      <c r="CB3" s="913"/>
      <c r="CC3" s="913"/>
      <c r="CD3" s="913"/>
      <c r="CE3" s="913"/>
      <c r="CF3" s="913"/>
      <c r="CG3" s="913"/>
      <c r="CH3" s="913"/>
      <c r="CI3" s="913"/>
      <c r="CJ3" s="913"/>
      <c r="CK3" s="913"/>
      <c r="CL3" s="913"/>
      <c r="CM3" s="94"/>
      <c r="CN3" s="94"/>
      <c r="CO3" s="94"/>
      <c r="CP3" s="94"/>
      <c r="CQ3" s="94"/>
      <c r="CR3" s="94"/>
      <c r="CS3" s="94"/>
      <c r="CT3" s="94"/>
      <c r="CU3" s="94"/>
      <c r="CV3" s="94"/>
      <c r="CW3" s="94"/>
      <c r="CX3" s="94"/>
      <c r="CY3" s="94"/>
      <c r="CZ3" s="94"/>
    </row>
    <row r="4" spans="1:178" ht="12.6" customHeight="1">
      <c r="B4" s="9" t="s">
        <v>2479</v>
      </c>
      <c r="C4" s="68"/>
      <c r="D4" s="68"/>
      <c r="E4" s="68"/>
      <c r="F4" s="68"/>
      <c r="G4" s="68"/>
      <c r="H4" s="68"/>
      <c r="I4" s="68"/>
      <c r="J4" s="68"/>
      <c r="K4" s="68"/>
      <c r="L4" s="68"/>
      <c r="M4" s="68"/>
      <c r="N4" s="68"/>
      <c r="O4" s="68"/>
      <c r="P4" s="68"/>
      <c r="Q4" s="68"/>
      <c r="S4" s="378"/>
      <c r="Y4" s="378"/>
      <c r="AI4" s="68"/>
      <c r="AJ4" s="68"/>
      <c r="AK4" s="68"/>
      <c r="AL4" s="68"/>
      <c r="AM4" s="68"/>
      <c r="AN4" s="68"/>
      <c r="AO4" s="68"/>
      <c r="AP4" s="68"/>
      <c r="AQ4" s="68"/>
      <c r="AR4" s="68"/>
      <c r="AS4" s="68"/>
      <c r="AT4" s="68"/>
      <c r="AU4" s="68"/>
      <c r="AV4" s="68"/>
      <c r="AW4" s="68"/>
      <c r="AX4" s="81" t="s">
        <v>2653</v>
      </c>
      <c r="AY4" s="929" t="str">
        <f>'Final Application'!B7</f>
        <v/>
      </c>
      <c r="AZ4" s="929"/>
      <c r="BA4" s="929"/>
      <c r="BB4" s="929"/>
      <c r="BC4" s="929"/>
      <c r="BD4" s="929"/>
      <c r="BE4" s="929"/>
      <c r="BF4" s="929"/>
      <c r="BG4" s="929"/>
      <c r="BH4" s="929"/>
      <c r="BI4" s="929"/>
      <c r="BN4" s="2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row>
    <row r="5" spans="1:178" ht="6.75" customHeight="1">
      <c r="A5" s="35"/>
      <c r="B5" s="65"/>
      <c r="C5" s="65"/>
      <c r="D5" s="65"/>
      <c r="E5" s="65"/>
      <c r="F5" s="65"/>
      <c r="G5" s="65"/>
      <c r="H5" s="65"/>
      <c r="I5" s="65"/>
      <c r="J5" s="65"/>
      <c r="K5" s="65"/>
      <c r="L5" s="65"/>
      <c r="M5" s="65"/>
      <c r="N5" s="65"/>
      <c r="O5" s="65"/>
      <c r="P5" s="65"/>
      <c r="Q5" s="65"/>
      <c r="R5" s="35"/>
      <c r="S5" s="35"/>
      <c r="T5" s="35"/>
      <c r="U5" s="35"/>
      <c r="V5" s="35"/>
      <c r="W5" s="35"/>
      <c r="X5" s="35"/>
      <c r="Y5" s="35"/>
      <c r="Z5" s="35"/>
      <c r="AA5" s="35"/>
      <c r="AB5" s="35"/>
      <c r="AC5" s="35"/>
      <c r="AD5" s="35"/>
      <c r="AE5" s="35"/>
      <c r="AF5" s="35"/>
      <c r="AG5" s="35"/>
      <c r="AH5" s="3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N5" s="2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row>
    <row r="6" spans="1:178" ht="15.75">
      <c r="A6" s="153" t="s">
        <v>2480</v>
      </c>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34"/>
      <c r="BH6" s="34"/>
      <c r="BI6" s="25"/>
      <c r="BJ6" s="25"/>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row>
    <row r="7" spans="1:178" ht="16.5" thickBot="1">
      <c r="A7" s="62" t="s">
        <v>2654</v>
      </c>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34"/>
      <c r="BH7" s="34"/>
      <c r="BI7" s="25"/>
      <c r="BJ7" s="25"/>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row>
    <row r="8" spans="1:178" s="22" customFormat="1" ht="15.6" customHeight="1">
      <c r="A8" s="581"/>
      <c r="B8" s="381"/>
      <c r="C8" s="381"/>
      <c r="D8" s="381"/>
      <c r="E8" s="381"/>
      <c r="F8" s="381"/>
      <c r="G8" s="381"/>
      <c r="H8" s="381"/>
      <c r="I8" s="381"/>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381"/>
      <c r="AL8" s="381"/>
      <c r="AM8" s="676"/>
      <c r="AN8" s="676"/>
      <c r="AO8" s="381"/>
      <c r="AP8" s="905" t="s">
        <v>2655</v>
      </c>
      <c r="AQ8" s="905"/>
      <c r="AR8" s="905"/>
      <c r="AS8" s="905"/>
      <c r="AT8" s="905"/>
      <c r="AU8" s="905"/>
      <c r="AV8" s="905"/>
      <c r="AW8" s="905"/>
      <c r="AX8" s="905"/>
      <c r="AY8" s="905"/>
      <c r="AZ8" s="905"/>
      <c r="BA8" s="905"/>
      <c r="BB8" s="905"/>
      <c r="BC8" s="905"/>
      <c r="BD8" s="905"/>
      <c r="BE8" s="905"/>
      <c r="BF8" s="905"/>
      <c r="BG8" s="881" t="s">
        <v>2656</v>
      </c>
      <c r="BH8" s="881"/>
      <c r="BI8" s="881"/>
      <c r="BJ8" s="225"/>
      <c r="BK8" s="1"/>
      <c r="BL8" s="1"/>
      <c r="BM8" s="1"/>
      <c r="BN8" s="1"/>
      <c r="BQ8" s="906" t="s">
        <v>2657</v>
      </c>
      <c r="BR8" s="907"/>
      <c r="BS8" s="907"/>
      <c r="BT8" s="907"/>
      <c r="BU8" s="907"/>
      <c r="BV8" s="907"/>
      <c r="BW8" s="908"/>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row>
    <row r="9" spans="1:178" s="22" customFormat="1" ht="15.6" customHeight="1">
      <c r="A9" s="519"/>
      <c r="B9" s="208"/>
      <c r="C9" s="49"/>
      <c r="D9" s="208"/>
      <c r="E9" s="208"/>
      <c r="F9" s="50"/>
      <c r="G9" s="50"/>
      <c r="H9" s="50"/>
      <c r="I9" s="50"/>
      <c r="J9" s="50"/>
      <c r="K9" s="50"/>
      <c r="L9" s="50"/>
      <c r="M9" s="50"/>
      <c r="N9" s="50"/>
      <c r="O9" s="50"/>
      <c r="P9" s="50"/>
      <c r="Q9" s="208"/>
      <c r="R9" s="909"/>
      <c r="S9" s="909"/>
      <c r="T9" s="909"/>
      <c r="U9" s="909"/>
      <c r="V9" s="204"/>
      <c r="W9" s="909"/>
      <c r="X9" s="909"/>
      <c r="Y9" s="909"/>
      <c r="Z9" s="909"/>
      <c r="AA9" s="909"/>
      <c r="AB9" s="909"/>
      <c r="AC9" s="204"/>
      <c r="AD9" s="204"/>
      <c r="AE9" s="204"/>
      <c r="AF9" s="204"/>
      <c r="AG9" s="204"/>
      <c r="AH9" s="51"/>
      <c r="AI9" s="51" t="s">
        <v>2658</v>
      </c>
      <c r="AJ9" s="204"/>
      <c r="AK9" s="52" t="s">
        <v>2659</v>
      </c>
      <c r="AL9" s="204"/>
      <c r="AM9" s="677"/>
      <c r="AN9" s="677"/>
      <c r="AO9" s="204"/>
      <c r="AP9" s="910" t="s">
        <v>2660</v>
      </c>
      <c r="AQ9" s="910"/>
      <c r="AR9" s="910"/>
      <c r="AS9" s="910"/>
      <c r="AT9" s="910"/>
      <c r="AU9" s="910"/>
      <c r="AV9" s="910"/>
      <c r="AW9" s="910"/>
      <c r="AX9" s="910"/>
      <c r="AY9" s="921"/>
      <c r="AZ9" s="921"/>
      <c r="BA9" s="921"/>
      <c r="BB9" s="921"/>
      <c r="BC9" s="921"/>
      <c r="BD9" s="921"/>
      <c r="BE9" s="921"/>
      <c r="BF9" s="921"/>
      <c r="BG9" s="882"/>
      <c r="BH9" s="882"/>
      <c r="BI9" s="882"/>
      <c r="BJ9" s="53"/>
      <c r="BK9" s="1"/>
      <c r="BL9" s="1"/>
      <c r="BM9" s="1"/>
      <c r="BN9" s="1"/>
      <c r="BQ9" s="84"/>
      <c r="BR9" s="84"/>
      <c r="BS9" s="84"/>
      <c r="BT9" s="84"/>
      <c r="BU9" s="84"/>
      <c r="BV9" s="84"/>
      <c r="BW9" s="84"/>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row>
    <row r="10" spans="1:178" s="22" customFormat="1" ht="26.45" customHeight="1">
      <c r="A10" s="48"/>
      <c r="B10" s="159" t="s">
        <v>2661</v>
      </c>
      <c r="C10" s="411"/>
      <c r="D10" s="159" t="s">
        <v>2662</v>
      </c>
      <c r="E10" s="159"/>
      <c r="F10" s="159" t="s">
        <v>2663</v>
      </c>
      <c r="G10" s="50"/>
      <c r="H10" s="50"/>
      <c r="I10" s="50"/>
      <c r="J10" s="50"/>
      <c r="K10" s="50"/>
      <c r="L10" s="50"/>
      <c r="M10" s="50"/>
      <c r="N10" s="50"/>
      <c r="O10" s="50"/>
      <c r="P10" s="50"/>
      <c r="Q10" s="208"/>
      <c r="R10" s="909"/>
      <c r="S10" s="909"/>
      <c r="T10" s="909"/>
      <c r="U10" s="909"/>
      <c r="V10" s="204"/>
      <c r="W10" s="909"/>
      <c r="X10" s="909"/>
      <c r="Y10" s="909"/>
      <c r="Z10" s="909"/>
      <c r="AA10" s="909"/>
      <c r="AB10" s="909"/>
      <c r="AC10" s="204"/>
      <c r="AD10" s="159" t="s">
        <v>2664</v>
      </c>
      <c r="AE10" s="197"/>
      <c r="AF10" s="159"/>
      <c r="AG10" s="159"/>
      <c r="AH10" s="410"/>
      <c r="AI10" s="159" t="s">
        <v>2665</v>
      </c>
      <c r="AJ10" s="197"/>
      <c r="AK10" s="159" t="s">
        <v>2665</v>
      </c>
      <c r="AL10" s="204"/>
      <c r="AM10" s="677"/>
      <c r="AN10" s="677"/>
      <c r="AO10" s="204"/>
      <c r="AP10" s="911" t="s">
        <v>2666</v>
      </c>
      <c r="AQ10" s="911"/>
      <c r="AR10" s="911"/>
      <c r="AS10" s="911"/>
      <c r="AT10" s="911"/>
      <c r="AU10" s="911"/>
      <c r="AV10" s="911"/>
      <c r="AW10" s="911"/>
      <c r="AX10" s="50"/>
      <c r="AY10" s="779"/>
      <c r="AZ10" s="779"/>
      <c r="BA10" s="779"/>
      <c r="BB10" s="779"/>
      <c r="BC10" s="779"/>
      <c r="BD10" s="779"/>
      <c r="BE10" s="779"/>
      <c r="BF10" s="50"/>
      <c r="BG10" s="882"/>
      <c r="BH10" s="882"/>
      <c r="BI10" s="882"/>
      <c r="BJ10" s="53"/>
      <c r="BK10" s="1"/>
      <c r="BL10" s="1"/>
      <c r="BM10" s="1"/>
      <c r="BN10" s="1"/>
      <c r="BQ10" s="542" t="s">
        <v>2667</v>
      </c>
      <c r="BR10" s="542" t="s">
        <v>2668</v>
      </c>
      <c r="BS10" s="542" t="s">
        <v>2669</v>
      </c>
      <c r="BT10" s="542" t="s">
        <v>2670</v>
      </c>
      <c r="BU10" s="542" t="s">
        <v>2671</v>
      </c>
      <c r="BV10" s="306" t="s">
        <v>2672</v>
      </c>
      <c r="BW10" s="307" t="s">
        <v>2673</v>
      </c>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row>
    <row r="11" spans="1:178" ht="14.1" customHeight="1">
      <c r="A11" s="54"/>
      <c r="B11" s="64"/>
      <c r="C11" s="333"/>
      <c r="D11" s="64"/>
      <c r="E11" s="231"/>
      <c r="F11" s="890"/>
      <c r="G11" s="890"/>
      <c r="H11" s="890"/>
      <c r="I11" s="890"/>
      <c r="J11" s="890"/>
      <c r="K11" s="890"/>
      <c r="L11" s="890"/>
      <c r="M11" s="890"/>
      <c r="N11" s="890"/>
      <c r="O11" s="890"/>
      <c r="P11" s="890"/>
      <c r="Q11" s="890"/>
      <c r="R11" s="890"/>
      <c r="S11" s="890"/>
      <c r="T11" s="890"/>
      <c r="U11" s="890"/>
      <c r="V11" s="890"/>
      <c r="W11" s="890"/>
      <c r="X11" s="890"/>
      <c r="Y11" s="890"/>
      <c r="Z11" s="890"/>
      <c r="AA11" s="890"/>
      <c r="AB11" s="208"/>
      <c r="AC11" s="204"/>
      <c r="AD11" s="891"/>
      <c r="AE11" s="892"/>
      <c r="AF11" s="892"/>
      <c r="AG11" s="893"/>
      <c r="AH11" s="333"/>
      <c r="AI11" s="64"/>
      <c r="AJ11" s="43" t="str">
        <f>IF(AND($B11&gt;0,$D11&gt;0),"SEER2","")</f>
        <v/>
      </c>
      <c r="AK11" s="64"/>
      <c r="AL11" s="43" t="str">
        <f>IF(AND($B11&gt;0,$D11&gt;0),"HSPF2","")</f>
        <v/>
      </c>
      <c r="AM11" s="43"/>
      <c r="AN11" s="43"/>
      <c r="AO11" s="204"/>
      <c r="AP11" s="55" t="str">
        <f>IF(AND(B11="",AI11="",AK11=""),"",15.2)</f>
        <v/>
      </c>
      <c r="AQ11" s="43" t="str">
        <f>IF(OR(AP11="N/A",AP11=""),"","SEER2")</f>
        <v/>
      </c>
      <c r="AR11" s="55" t="str">
        <f>IF(AND(B11="",AI11="",AK11=""),"",7.8)</f>
        <v/>
      </c>
      <c r="AS11" s="43" t="str">
        <f>IF(OR(AR11="N/A",AR11=""),"","HSPF2")</f>
        <v/>
      </c>
      <c r="AT11" s="43"/>
      <c r="AU11" s="43"/>
      <c r="AV11" s="43"/>
      <c r="AW11" s="894" t="str">
        <f>IF(AR11="N/A",IF($AP11&lt;=AI11,"Qualified","Not Qualified"),IF(AND($AP11="",$AR11=""),"",IF(AND($AP11&lt;=$AI11,$AR11&lt;=$AK11),"Qualified","Not Qualified")))</f>
        <v/>
      </c>
      <c r="AX11" s="894"/>
      <c r="AY11" s="532"/>
      <c r="AZ11" s="43"/>
      <c r="BA11" s="532"/>
      <c r="BB11" s="43"/>
      <c r="BC11" s="43"/>
      <c r="BD11" s="43"/>
      <c r="BE11" s="894"/>
      <c r="BF11" s="894"/>
      <c r="BG11" s="157" t="s">
        <v>142</v>
      </c>
      <c r="BH11" s="895" t="str">
        <f>IF(AW11="Qualified",D11*B11*125,"")</f>
        <v/>
      </c>
      <c r="BI11" s="895"/>
      <c r="BJ11" s="582"/>
      <c r="BM11" s="296">
        <f>COUNTIF(AW10:AW20,"Qualified")</f>
        <v>0</v>
      </c>
      <c r="BQ11" s="298" t="str">
        <f>IF($BR$1="ID",778.75, IF($BR$1="OR",1045.33,""))</f>
        <v/>
      </c>
      <c r="BR11" s="298" t="str">
        <f>IF($BR$1="ID",176.33, IF($BR$1="OR",189.25,""))</f>
        <v/>
      </c>
      <c r="BS11" s="298" t="str">
        <f t="shared" ref="BS11:BS20" si="0">IFERROR(ROUND((BQ11*52%)+(BR11*48%),2),"")</f>
        <v/>
      </c>
      <c r="BT11" s="298" t="str">
        <f>IF($BR$1="ID",94.16, IF($BR$1="OR",72.48,""))</f>
        <v/>
      </c>
      <c r="BU11" s="298" t="str">
        <f>IF($BR$1="ID",173/1000, IF($BR$1="OR",173/1000,""))</f>
        <v/>
      </c>
      <c r="BV11" s="617">
        <f>IF(AW11="Qualified",IF($BT$1="Electric",BS11,BT11)*(B11*D11),0)</f>
        <v>0</v>
      </c>
      <c r="BW11" s="301">
        <f>IF(AW11="Qualified",BU11*(B11*D11),0)</f>
        <v>0</v>
      </c>
      <c r="BY11" s="94"/>
      <c r="BZ11" s="94"/>
      <c r="CA11" s="94"/>
      <c r="CB11" s="102"/>
      <c r="CC11" s="102"/>
      <c r="CD11" s="102"/>
      <c r="CE11" s="102"/>
      <c r="CF11" s="102"/>
      <c r="CG11" s="102"/>
      <c r="CH11" s="102"/>
      <c r="CI11" s="102"/>
      <c r="CJ11" s="102"/>
      <c r="CK11" s="102"/>
      <c r="CL11" s="102"/>
      <c r="CM11" s="102"/>
      <c r="CN11" s="94"/>
      <c r="CO11" s="94"/>
      <c r="CP11" s="94"/>
      <c r="CQ11" s="94"/>
      <c r="CR11" s="94"/>
      <c r="CS11" s="94"/>
      <c r="CT11" s="94"/>
      <c r="CU11" s="94"/>
      <c r="CV11" s="94"/>
      <c r="CW11" s="94"/>
      <c r="CX11" s="94"/>
      <c r="CY11" s="94"/>
      <c r="CZ11" s="94"/>
    </row>
    <row r="12" spans="1:178" ht="14.1" customHeight="1">
      <c r="A12" s="54"/>
      <c r="B12" s="64"/>
      <c r="C12" s="333"/>
      <c r="D12" s="64"/>
      <c r="E12" s="231"/>
      <c r="F12" s="890"/>
      <c r="G12" s="890"/>
      <c r="H12" s="890"/>
      <c r="I12" s="890"/>
      <c r="J12" s="890"/>
      <c r="K12" s="890"/>
      <c r="L12" s="890"/>
      <c r="M12" s="890"/>
      <c r="N12" s="890"/>
      <c r="O12" s="890"/>
      <c r="P12" s="890"/>
      <c r="Q12" s="890"/>
      <c r="R12" s="890"/>
      <c r="S12" s="890"/>
      <c r="T12" s="890"/>
      <c r="U12" s="890"/>
      <c r="V12" s="890"/>
      <c r="W12" s="890"/>
      <c r="X12" s="890"/>
      <c r="Y12" s="890"/>
      <c r="Z12" s="890"/>
      <c r="AA12" s="890"/>
      <c r="AB12" s="208"/>
      <c r="AC12" s="204"/>
      <c r="AD12" s="891"/>
      <c r="AE12" s="892"/>
      <c r="AF12" s="892"/>
      <c r="AG12" s="893"/>
      <c r="AH12" s="333"/>
      <c r="AI12" s="64"/>
      <c r="AJ12" s="43" t="str">
        <f t="shared" ref="AJ12:AJ20" si="1">IF(AND($B12&gt;0,$D12&gt;0),"SEER2","")</f>
        <v/>
      </c>
      <c r="AK12" s="64"/>
      <c r="AL12" s="43" t="str">
        <f t="shared" ref="AL12:AL20" si="2">IF(AND($B12&gt;0,$D12&gt;0),"HSPF2","")</f>
        <v/>
      </c>
      <c r="AM12" s="43"/>
      <c r="AN12" s="43"/>
      <c r="AO12" s="204"/>
      <c r="AP12" s="55" t="str">
        <f t="shared" ref="AP12:AP20" si="3">IF(AND(B12="",AI12="",AK12=""),"",15.2)</f>
        <v/>
      </c>
      <c r="AQ12" s="43" t="str">
        <f t="shared" ref="AQ12:AQ20" si="4">IF(OR(AP12="N/A",AP12=""),"","SEER2")</f>
        <v/>
      </c>
      <c r="AR12" s="55" t="str">
        <f t="shared" ref="AR12:AR20" si="5">IF(AND(B12="",AI12="",AK12=""),"",7.8)</f>
        <v/>
      </c>
      <c r="AS12" s="43" t="str">
        <f t="shared" ref="AS12:AS20" si="6">IF(OR(AR12="N/A",AR12=""),"","HSPF2")</f>
        <v/>
      </c>
      <c r="AT12" s="43"/>
      <c r="AU12" s="43"/>
      <c r="AV12" s="43"/>
      <c r="AW12" s="894" t="str">
        <f t="shared" ref="AW12:AW19" si="7">IF(AR12="N/A",IF($AP12&lt;=AI12,"Qualified","Not Qualified"),IF(AND($AP12="",$AR12=""),"",IF(AND($AP12&lt;=$AI12,$AR12&lt;=$AK12),"Qualified","Not Qualified")))</f>
        <v/>
      </c>
      <c r="AX12" s="894"/>
      <c r="AY12" s="532"/>
      <c r="AZ12" s="43"/>
      <c r="BA12" s="532"/>
      <c r="BB12" s="43"/>
      <c r="BC12" s="43"/>
      <c r="BD12" s="43"/>
      <c r="BE12" s="894"/>
      <c r="BF12" s="894"/>
      <c r="BG12" s="157" t="s">
        <v>142</v>
      </c>
      <c r="BH12" s="895" t="str">
        <f t="shared" ref="BH12:BH20" si="8">IF(AW12="Qualified",D12*B12*125,"")</f>
        <v/>
      </c>
      <c r="BI12" s="895"/>
      <c r="BJ12" s="582"/>
      <c r="BQ12" s="298" t="str">
        <f t="shared" ref="BQ12:BQ20" si="9">IF($BR$1="ID",778.75, IF($BR$1="OR",1045.33,""))</f>
        <v/>
      </c>
      <c r="BR12" s="298" t="str">
        <f t="shared" ref="BR12:BR20" si="10">IF($BR$1="ID",176.33, IF($BR$1="OR",189.25,""))</f>
        <v/>
      </c>
      <c r="BS12" s="298" t="str">
        <f t="shared" si="0"/>
        <v/>
      </c>
      <c r="BT12" s="298" t="str">
        <f t="shared" ref="BT12:BT20" si="11">IF($BR$1="ID",94.16, IF($BR$1="OR",72.48,""))</f>
        <v/>
      </c>
      <c r="BU12" s="298" t="str">
        <f t="shared" ref="BU12:BU20" si="12">IF($BR$1="ID",173/1000, IF($BR$1="OR",173/1000,""))</f>
        <v/>
      </c>
      <c r="BV12" s="617">
        <f t="shared" ref="BV12:BV20" si="13">IF(AW12="Qualified",IF($BT$1="Electric",BS12,BT12)*(B12*D12),0)</f>
        <v>0</v>
      </c>
      <c r="BW12" s="301">
        <f t="shared" ref="BW12:BW20" si="14">IF(AW12="Qualified",BU12*(B12*D12),0)</f>
        <v>0</v>
      </c>
      <c r="BY12" s="94"/>
      <c r="BZ12" s="94"/>
      <c r="CA12" s="94"/>
      <c r="CB12" s="102"/>
      <c r="CC12" s="102"/>
      <c r="CD12" s="102"/>
      <c r="CE12" s="102"/>
      <c r="CF12" s="102"/>
      <c r="CG12" s="102"/>
      <c r="CH12" s="102"/>
      <c r="CI12" s="102"/>
      <c r="CJ12" s="102"/>
      <c r="CK12" s="102"/>
      <c r="CL12" s="102"/>
      <c r="CM12" s="102"/>
      <c r="CN12" s="94"/>
      <c r="CO12" s="94"/>
      <c r="CP12" s="94"/>
      <c r="CQ12" s="94"/>
      <c r="CR12" s="94"/>
      <c r="CS12" s="94"/>
      <c r="CT12" s="94"/>
      <c r="CU12" s="94"/>
      <c r="CV12" s="94"/>
      <c r="CW12" s="94"/>
      <c r="CX12" s="94"/>
      <c r="CY12" s="94"/>
      <c r="CZ12" s="94"/>
    </row>
    <row r="13" spans="1:178" ht="14.1" customHeight="1">
      <c r="A13" s="54"/>
      <c r="B13" s="64"/>
      <c r="C13" s="333"/>
      <c r="D13" s="64"/>
      <c r="E13" s="231"/>
      <c r="F13" s="890"/>
      <c r="G13" s="890"/>
      <c r="H13" s="890"/>
      <c r="I13" s="890"/>
      <c r="J13" s="890"/>
      <c r="K13" s="890"/>
      <c r="L13" s="890"/>
      <c r="M13" s="890"/>
      <c r="N13" s="890"/>
      <c r="O13" s="890"/>
      <c r="P13" s="890"/>
      <c r="Q13" s="890"/>
      <c r="R13" s="890"/>
      <c r="S13" s="890"/>
      <c r="T13" s="890"/>
      <c r="U13" s="890"/>
      <c r="V13" s="890"/>
      <c r="W13" s="890"/>
      <c r="X13" s="890"/>
      <c r="Y13" s="890"/>
      <c r="Z13" s="890"/>
      <c r="AA13" s="890"/>
      <c r="AB13" s="208"/>
      <c r="AC13" s="204"/>
      <c r="AD13" s="891"/>
      <c r="AE13" s="892"/>
      <c r="AF13" s="892"/>
      <c r="AG13" s="893"/>
      <c r="AH13" s="333"/>
      <c r="AI13" s="64"/>
      <c r="AJ13" s="43" t="str">
        <f t="shared" si="1"/>
        <v/>
      </c>
      <c r="AK13" s="64"/>
      <c r="AL13" s="43" t="str">
        <f t="shared" si="2"/>
        <v/>
      </c>
      <c r="AM13" s="43"/>
      <c r="AN13" s="43"/>
      <c r="AO13" s="204"/>
      <c r="AP13" s="55" t="str">
        <f t="shared" si="3"/>
        <v/>
      </c>
      <c r="AQ13" s="43" t="str">
        <f t="shared" si="4"/>
        <v/>
      </c>
      <c r="AR13" s="55" t="str">
        <f t="shared" si="5"/>
        <v/>
      </c>
      <c r="AS13" s="43" t="str">
        <f t="shared" si="6"/>
        <v/>
      </c>
      <c r="AT13" s="43"/>
      <c r="AU13" s="43"/>
      <c r="AV13" s="43"/>
      <c r="AW13" s="894" t="str">
        <f t="shared" si="7"/>
        <v/>
      </c>
      <c r="AX13" s="894"/>
      <c r="AY13" s="532"/>
      <c r="AZ13" s="43"/>
      <c r="BA13" s="532"/>
      <c r="BB13" s="43"/>
      <c r="BC13" s="43"/>
      <c r="BD13" s="43"/>
      <c r="BE13" s="894"/>
      <c r="BF13" s="894"/>
      <c r="BG13" s="157" t="s">
        <v>142</v>
      </c>
      <c r="BH13" s="895" t="str">
        <f t="shared" si="8"/>
        <v/>
      </c>
      <c r="BI13" s="895"/>
      <c r="BJ13" s="582"/>
      <c r="BQ13" s="298" t="str">
        <f t="shared" si="9"/>
        <v/>
      </c>
      <c r="BR13" s="298" t="str">
        <f t="shared" si="10"/>
        <v/>
      </c>
      <c r="BS13" s="298" t="str">
        <f t="shared" si="0"/>
        <v/>
      </c>
      <c r="BT13" s="298" t="str">
        <f t="shared" si="11"/>
        <v/>
      </c>
      <c r="BU13" s="298" t="str">
        <f t="shared" si="12"/>
        <v/>
      </c>
      <c r="BV13" s="617">
        <f t="shared" si="13"/>
        <v>0</v>
      </c>
      <c r="BW13" s="301">
        <f t="shared" si="14"/>
        <v>0</v>
      </c>
      <c r="BY13" s="94"/>
      <c r="BZ13" s="94"/>
      <c r="CA13" s="94"/>
      <c r="CB13" s="102"/>
      <c r="CC13" s="102"/>
      <c r="CD13" s="102"/>
      <c r="CE13" s="102"/>
      <c r="CF13" s="102"/>
      <c r="CG13" s="102"/>
      <c r="CH13" s="102"/>
      <c r="CI13" s="102"/>
      <c r="CJ13" s="102"/>
      <c r="CK13" s="102"/>
      <c r="CL13" s="102"/>
      <c r="CM13" s="102"/>
      <c r="CN13" s="94"/>
      <c r="CO13" s="94"/>
      <c r="CP13" s="94"/>
      <c r="CQ13" s="94"/>
      <c r="CR13" s="94"/>
      <c r="CS13" s="94"/>
      <c r="CT13" s="94"/>
      <c r="CU13" s="94"/>
      <c r="CV13" s="94"/>
      <c r="CW13" s="94"/>
      <c r="CX13" s="94"/>
      <c r="CY13" s="94"/>
      <c r="CZ13" s="94"/>
    </row>
    <row r="14" spans="1:178" ht="14.1" customHeight="1">
      <c r="A14" s="54"/>
      <c r="B14" s="64"/>
      <c r="C14" s="333"/>
      <c r="D14" s="64"/>
      <c r="E14" s="231"/>
      <c r="F14" s="890"/>
      <c r="G14" s="890"/>
      <c r="H14" s="890"/>
      <c r="I14" s="890"/>
      <c r="J14" s="890"/>
      <c r="K14" s="890"/>
      <c r="L14" s="890"/>
      <c r="M14" s="890"/>
      <c r="N14" s="890"/>
      <c r="O14" s="890"/>
      <c r="P14" s="890"/>
      <c r="Q14" s="890"/>
      <c r="R14" s="890"/>
      <c r="S14" s="890"/>
      <c r="T14" s="890"/>
      <c r="U14" s="890"/>
      <c r="V14" s="890"/>
      <c r="W14" s="890"/>
      <c r="X14" s="890"/>
      <c r="Y14" s="890"/>
      <c r="Z14" s="890"/>
      <c r="AA14" s="890"/>
      <c r="AB14" s="208"/>
      <c r="AC14" s="204"/>
      <c r="AD14" s="891"/>
      <c r="AE14" s="892"/>
      <c r="AF14" s="892"/>
      <c r="AG14" s="893"/>
      <c r="AH14" s="333"/>
      <c r="AI14" s="64"/>
      <c r="AJ14" s="43" t="str">
        <f t="shared" si="1"/>
        <v/>
      </c>
      <c r="AK14" s="64"/>
      <c r="AL14" s="43" t="str">
        <f t="shared" si="2"/>
        <v/>
      </c>
      <c r="AM14" s="43"/>
      <c r="AN14" s="43"/>
      <c r="AO14" s="204"/>
      <c r="AP14" s="55" t="str">
        <f t="shared" si="3"/>
        <v/>
      </c>
      <c r="AQ14" s="43" t="str">
        <f t="shared" si="4"/>
        <v/>
      </c>
      <c r="AR14" s="55" t="str">
        <f t="shared" si="5"/>
        <v/>
      </c>
      <c r="AS14" s="43" t="str">
        <f t="shared" si="6"/>
        <v/>
      </c>
      <c r="AT14" s="43"/>
      <c r="AU14" s="43"/>
      <c r="AV14" s="43"/>
      <c r="AW14" s="894" t="str">
        <f t="shared" si="7"/>
        <v/>
      </c>
      <c r="AX14" s="894"/>
      <c r="AY14" s="532"/>
      <c r="AZ14" s="43"/>
      <c r="BA14" s="532"/>
      <c r="BB14" s="43"/>
      <c r="BC14" s="43"/>
      <c r="BD14" s="43"/>
      <c r="BE14" s="894"/>
      <c r="BF14" s="894"/>
      <c r="BG14" s="157" t="s">
        <v>142</v>
      </c>
      <c r="BH14" s="895" t="str">
        <f t="shared" si="8"/>
        <v/>
      </c>
      <c r="BI14" s="895"/>
      <c r="BJ14" s="582"/>
      <c r="BQ14" s="298" t="str">
        <f t="shared" si="9"/>
        <v/>
      </c>
      <c r="BR14" s="298" t="str">
        <f t="shared" si="10"/>
        <v/>
      </c>
      <c r="BS14" s="298" t="str">
        <f t="shared" si="0"/>
        <v/>
      </c>
      <c r="BT14" s="298" t="str">
        <f t="shared" si="11"/>
        <v/>
      </c>
      <c r="BU14" s="298" t="str">
        <f t="shared" si="12"/>
        <v/>
      </c>
      <c r="BV14" s="617">
        <f t="shared" si="13"/>
        <v>0</v>
      </c>
      <c r="BW14" s="301">
        <f t="shared" si="14"/>
        <v>0</v>
      </c>
      <c r="BY14" s="94"/>
      <c r="BZ14" s="94"/>
      <c r="CA14" s="94"/>
      <c r="CB14" s="102"/>
      <c r="CC14" s="102"/>
      <c r="CD14" s="102"/>
      <c r="CE14" s="102"/>
      <c r="CF14" s="102"/>
      <c r="CG14" s="102"/>
      <c r="CH14" s="102"/>
      <c r="CI14" s="102"/>
      <c r="CJ14" s="102"/>
      <c r="CK14" s="102"/>
      <c r="CL14" s="102"/>
      <c r="CM14" s="102"/>
      <c r="CN14" s="94"/>
      <c r="CO14" s="94"/>
      <c r="CP14" s="94"/>
      <c r="CQ14" s="94"/>
      <c r="CR14" s="94"/>
      <c r="CS14" s="94"/>
      <c r="CT14" s="94"/>
      <c r="CU14" s="94"/>
      <c r="CV14" s="94"/>
      <c r="CW14" s="94"/>
      <c r="CX14" s="94"/>
      <c r="CY14" s="94"/>
      <c r="CZ14" s="94"/>
    </row>
    <row r="15" spans="1:178" ht="14.1" customHeight="1">
      <c r="A15" s="54"/>
      <c r="B15" s="64"/>
      <c r="C15" s="333"/>
      <c r="D15" s="64"/>
      <c r="E15" s="231"/>
      <c r="F15" s="890"/>
      <c r="G15" s="890"/>
      <c r="H15" s="890"/>
      <c r="I15" s="890"/>
      <c r="J15" s="890"/>
      <c r="K15" s="890"/>
      <c r="L15" s="890"/>
      <c r="M15" s="890"/>
      <c r="N15" s="890"/>
      <c r="O15" s="890"/>
      <c r="P15" s="890"/>
      <c r="Q15" s="890"/>
      <c r="R15" s="890"/>
      <c r="S15" s="890"/>
      <c r="T15" s="890"/>
      <c r="U15" s="890"/>
      <c r="V15" s="890"/>
      <c r="W15" s="890"/>
      <c r="X15" s="890"/>
      <c r="Y15" s="890"/>
      <c r="Z15" s="890"/>
      <c r="AA15" s="890"/>
      <c r="AB15" s="208"/>
      <c r="AC15" s="204"/>
      <c r="AD15" s="891"/>
      <c r="AE15" s="892"/>
      <c r="AF15" s="892"/>
      <c r="AG15" s="893"/>
      <c r="AH15" s="333"/>
      <c r="AI15" s="64"/>
      <c r="AJ15" s="43" t="str">
        <f t="shared" si="1"/>
        <v/>
      </c>
      <c r="AK15" s="64"/>
      <c r="AL15" s="43" t="str">
        <f t="shared" si="2"/>
        <v/>
      </c>
      <c r="AM15" s="43"/>
      <c r="AN15" s="43"/>
      <c r="AO15" s="204"/>
      <c r="AP15" s="55" t="str">
        <f t="shared" si="3"/>
        <v/>
      </c>
      <c r="AQ15" s="43" t="str">
        <f t="shared" si="4"/>
        <v/>
      </c>
      <c r="AR15" s="55" t="str">
        <f t="shared" si="5"/>
        <v/>
      </c>
      <c r="AS15" s="43" t="str">
        <f t="shared" si="6"/>
        <v/>
      </c>
      <c r="AT15" s="43"/>
      <c r="AU15" s="43"/>
      <c r="AV15" s="43"/>
      <c r="AW15" s="894" t="str">
        <f t="shared" si="7"/>
        <v/>
      </c>
      <c r="AX15" s="894"/>
      <c r="AY15" s="532"/>
      <c r="AZ15" s="43"/>
      <c r="BA15" s="532"/>
      <c r="BB15" s="43"/>
      <c r="BC15" s="43"/>
      <c r="BD15" s="43"/>
      <c r="BE15" s="894"/>
      <c r="BF15" s="894"/>
      <c r="BG15" s="157" t="s">
        <v>142</v>
      </c>
      <c r="BH15" s="895" t="str">
        <f t="shared" si="8"/>
        <v/>
      </c>
      <c r="BI15" s="895"/>
      <c r="BJ15" s="582"/>
      <c r="BQ15" s="298" t="str">
        <f t="shared" si="9"/>
        <v/>
      </c>
      <c r="BR15" s="298" t="str">
        <f t="shared" si="10"/>
        <v/>
      </c>
      <c r="BS15" s="298" t="str">
        <f t="shared" si="0"/>
        <v/>
      </c>
      <c r="BT15" s="298" t="str">
        <f t="shared" si="11"/>
        <v/>
      </c>
      <c r="BU15" s="298" t="str">
        <f t="shared" si="12"/>
        <v/>
      </c>
      <c r="BV15" s="617">
        <f t="shared" si="13"/>
        <v>0</v>
      </c>
      <c r="BW15" s="301">
        <f t="shared" si="14"/>
        <v>0</v>
      </c>
      <c r="BY15" s="94"/>
      <c r="BZ15" s="94"/>
      <c r="CA15" s="94"/>
      <c r="CB15" s="102"/>
      <c r="CC15" s="102"/>
      <c r="CD15" s="102"/>
      <c r="CE15" s="102"/>
      <c r="CF15" s="102"/>
      <c r="CG15" s="102"/>
      <c r="CH15" s="102"/>
      <c r="CI15" s="102"/>
      <c r="CJ15" s="102"/>
      <c r="CK15" s="102"/>
      <c r="CL15" s="102"/>
      <c r="CM15" s="102"/>
      <c r="CN15" s="94"/>
      <c r="CO15" s="94"/>
      <c r="CP15" s="94"/>
      <c r="CQ15" s="94"/>
      <c r="CR15" s="94"/>
      <c r="CS15" s="94"/>
      <c r="CT15" s="94"/>
      <c r="CU15" s="94"/>
      <c r="CV15" s="94"/>
      <c r="CW15" s="94"/>
      <c r="CX15" s="94"/>
      <c r="CY15" s="94"/>
      <c r="CZ15" s="94"/>
    </row>
    <row r="16" spans="1:178" ht="14.1" customHeight="1">
      <c r="A16" s="54"/>
      <c r="B16" s="64"/>
      <c r="C16" s="333"/>
      <c r="D16" s="64"/>
      <c r="E16" s="231"/>
      <c r="F16" s="890"/>
      <c r="G16" s="890"/>
      <c r="H16" s="890"/>
      <c r="I16" s="890"/>
      <c r="J16" s="890"/>
      <c r="K16" s="890"/>
      <c r="L16" s="890"/>
      <c r="M16" s="890"/>
      <c r="N16" s="890"/>
      <c r="O16" s="890"/>
      <c r="P16" s="890"/>
      <c r="Q16" s="890"/>
      <c r="R16" s="890"/>
      <c r="S16" s="890"/>
      <c r="T16" s="890"/>
      <c r="U16" s="890"/>
      <c r="V16" s="890"/>
      <c r="W16" s="890"/>
      <c r="X16" s="890"/>
      <c r="Y16" s="890"/>
      <c r="Z16" s="890"/>
      <c r="AA16" s="890"/>
      <c r="AB16" s="208"/>
      <c r="AC16" s="204"/>
      <c r="AD16" s="891"/>
      <c r="AE16" s="892"/>
      <c r="AF16" s="892"/>
      <c r="AG16" s="893"/>
      <c r="AH16" s="333"/>
      <c r="AI16" s="64"/>
      <c r="AJ16" s="43" t="str">
        <f t="shared" si="1"/>
        <v/>
      </c>
      <c r="AK16" s="64"/>
      <c r="AL16" s="43" t="str">
        <f t="shared" si="2"/>
        <v/>
      </c>
      <c r="AM16" s="43"/>
      <c r="AN16" s="43"/>
      <c r="AO16" s="204"/>
      <c r="AP16" s="55" t="str">
        <f t="shared" si="3"/>
        <v/>
      </c>
      <c r="AQ16" s="43" t="str">
        <f t="shared" si="4"/>
        <v/>
      </c>
      <c r="AR16" s="55" t="str">
        <f t="shared" si="5"/>
        <v/>
      </c>
      <c r="AS16" s="43" t="str">
        <f t="shared" si="6"/>
        <v/>
      </c>
      <c r="AT16" s="43"/>
      <c r="AU16" s="43"/>
      <c r="AV16" s="43"/>
      <c r="AW16" s="894" t="str">
        <f t="shared" si="7"/>
        <v/>
      </c>
      <c r="AX16" s="894"/>
      <c r="AY16" s="532"/>
      <c r="AZ16" s="43"/>
      <c r="BA16" s="532"/>
      <c r="BB16" s="43"/>
      <c r="BC16" s="43"/>
      <c r="BD16" s="43"/>
      <c r="BE16" s="894"/>
      <c r="BF16" s="894"/>
      <c r="BG16" s="157" t="s">
        <v>142</v>
      </c>
      <c r="BH16" s="895" t="str">
        <f t="shared" si="8"/>
        <v/>
      </c>
      <c r="BI16" s="895"/>
      <c r="BJ16" s="582"/>
      <c r="BQ16" s="298" t="str">
        <f t="shared" si="9"/>
        <v/>
      </c>
      <c r="BR16" s="298" t="str">
        <f t="shared" si="10"/>
        <v/>
      </c>
      <c r="BS16" s="298" t="str">
        <f t="shared" si="0"/>
        <v/>
      </c>
      <c r="BT16" s="298" t="str">
        <f t="shared" si="11"/>
        <v/>
      </c>
      <c r="BU16" s="298" t="str">
        <f t="shared" si="12"/>
        <v/>
      </c>
      <c r="BV16" s="617">
        <f t="shared" si="13"/>
        <v>0</v>
      </c>
      <c r="BW16" s="301">
        <f t="shared" si="14"/>
        <v>0</v>
      </c>
      <c r="BY16" s="94"/>
      <c r="BZ16" s="94"/>
      <c r="CA16" s="94"/>
      <c r="CB16" s="102"/>
      <c r="CC16" s="102"/>
      <c r="CD16" s="102"/>
      <c r="CE16" s="102"/>
      <c r="CF16" s="102"/>
      <c r="CG16" s="102"/>
      <c r="CH16" s="102"/>
      <c r="CI16" s="102"/>
      <c r="CJ16" s="102"/>
      <c r="CK16" s="102"/>
      <c r="CL16" s="102"/>
      <c r="CM16" s="102"/>
      <c r="CN16" s="94"/>
      <c r="CO16" s="94"/>
      <c r="CP16" s="94"/>
      <c r="CQ16" s="94"/>
      <c r="CR16" s="94"/>
      <c r="CS16" s="94"/>
      <c r="CT16" s="94"/>
      <c r="CU16" s="94"/>
      <c r="CV16" s="94"/>
      <c r="CW16" s="94"/>
      <c r="CX16" s="94"/>
      <c r="CY16" s="94"/>
      <c r="CZ16" s="94"/>
    </row>
    <row r="17" spans="1:178" ht="14.1" customHeight="1">
      <c r="A17" s="54"/>
      <c r="B17" s="64"/>
      <c r="C17" s="333"/>
      <c r="D17" s="64"/>
      <c r="E17" s="231"/>
      <c r="F17" s="890"/>
      <c r="G17" s="890"/>
      <c r="H17" s="890"/>
      <c r="I17" s="890"/>
      <c r="J17" s="890"/>
      <c r="K17" s="890"/>
      <c r="L17" s="890"/>
      <c r="M17" s="890"/>
      <c r="N17" s="890"/>
      <c r="O17" s="890"/>
      <c r="P17" s="890"/>
      <c r="Q17" s="890"/>
      <c r="R17" s="890"/>
      <c r="S17" s="890"/>
      <c r="T17" s="890"/>
      <c r="U17" s="890"/>
      <c r="V17" s="890"/>
      <c r="W17" s="890"/>
      <c r="X17" s="890"/>
      <c r="Y17" s="890"/>
      <c r="Z17" s="890"/>
      <c r="AA17" s="890"/>
      <c r="AB17" s="208"/>
      <c r="AC17" s="204"/>
      <c r="AD17" s="891"/>
      <c r="AE17" s="892"/>
      <c r="AF17" s="892"/>
      <c r="AG17" s="893"/>
      <c r="AH17" s="333"/>
      <c r="AI17" s="64"/>
      <c r="AJ17" s="43" t="str">
        <f t="shared" si="1"/>
        <v/>
      </c>
      <c r="AK17" s="64"/>
      <c r="AL17" s="43" t="str">
        <f t="shared" si="2"/>
        <v/>
      </c>
      <c r="AM17" s="43"/>
      <c r="AN17" s="43"/>
      <c r="AO17" s="204"/>
      <c r="AP17" s="55" t="str">
        <f t="shared" si="3"/>
        <v/>
      </c>
      <c r="AQ17" s="43" t="str">
        <f t="shared" si="4"/>
        <v/>
      </c>
      <c r="AR17" s="55" t="str">
        <f t="shared" si="5"/>
        <v/>
      </c>
      <c r="AS17" s="43" t="str">
        <f t="shared" si="6"/>
        <v/>
      </c>
      <c r="AT17" s="43"/>
      <c r="AU17" s="43"/>
      <c r="AV17" s="43"/>
      <c r="AW17" s="894" t="str">
        <f t="shared" si="7"/>
        <v/>
      </c>
      <c r="AX17" s="894"/>
      <c r="AY17" s="532"/>
      <c r="AZ17" s="43"/>
      <c r="BA17" s="532"/>
      <c r="BB17" s="43"/>
      <c r="BC17" s="43"/>
      <c r="BD17" s="43"/>
      <c r="BE17" s="894"/>
      <c r="BF17" s="894"/>
      <c r="BG17" s="157" t="s">
        <v>142</v>
      </c>
      <c r="BH17" s="895" t="str">
        <f t="shared" si="8"/>
        <v/>
      </c>
      <c r="BI17" s="895"/>
      <c r="BJ17" s="582"/>
      <c r="BQ17" s="298" t="str">
        <f t="shared" si="9"/>
        <v/>
      </c>
      <c r="BR17" s="298" t="str">
        <f t="shared" si="10"/>
        <v/>
      </c>
      <c r="BS17" s="298" t="str">
        <f t="shared" si="0"/>
        <v/>
      </c>
      <c r="BT17" s="298" t="str">
        <f t="shared" si="11"/>
        <v/>
      </c>
      <c r="BU17" s="298" t="str">
        <f t="shared" si="12"/>
        <v/>
      </c>
      <c r="BV17" s="617">
        <f t="shared" si="13"/>
        <v>0</v>
      </c>
      <c r="BW17" s="301">
        <f t="shared" si="14"/>
        <v>0</v>
      </c>
      <c r="BY17" s="94"/>
      <c r="BZ17" s="94"/>
      <c r="CA17" s="94"/>
      <c r="CB17" s="102"/>
      <c r="CC17" s="102"/>
      <c r="CD17" s="102"/>
      <c r="CE17" s="102"/>
      <c r="CF17" s="102"/>
      <c r="CG17" s="102"/>
      <c r="CH17" s="102"/>
      <c r="CI17" s="102"/>
      <c r="CJ17" s="102"/>
      <c r="CK17" s="102"/>
      <c r="CL17" s="102"/>
      <c r="CM17" s="102"/>
      <c r="CN17" s="94"/>
      <c r="CO17" s="94"/>
      <c r="CP17" s="94"/>
      <c r="CQ17" s="94"/>
      <c r="CR17" s="94"/>
      <c r="CS17" s="94"/>
      <c r="CT17" s="94"/>
      <c r="CU17" s="94"/>
      <c r="CV17" s="94"/>
      <c r="CW17" s="94"/>
      <c r="CX17" s="94"/>
      <c r="CY17" s="94"/>
      <c r="CZ17" s="94"/>
    </row>
    <row r="18" spans="1:178" ht="14.1" customHeight="1">
      <c r="A18" s="54"/>
      <c r="B18" s="64"/>
      <c r="C18" s="333"/>
      <c r="D18" s="64"/>
      <c r="E18" s="231"/>
      <c r="F18" s="890"/>
      <c r="G18" s="890"/>
      <c r="H18" s="890"/>
      <c r="I18" s="890"/>
      <c r="J18" s="890"/>
      <c r="K18" s="890"/>
      <c r="L18" s="890"/>
      <c r="M18" s="890"/>
      <c r="N18" s="890"/>
      <c r="O18" s="890"/>
      <c r="P18" s="890"/>
      <c r="Q18" s="890"/>
      <c r="R18" s="890"/>
      <c r="S18" s="890"/>
      <c r="T18" s="890"/>
      <c r="U18" s="890"/>
      <c r="V18" s="890"/>
      <c r="W18" s="890"/>
      <c r="X18" s="890"/>
      <c r="Y18" s="890"/>
      <c r="Z18" s="890"/>
      <c r="AA18" s="890"/>
      <c r="AB18" s="208"/>
      <c r="AC18" s="204"/>
      <c r="AD18" s="891"/>
      <c r="AE18" s="892"/>
      <c r="AF18" s="892"/>
      <c r="AG18" s="893"/>
      <c r="AH18" s="333"/>
      <c r="AI18" s="64"/>
      <c r="AJ18" s="43" t="str">
        <f t="shared" si="1"/>
        <v/>
      </c>
      <c r="AK18" s="64"/>
      <c r="AL18" s="43" t="str">
        <f t="shared" si="2"/>
        <v/>
      </c>
      <c r="AM18" s="43"/>
      <c r="AN18" s="43"/>
      <c r="AO18" s="204"/>
      <c r="AP18" s="55" t="str">
        <f t="shared" si="3"/>
        <v/>
      </c>
      <c r="AQ18" s="43" t="str">
        <f t="shared" si="4"/>
        <v/>
      </c>
      <c r="AR18" s="55" t="str">
        <f t="shared" si="5"/>
        <v/>
      </c>
      <c r="AS18" s="43" t="str">
        <f t="shared" si="6"/>
        <v/>
      </c>
      <c r="AT18" s="43"/>
      <c r="AU18" s="43"/>
      <c r="AV18" s="43"/>
      <c r="AW18" s="894" t="str">
        <f t="shared" si="7"/>
        <v/>
      </c>
      <c r="AX18" s="894"/>
      <c r="AY18" s="532"/>
      <c r="AZ18" s="43"/>
      <c r="BA18" s="532"/>
      <c r="BB18" s="43"/>
      <c r="BC18" s="43"/>
      <c r="BD18" s="43"/>
      <c r="BE18" s="894"/>
      <c r="BF18" s="894"/>
      <c r="BG18" s="157" t="s">
        <v>142</v>
      </c>
      <c r="BH18" s="895" t="str">
        <f t="shared" si="8"/>
        <v/>
      </c>
      <c r="BI18" s="895"/>
      <c r="BJ18" s="582"/>
      <c r="BQ18" s="298" t="str">
        <f t="shared" si="9"/>
        <v/>
      </c>
      <c r="BR18" s="298" t="str">
        <f t="shared" si="10"/>
        <v/>
      </c>
      <c r="BS18" s="298" t="str">
        <f t="shared" si="0"/>
        <v/>
      </c>
      <c r="BT18" s="298" t="str">
        <f t="shared" si="11"/>
        <v/>
      </c>
      <c r="BU18" s="298" t="str">
        <f t="shared" si="12"/>
        <v/>
      </c>
      <c r="BV18" s="617">
        <f t="shared" si="13"/>
        <v>0</v>
      </c>
      <c r="BW18" s="301">
        <f t="shared" si="14"/>
        <v>0</v>
      </c>
      <c r="BY18" s="94"/>
      <c r="BZ18" s="94"/>
      <c r="CA18" s="94"/>
      <c r="CB18" s="102"/>
      <c r="CC18" s="102"/>
      <c r="CD18" s="102"/>
      <c r="CE18" s="102"/>
      <c r="CF18" s="102"/>
      <c r="CG18" s="102"/>
      <c r="CH18" s="102"/>
      <c r="CI18" s="102"/>
      <c r="CJ18" s="102"/>
      <c r="CK18" s="102"/>
      <c r="CL18" s="102"/>
      <c r="CM18" s="102"/>
      <c r="CN18" s="94"/>
      <c r="CO18" s="94"/>
      <c r="CP18" s="94"/>
      <c r="CQ18" s="94"/>
      <c r="CR18" s="94"/>
      <c r="CS18" s="94"/>
      <c r="CT18" s="94"/>
      <c r="CU18" s="94"/>
      <c r="CV18" s="94"/>
      <c r="CW18" s="94"/>
      <c r="CX18" s="94"/>
      <c r="CY18" s="94"/>
      <c r="CZ18" s="94"/>
    </row>
    <row r="19" spans="1:178" ht="14.1" customHeight="1">
      <c r="A19" s="54"/>
      <c r="B19" s="64"/>
      <c r="C19" s="333"/>
      <c r="D19" s="64"/>
      <c r="E19" s="231"/>
      <c r="F19" s="890"/>
      <c r="G19" s="890"/>
      <c r="H19" s="890"/>
      <c r="I19" s="890"/>
      <c r="J19" s="890"/>
      <c r="K19" s="890"/>
      <c r="L19" s="890"/>
      <c r="M19" s="890"/>
      <c r="N19" s="890"/>
      <c r="O19" s="890"/>
      <c r="P19" s="890"/>
      <c r="Q19" s="890"/>
      <c r="R19" s="890"/>
      <c r="S19" s="890"/>
      <c r="T19" s="890"/>
      <c r="U19" s="890"/>
      <c r="V19" s="890"/>
      <c r="W19" s="890"/>
      <c r="X19" s="890"/>
      <c r="Y19" s="890"/>
      <c r="Z19" s="890"/>
      <c r="AA19" s="890"/>
      <c r="AB19" s="208"/>
      <c r="AC19" s="204"/>
      <c r="AD19" s="891"/>
      <c r="AE19" s="892"/>
      <c r="AF19" s="892"/>
      <c r="AG19" s="893"/>
      <c r="AH19" s="333"/>
      <c r="AI19" s="64"/>
      <c r="AJ19" s="43" t="str">
        <f t="shared" si="1"/>
        <v/>
      </c>
      <c r="AK19" s="64"/>
      <c r="AL19" s="43" t="str">
        <f t="shared" si="2"/>
        <v/>
      </c>
      <c r="AM19" s="43"/>
      <c r="AN19" s="43"/>
      <c r="AO19" s="204"/>
      <c r="AP19" s="55" t="str">
        <f t="shared" si="3"/>
        <v/>
      </c>
      <c r="AQ19" s="43" t="str">
        <f t="shared" si="4"/>
        <v/>
      </c>
      <c r="AR19" s="55" t="str">
        <f t="shared" si="5"/>
        <v/>
      </c>
      <c r="AS19" s="43" t="str">
        <f t="shared" si="6"/>
        <v/>
      </c>
      <c r="AT19" s="43"/>
      <c r="AU19" s="43"/>
      <c r="AV19" s="43"/>
      <c r="AW19" s="894" t="str">
        <f t="shared" si="7"/>
        <v/>
      </c>
      <c r="AX19" s="894"/>
      <c r="AY19" s="532"/>
      <c r="AZ19" s="43"/>
      <c r="BA19" s="532"/>
      <c r="BB19" s="43"/>
      <c r="BC19" s="43"/>
      <c r="BD19" s="43"/>
      <c r="BE19" s="894"/>
      <c r="BF19" s="894"/>
      <c r="BG19" s="157" t="s">
        <v>142</v>
      </c>
      <c r="BH19" s="895" t="str">
        <f t="shared" si="8"/>
        <v/>
      </c>
      <c r="BI19" s="895"/>
      <c r="BJ19" s="582"/>
      <c r="BQ19" s="298" t="str">
        <f t="shared" si="9"/>
        <v/>
      </c>
      <c r="BR19" s="298" t="str">
        <f t="shared" si="10"/>
        <v/>
      </c>
      <c r="BS19" s="298" t="str">
        <f t="shared" si="0"/>
        <v/>
      </c>
      <c r="BT19" s="298" t="str">
        <f t="shared" si="11"/>
        <v/>
      </c>
      <c r="BU19" s="298" t="str">
        <f t="shared" si="12"/>
        <v/>
      </c>
      <c r="BV19" s="617">
        <f t="shared" si="13"/>
        <v>0</v>
      </c>
      <c r="BW19" s="301">
        <f t="shared" si="14"/>
        <v>0</v>
      </c>
      <c r="BY19" s="94"/>
      <c r="BZ19" s="94"/>
      <c r="CA19" s="94"/>
      <c r="CB19" s="102"/>
      <c r="CC19" s="102"/>
      <c r="CD19" s="102"/>
      <c r="CE19" s="102"/>
      <c r="CF19" s="102"/>
      <c r="CG19" s="102"/>
      <c r="CH19" s="102"/>
      <c r="CI19" s="102"/>
      <c r="CJ19" s="102"/>
      <c r="CK19" s="102"/>
      <c r="CL19" s="102"/>
      <c r="CM19" s="102"/>
      <c r="CN19" s="94"/>
      <c r="CO19" s="94"/>
      <c r="CP19" s="94"/>
      <c r="CQ19" s="94"/>
      <c r="CR19" s="94"/>
      <c r="CS19" s="94"/>
      <c r="CT19" s="94"/>
      <c r="CU19" s="94"/>
      <c r="CV19" s="94"/>
      <c r="CW19" s="94"/>
      <c r="CX19" s="94"/>
      <c r="CY19" s="94"/>
      <c r="CZ19" s="94"/>
    </row>
    <row r="20" spans="1:178" ht="14.1" customHeight="1">
      <c r="A20" s="54"/>
      <c r="B20" s="64"/>
      <c r="C20" s="333"/>
      <c r="D20" s="64"/>
      <c r="E20" s="231"/>
      <c r="F20" s="890"/>
      <c r="G20" s="890"/>
      <c r="H20" s="890"/>
      <c r="I20" s="890"/>
      <c r="J20" s="890"/>
      <c r="K20" s="890"/>
      <c r="L20" s="890"/>
      <c r="M20" s="890"/>
      <c r="N20" s="890"/>
      <c r="O20" s="890"/>
      <c r="P20" s="890"/>
      <c r="Q20" s="890"/>
      <c r="R20" s="890"/>
      <c r="S20" s="890"/>
      <c r="T20" s="890"/>
      <c r="U20" s="890"/>
      <c r="V20" s="890"/>
      <c r="W20" s="890"/>
      <c r="X20" s="890"/>
      <c r="Y20" s="890"/>
      <c r="Z20" s="890"/>
      <c r="AA20" s="890"/>
      <c r="AB20" s="208"/>
      <c r="AC20" s="204"/>
      <c r="AD20" s="891"/>
      <c r="AE20" s="892"/>
      <c r="AF20" s="892"/>
      <c r="AG20" s="893"/>
      <c r="AH20" s="333"/>
      <c r="AI20" s="64"/>
      <c r="AJ20" s="43" t="str">
        <f t="shared" si="1"/>
        <v/>
      </c>
      <c r="AK20" s="64"/>
      <c r="AL20" s="43" t="str">
        <f t="shared" si="2"/>
        <v/>
      </c>
      <c r="AM20" s="43"/>
      <c r="AN20" s="43"/>
      <c r="AO20" s="204"/>
      <c r="AP20" s="55" t="str">
        <f t="shared" si="3"/>
        <v/>
      </c>
      <c r="AQ20" s="43" t="str">
        <f t="shared" si="4"/>
        <v/>
      </c>
      <c r="AR20" s="55" t="str">
        <f t="shared" si="5"/>
        <v/>
      </c>
      <c r="AS20" s="43" t="str">
        <f t="shared" si="6"/>
        <v/>
      </c>
      <c r="AT20" s="43"/>
      <c r="AU20" s="43"/>
      <c r="AV20" s="43"/>
      <c r="AW20" s="894" t="str">
        <f>IF(AR20="N/A",IF($AP20&lt;=AI20,"Qualified","Not Qualified"),IF(AND($AP20="",$AR20=""),"",IF(AND($AP20&lt;=$AI20,$AR20&lt;=$AK20),"Qualified","Not Qualified")))</f>
        <v/>
      </c>
      <c r="AX20" s="894"/>
      <c r="AY20" s="532"/>
      <c r="AZ20" s="43"/>
      <c r="BA20" s="532"/>
      <c r="BB20" s="43"/>
      <c r="BC20" s="43"/>
      <c r="BD20" s="43"/>
      <c r="BE20" s="894"/>
      <c r="BF20" s="894"/>
      <c r="BG20" s="157" t="s">
        <v>142</v>
      </c>
      <c r="BH20" s="895" t="str">
        <f t="shared" si="8"/>
        <v/>
      </c>
      <c r="BI20" s="895"/>
      <c r="BJ20" s="582"/>
      <c r="BQ20" s="298" t="str">
        <f t="shared" si="9"/>
        <v/>
      </c>
      <c r="BR20" s="298" t="str">
        <f t="shared" si="10"/>
        <v/>
      </c>
      <c r="BS20" s="298" t="str">
        <f t="shared" si="0"/>
        <v/>
      </c>
      <c r="BT20" s="298" t="str">
        <f t="shared" si="11"/>
        <v/>
      </c>
      <c r="BU20" s="298" t="str">
        <f t="shared" si="12"/>
        <v/>
      </c>
      <c r="BV20" s="617">
        <f t="shared" si="13"/>
        <v>0</v>
      </c>
      <c r="BW20" s="301">
        <f t="shared" si="14"/>
        <v>0</v>
      </c>
      <c r="BY20" s="94"/>
      <c r="BZ20" s="94"/>
      <c r="CA20" s="94"/>
      <c r="CB20" s="102"/>
      <c r="CC20" s="102"/>
      <c r="CD20" s="102"/>
      <c r="CE20" s="102"/>
      <c r="CF20" s="102"/>
      <c r="CG20" s="102"/>
      <c r="CH20" s="102"/>
      <c r="CI20" s="102"/>
      <c r="CJ20" s="102"/>
      <c r="CK20" s="102"/>
      <c r="CL20" s="102"/>
      <c r="CM20" s="102"/>
      <c r="CN20" s="94"/>
      <c r="CO20" s="94"/>
      <c r="CP20" s="94"/>
      <c r="CQ20" s="94"/>
      <c r="CR20" s="94"/>
      <c r="CS20" s="94"/>
      <c r="CT20" s="94"/>
      <c r="CU20" s="94"/>
      <c r="CV20" s="94"/>
      <c r="CW20" s="94"/>
      <c r="CX20" s="94"/>
      <c r="CY20" s="94"/>
      <c r="CZ20" s="94"/>
    </row>
    <row r="21" spans="1:178" s="22" customFormat="1" ht="13.5" thickBot="1">
      <c r="A21" s="583"/>
      <c r="B21" s="534"/>
      <c r="C21" s="534"/>
      <c r="D21" s="534"/>
      <c r="E21" s="534"/>
      <c r="F21" s="534"/>
      <c r="G21" s="534"/>
      <c r="H21" s="534"/>
      <c r="I21" s="534"/>
      <c r="J21" s="534"/>
      <c r="K21" s="534"/>
      <c r="L21" s="534"/>
      <c r="M21" s="534"/>
      <c r="N21" s="534"/>
      <c r="O21" s="534"/>
      <c r="P21" s="534"/>
      <c r="Q21" s="534"/>
      <c r="R21" s="534"/>
      <c r="S21" s="534"/>
      <c r="T21" s="534"/>
      <c r="U21" s="534"/>
      <c r="V21" s="534"/>
      <c r="W21" s="534"/>
      <c r="X21" s="534"/>
      <c r="Y21" s="534"/>
      <c r="Z21" s="534"/>
      <c r="AA21" s="534"/>
      <c r="AB21" s="534"/>
      <c r="AC21" s="534"/>
      <c r="AD21" s="534"/>
      <c r="AE21" s="534"/>
      <c r="AF21" s="534"/>
      <c r="AG21" s="534"/>
      <c r="AH21" s="534"/>
      <c r="AI21" s="534"/>
      <c r="AJ21" s="534"/>
      <c r="AK21" s="534"/>
      <c r="AL21" s="534"/>
      <c r="AM21" s="534"/>
      <c r="AN21" s="534"/>
      <c r="AO21" s="534"/>
      <c r="AP21" s="534"/>
      <c r="AQ21" s="534"/>
      <c r="AR21" s="534"/>
      <c r="AS21" s="534"/>
      <c r="AT21" s="534"/>
      <c r="AU21" s="534"/>
      <c r="AV21" s="534"/>
      <c r="AW21" s="534"/>
      <c r="AX21" s="534"/>
      <c r="AY21" s="534"/>
      <c r="AZ21" s="534"/>
      <c r="BA21" s="534"/>
      <c r="BB21" s="534"/>
      <c r="BC21" s="534"/>
      <c r="BD21" s="534"/>
      <c r="BE21" s="534"/>
      <c r="BF21" s="534"/>
      <c r="BG21" s="535"/>
      <c r="BH21" s="535"/>
      <c r="BI21" s="535"/>
      <c r="BJ21" s="536"/>
      <c r="BK21" s="1"/>
      <c r="BL21" s="1"/>
      <c r="BM21" s="1"/>
      <c r="BN21" s="1"/>
      <c r="BQ21" s="533"/>
      <c r="BR21" s="533"/>
      <c r="BS21" s="533"/>
      <c r="BT21" s="533"/>
      <c r="BU21" s="533"/>
      <c r="BV21" s="304" t="s">
        <v>2674</v>
      </c>
      <c r="BW21" s="304" t="s">
        <v>2675</v>
      </c>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row>
    <row r="22" spans="1:178" s="22" customFormat="1" ht="12.75">
      <c r="A22" s="381"/>
      <c r="B22" s="381"/>
      <c r="C22" s="381"/>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381"/>
      <c r="AL22" s="381"/>
      <c r="AM22" s="676"/>
      <c r="AN22" s="676"/>
      <c r="AO22" s="381"/>
      <c r="AP22" s="381"/>
      <c r="AQ22" s="381"/>
      <c r="AR22" s="381"/>
      <c r="AS22" s="381"/>
      <c r="AT22" s="676"/>
      <c r="AU22" s="676"/>
      <c r="AV22" s="381"/>
      <c r="AW22" s="381"/>
      <c r="AX22" s="381"/>
      <c r="AY22" s="381"/>
      <c r="AZ22" s="381"/>
      <c r="BA22" s="381"/>
      <c r="BB22" s="25"/>
      <c r="BC22" s="25"/>
      <c r="BD22" s="25"/>
      <c r="BE22" s="25"/>
      <c r="BF22" s="61" t="s">
        <v>2676</v>
      </c>
      <c r="BG22" s="25"/>
      <c r="BH22" s="896" t="str">
        <f>IF(BM11&gt;=1,SUM(BH11:BH20),"")</f>
        <v/>
      </c>
      <c r="BI22" s="896"/>
      <c r="BJ22" s="537"/>
      <c r="BK22" s="1"/>
      <c r="BL22" s="1"/>
      <c r="BM22" s="1"/>
      <c r="BN22" s="1"/>
      <c r="BQ22" s="533"/>
      <c r="BR22" s="533"/>
      <c r="BS22" s="533"/>
      <c r="BT22" s="533"/>
      <c r="BU22" s="533"/>
      <c r="BV22" s="302">
        <f>SUM(BV11:BV20)</f>
        <v>0</v>
      </c>
      <c r="BW22" s="299">
        <f>SUM(BW11:BW20)</f>
        <v>0</v>
      </c>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row>
    <row r="23" spans="1:178" s="22" customFormat="1" ht="16.5" thickBot="1">
      <c r="A23" s="62" t="s">
        <v>2677</v>
      </c>
      <c r="B23" s="208"/>
      <c r="C23" s="208"/>
      <c r="D23" s="208"/>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678"/>
      <c r="AN23" s="678"/>
      <c r="AO23" s="208"/>
      <c r="AP23" s="208"/>
      <c r="AQ23" s="208"/>
      <c r="AR23" s="208"/>
      <c r="AS23" s="208"/>
      <c r="AT23" s="678"/>
      <c r="AU23" s="678"/>
      <c r="AV23" s="208"/>
      <c r="AW23" s="208"/>
      <c r="AX23" s="208"/>
      <c r="AY23" s="208"/>
      <c r="AZ23" s="208"/>
      <c r="BA23" s="208"/>
      <c r="BB23" s="208"/>
      <c r="BC23" s="678"/>
      <c r="BD23" s="678"/>
      <c r="BE23" s="208"/>
      <c r="BF23" s="208"/>
      <c r="BG23" s="530"/>
      <c r="BH23" s="530"/>
      <c r="BI23" s="530"/>
      <c r="BJ23" s="538"/>
      <c r="BK23" s="1"/>
      <c r="BL23" s="1"/>
      <c r="BM23" s="1"/>
      <c r="BN23" s="1"/>
      <c r="BQ23" s="533"/>
      <c r="BR23" s="533"/>
      <c r="BS23" s="533"/>
      <c r="BT23" s="533"/>
      <c r="BU23" s="533"/>
      <c r="BV23" s="533"/>
      <c r="BW23" s="533"/>
      <c r="BY23" s="102"/>
      <c r="BZ23" s="102"/>
      <c r="CA23" s="102"/>
      <c r="CB23" s="208"/>
      <c r="CC23" s="208"/>
      <c r="CD23" s="208"/>
      <c r="CE23" s="208"/>
      <c r="CF23" s="208"/>
      <c r="CG23" s="208"/>
      <c r="CH23" s="208"/>
      <c r="CI23" s="208"/>
      <c r="CJ23" s="208"/>
      <c r="CK23" s="208"/>
      <c r="CL23" s="208"/>
      <c r="CM23" s="102"/>
      <c r="CN23" s="102"/>
      <c r="CO23" s="102"/>
      <c r="CP23" s="102"/>
      <c r="CQ23" s="102"/>
      <c r="CR23" s="102"/>
      <c r="CS23" s="102"/>
      <c r="CT23" s="102"/>
      <c r="CU23" s="102"/>
      <c r="CV23" s="102"/>
      <c r="CW23" s="102"/>
      <c r="CX23" s="102"/>
      <c r="CY23" s="102"/>
      <c r="CZ23" s="102"/>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row>
    <row r="24" spans="1:178" s="22" customFormat="1" ht="15.75">
      <c r="A24" s="543"/>
      <c r="B24" s="381"/>
      <c r="C24" s="381"/>
      <c r="D24" s="381"/>
      <c r="E24" s="381"/>
      <c r="F24" s="381"/>
      <c r="G24" s="381"/>
      <c r="H24" s="381"/>
      <c r="I24" s="381"/>
      <c r="J24" s="381"/>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c r="AL24" s="381"/>
      <c r="AM24" s="676"/>
      <c r="AN24" s="676"/>
      <c r="AO24" s="381"/>
      <c r="AP24" s="905" t="s">
        <v>2655</v>
      </c>
      <c r="AQ24" s="905"/>
      <c r="AR24" s="905"/>
      <c r="AS24" s="905"/>
      <c r="AT24" s="905"/>
      <c r="AU24" s="905"/>
      <c r="AV24" s="905"/>
      <c r="AW24" s="905"/>
      <c r="AX24" s="905"/>
      <c r="AY24" s="905"/>
      <c r="AZ24" s="905"/>
      <c r="BA24" s="905"/>
      <c r="BB24" s="905"/>
      <c r="BC24" s="905"/>
      <c r="BD24" s="905"/>
      <c r="BE24" s="905"/>
      <c r="BF24" s="905"/>
      <c r="BG24" s="881" t="s">
        <v>2678</v>
      </c>
      <c r="BH24" s="881"/>
      <c r="BI24" s="881"/>
      <c r="BJ24" s="225"/>
      <c r="BK24" s="1"/>
      <c r="BL24" s="1"/>
      <c r="BM24" s="1"/>
      <c r="BN24" s="1"/>
      <c r="BQ24" s="906" t="s">
        <v>2679</v>
      </c>
      <c r="BR24" s="907"/>
      <c r="BS24" s="907"/>
      <c r="BT24" s="907"/>
      <c r="BU24" s="907"/>
      <c r="BV24" s="907"/>
      <c r="BW24" s="908"/>
      <c r="BY24" s="102"/>
      <c r="BZ24" s="102"/>
      <c r="CA24" s="102"/>
      <c r="CB24" s="208"/>
      <c r="CC24" s="208"/>
      <c r="CD24" s="208"/>
      <c r="CE24" s="208"/>
      <c r="CF24" s="208"/>
      <c r="CG24" s="208"/>
      <c r="CH24" s="208"/>
      <c r="CI24" s="208"/>
      <c r="CJ24" s="208"/>
      <c r="CK24" s="208"/>
      <c r="CL24" s="208"/>
      <c r="CM24" s="102"/>
      <c r="CN24" s="102"/>
      <c r="CO24" s="102"/>
      <c r="CP24" s="102"/>
      <c r="CQ24" s="102"/>
      <c r="CR24" s="102"/>
      <c r="CS24" s="102"/>
      <c r="CT24" s="102"/>
      <c r="CU24" s="102"/>
      <c r="CV24" s="102"/>
      <c r="CW24" s="102"/>
      <c r="CX24" s="102"/>
      <c r="CY24" s="102"/>
      <c r="CZ24" s="102"/>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row>
    <row r="25" spans="1:178" s="22" customFormat="1" ht="20.45" customHeight="1">
      <c r="A25" s="519"/>
      <c r="B25" s="208"/>
      <c r="C25" s="49"/>
      <c r="D25" s="208"/>
      <c r="E25" s="208"/>
      <c r="F25" s="50"/>
      <c r="G25" s="50"/>
      <c r="H25" s="50"/>
      <c r="I25" s="50"/>
      <c r="J25" s="50"/>
      <c r="K25" s="50"/>
      <c r="L25" s="50"/>
      <c r="M25" s="50"/>
      <c r="N25" s="50"/>
      <c r="O25" s="50"/>
      <c r="P25" s="50"/>
      <c r="Q25" s="208"/>
      <c r="R25" s="546"/>
      <c r="S25" s="546"/>
      <c r="T25" s="546"/>
      <c r="U25" s="546"/>
      <c r="V25" s="204"/>
      <c r="W25" s="909" t="s">
        <v>2680</v>
      </c>
      <c r="X25" s="909"/>
      <c r="Y25" s="909"/>
      <c r="Z25" s="909"/>
      <c r="AA25" s="909"/>
      <c r="AB25" s="909"/>
      <c r="AC25" s="204"/>
      <c r="AD25" s="204"/>
      <c r="AE25" s="204"/>
      <c r="AF25" s="204"/>
      <c r="AG25" s="204"/>
      <c r="AH25" s="51"/>
      <c r="AI25" s="51" t="s">
        <v>2681</v>
      </c>
      <c r="AJ25" s="204"/>
      <c r="AK25" s="52" t="s">
        <v>2682</v>
      </c>
      <c r="AL25" s="204"/>
      <c r="AM25" s="52" t="s">
        <v>3322</v>
      </c>
      <c r="AN25" s="677"/>
      <c r="AO25" s="204"/>
      <c r="AP25" s="910" t="s">
        <v>2683</v>
      </c>
      <c r="AQ25" s="910"/>
      <c r="AR25" s="910"/>
      <c r="AS25" s="910"/>
      <c r="AT25" s="910"/>
      <c r="AU25" s="910"/>
      <c r="AV25" s="910"/>
      <c r="AW25" s="910"/>
      <c r="AX25" s="910"/>
      <c r="AY25" s="910" t="s">
        <v>2684</v>
      </c>
      <c r="AZ25" s="910"/>
      <c r="BA25" s="910"/>
      <c r="BB25" s="910"/>
      <c r="BC25" s="910"/>
      <c r="BD25" s="910"/>
      <c r="BE25" s="910"/>
      <c r="BF25" s="910"/>
      <c r="BG25" s="882"/>
      <c r="BH25" s="882"/>
      <c r="BI25" s="882"/>
      <c r="BJ25" s="53"/>
      <c r="BK25" s="1"/>
      <c r="BL25" s="1"/>
      <c r="BM25" s="1"/>
      <c r="BN25" s="1"/>
      <c r="BQ25" s="84"/>
      <c r="BR25" s="84"/>
      <c r="BS25" s="84"/>
      <c r="BT25" s="84"/>
      <c r="BU25" s="84"/>
      <c r="BV25" s="84"/>
      <c r="BW25" s="84"/>
      <c r="BY25" s="102"/>
      <c r="BZ25" s="102"/>
      <c r="CA25" s="102"/>
      <c r="CB25" s="200"/>
      <c r="CC25" s="200"/>
      <c r="CD25" s="200"/>
      <c r="CE25" s="200"/>
      <c r="CF25" s="204"/>
      <c r="CG25" s="909" t="s">
        <v>2680</v>
      </c>
      <c r="CH25" s="909"/>
      <c r="CI25" s="909"/>
      <c r="CJ25" s="909"/>
      <c r="CK25" s="909"/>
      <c r="CL25" s="909"/>
      <c r="CM25" s="102"/>
      <c r="CN25" s="102"/>
      <c r="CO25" s="102"/>
      <c r="CP25" s="102"/>
      <c r="CQ25" s="102"/>
      <c r="CR25" s="102"/>
      <c r="CS25" s="102"/>
      <c r="CT25" s="102"/>
      <c r="CU25" s="102"/>
      <c r="CV25" s="102"/>
      <c r="CW25" s="102"/>
      <c r="CX25" s="102"/>
      <c r="CY25" s="102"/>
      <c r="CZ25" s="102"/>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row>
    <row r="26" spans="1:178" s="22" customFormat="1" ht="24.6" customHeight="1">
      <c r="A26" s="48"/>
      <c r="B26" s="159" t="s">
        <v>2661</v>
      </c>
      <c r="C26" s="411"/>
      <c r="D26" s="159" t="s">
        <v>2662</v>
      </c>
      <c r="E26" s="159"/>
      <c r="F26" s="159" t="s">
        <v>2663</v>
      </c>
      <c r="G26" s="50"/>
      <c r="H26" s="50"/>
      <c r="I26" s="50"/>
      <c r="J26" s="50"/>
      <c r="K26" s="50"/>
      <c r="L26" s="50"/>
      <c r="M26" s="50"/>
      <c r="N26" s="50"/>
      <c r="O26" s="50"/>
      <c r="P26" s="50"/>
      <c r="Q26" s="208"/>
      <c r="R26" s="546"/>
      <c r="S26" s="546"/>
      <c r="T26" s="546"/>
      <c r="U26" s="546"/>
      <c r="V26" s="204"/>
      <c r="W26" s="909"/>
      <c r="X26" s="909"/>
      <c r="Y26" s="909"/>
      <c r="Z26" s="909"/>
      <c r="AA26" s="909"/>
      <c r="AB26" s="909"/>
      <c r="AC26" s="204"/>
      <c r="AD26" s="159" t="s">
        <v>2664</v>
      </c>
      <c r="AE26" s="197"/>
      <c r="AF26" s="159"/>
      <c r="AG26" s="159"/>
      <c r="AH26" s="410"/>
      <c r="AI26" s="159" t="s">
        <v>2665</v>
      </c>
      <c r="AJ26" s="197"/>
      <c r="AK26" s="159" t="s">
        <v>2665</v>
      </c>
      <c r="AL26" s="204"/>
      <c r="AM26" s="159" t="s">
        <v>2665</v>
      </c>
      <c r="AN26" s="677"/>
      <c r="AO26" s="204"/>
      <c r="AP26" s="911" t="s">
        <v>2685</v>
      </c>
      <c r="AQ26" s="911"/>
      <c r="AR26" s="911"/>
      <c r="AS26" s="911"/>
      <c r="AT26" s="911"/>
      <c r="AU26" s="911"/>
      <c r="AV26" s="911"/>
      <c r="AW26" s="911"/>
      <c r="AX26" s="50"/>
      <c r="AY26" s="911" t="s">
        <v>2686</v>
      </c>
      <c r="AZ26" s="911"/>
      <c r="BA26" s="911"/>
      <c r="BB26" s="911"/>
      <c r="BC26" s="911"/>
      <c r="BD26" s="911"/>
      <c r="BE26" s="911"/>
      <c r="BF26" s="50"/>
      <c r="BG26" s="882"/>
      <c r="BH26" s="882"/>
      <c r="BI26" s="882"/>
      <c r="BJ26" s="53"/>
      <c r="BK26" s="1"/>
      <c r="BL26" s="1"/>
      <c r="BM26" s="1"/>
      <c r="BN26" s="1"/>
      <c r="BQ26" s="542" t="s">
        <v>2667</v>
      </c>
      <c r="BR26" s="542" t="s">
        <v>2668</v>
      </c>
      <c r="BS26" s="542" t="s">
        <v>2669</v>
      </c>
      <c r="BT26" s="542" t="s">
        <v>2670</v>
      </c>
      <c r="BU26" s="542" t="s">
        <v>2671</v>
      </c>
      <c r="BV26" s="306" t="s">
        <v>2687</v>
      </c>
      <c r="BW26" s="307" t="s">
        <v>2688</v>
      </c>
      <c r="BY26" s="102"/>
      <c r="BZ26" s="102"/>
      <c r="CA26" s="102"/>
      <c r="CB26" s="200"/>
      <c r="CC26" s="200"/>
      <c r="CD26" s="200"/>
      <c r="CE26" s="200"/>
      <c r="CF26" s="204"/>
      <c r="CG26" s="909"/>
      <c r="CH26" s="909"/>
      <c r="CI26" s="909"/>
      <c r="CJ26" s="909"/>
      <c r="CK26" s="909"/>
      <c r="CL26" s="909"/>
      <c r="CM26" s="102"/>
      <c r="CN26" s="102"/>
      <c r="CO26" s="102"/>
      <c r="CP26" s="102"/>
      <c r="CQ26" s="102"/>
      <c r="CR26" s="102"/>
      <c r="CS26" s="102"/>
      <c r="CT26" s="102"/>
      <c r="CU26" s="102"/>
      <c r="CV26" s="102"/>
      <c r="CW26" s="102"/>
      <c r="CX26" s="102"/>
      <c r="CY26" s="102"/>
      <c r="CZ26" s="102"/>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row>
    <row r="27" spans="1:178" ht="14.1" customHeight="1">
      <c r="A27" s="54"/>
      <c r="B27" s="64"/>
      <c r="C27" s="333"/>
      <c r="D27" s="64"/>
      <c r="E27" s="231"/>
      <c r="F27" s="890"/>
      <c r="G27" s="890"/>
      <c r="H27" s="890"/>
      <c r="I27" s="890"/>
      <c r="J27" s="890"/>
      <c r="K27" s="890"/>
      <c r="L27" s="890"/>
      <c r="M27" s="890"/>
      <c r="N27" s="890"/>
      <c r="O27" s="890"/>
      <c r="P27" s="890"/>
      <c r="Q27" s="890"/>
      <c r="R27" s="890"/>
      <c r="S27" s="890"/>
      <c r="T27" s="890"/>
      <c r="U27" s="890"/>
      <c r="V27" s="382"/>
      <c r="W27" s="912" t="str">
        <f>'HVAC Efficiency Tables'!$Z249</f>
        <v/>
      </c>
      <c r="X27" s="912"/>
      <c r="Y27" s="912"/>
      <c r="Z27" s="912"/>
      <c r="AA27" s="912"/>
      <c r="AB27" s="912"/>
      <c r="AC27" s="204"/>
      <c r="AD27" s="890"/>
      <c r="AE27" s="890"/>
      <c r="AF27" s="890"/>
      <c r="AG27" s="890"/>
      <c r="AH27" s="333"/>
      <c r="AI27" s="64"/>
      <c r="AJ27" s="43" t="str">
        <f>IF(OR(D27="",AW27="Ineligible"),"","SEER")</f>
        <v/>
      </c>
      <c r="AK27" s="64"/>
      <c r="AL27" s="43" t="str">
        <f>IF(OR(B27="",AW27="Ineligible",AR27="N/A"),"",IF(D27&lt;=5,"EER","IEER"))</f>
        <v/>
      </c>
      <c r="AM27" s="64"/>
      <c r="AN27" s="43" t="str">
        <f>IF(OR(D27="",$BT$1&lt;&gt;"Electric"),"","HSPF")</f>
        <v/>
      </c>
      <c r="AO27" s="204"/>
      <c r="AP27" s="55" t="str">
        <f>IFERROR(IF(OR(D27="",W27="",W27="Please Select"),"",VLOOKUP('HVAC Efficiency Tables'!X249&amp;'HVAC Efficiency Tables'!Y249&amp;W27,HVACEfficiencies,3,FALSE)),"")</f>
        <v/>
      </c>
      <c r="AQ27" s="43" t="str">
        <f>IF(OR(AP27="N/A",AP27=""),"","SEER")</f>
        <v/>
      </c>
      <c r="AR27" s="55" t="str">
        <f>IFERROR(IF(OR(D27="",W27="",W27="Please Select"),"",VLOOKUP('HVAC Efficiency Tables'!X249&amp;'HVAC Efficiency Tables'!Y249&amp;W27,HVACEfficiencies,8,FALSE)),"")</f>
        <v/>
      </c>
      <c r="AS27" s="43" t="str">
        <f>IF(OR(AR27="N/A",AR27=""),"",IF(D27&lt;=5,"EER","IEER"))</f>
        <v/>
      </c>
      <c r="AT27" s="702" t="str">
        <f>IFERROR(IF(OR(D27="",W27="",W27="Please Select"),"",VLOOKUP('HVAC Efficiency Tables'!X249&amp;'HVAC Efficiency Tables'!Y249&amp;W27,HVACEfficiencies,12,FALSE)),"")</f>
        <v/>
      </c>
      <c r="AU27" s="43" t="str">
        <f>IF(OR(AT27="N/A",AT27=""),"","HSPF")</f>
        <v/>
      </c>
      <c r="AV27" s="43"/>
      <c r="AW27" s="894" t="str">
        <f>IF(AND(AY27&lt;=AI27,BA27&lt;=AR27),"",IF(OR(AI27="",$AP27="",AP27="N/A",AM27=""),"",IF(AND($AY27&lt;=AI27,$BA27&lt;=AK27),"",IF(AND($AP27&lt;=AI27,OR($AR27&lt;=AK27,$AR27="N/A"),$AT27&lt;=AM27),"Qualified","Not Qualified"))))</f>
        <v/>
      </c>
      <c r="AX27" s="894"/>
      <c r="AY27" s="55" t="str">
        <f>IFERROR(IF(OR(D27="",W27="",W27="Please Select"),"",VLOOKUP('HVAC Efficiency Tables'!X249&amp;'HVAC Efficiency Tables'!Y249&amp;W27,HVACEfficiencies,5,FALSE)),"")</f>
        <v/>
      </c>
      <c r="AZ27" s="43" t="str">
        <f>IF(OR(AY27="N/A",AY27=""),"","SEER")</f>
        <v/>
      </c>
      <c r="BA27" s="55" t="str">
        <f>IFERROR(IF(OR(D27="",W27="",W27="Please Select"),"",VLOOKUP('HVAC Efficiency Tables'!X249&amp;'HVAC Efficiency Tables'!Y249&amp;W27,HVACEfficiencies,9,FALSE)),"")</f>
        <v/>
      </c>
      <c r="BB27" s="43" t="str">
        <f>IF(OR(BA27="N/A",BA27=""),"",IF(D27&lt;=5,"EER","IEER"))</f>
        <v/>
      </c>
      <c r="BC27" s="702" t="str">
        <f>IFERROR(IF(OR(D27="",W27="",W27="Please Select"),"",VLOOKUP('HVAC Efficiency Tables'!X249&amp;'HVAC Efficiency Tables'!Y249&amp;W27,HVACEfficiencies,13,FALSE)),"")</f>
        <v/>
      </c>
      <c r="BD27" s="43" t="str">
        <f>IF(OR(BC27="N/A",BC27=""),"","HSPF")</f>
        <v/>
      </c>
      <c r="BE27" s="894" t="str">
        <f>IF(OR(AI27="",$AY27="",$AY27="N/A"),"",IF(AND($AY27&lt;=AI27,OR($BA27&lt;=AK27,$BA27="N/A")),"Qualified","Not Qualified"))</f>
        <v/>
      </c>
      <c r="BF27" s="894"/>
      <c r="BG27" s="157" t="s">
        <v>142</v>
      </c>
      <c r="BH27" s="895" t="str">
        <f>IF(AW27="Qualified",D27*B27*75,IF(BE27="Qualified",B27*D27*125,""))</f>
        <v/>
      </c>
      <c r="BI27" s="895"/>
      <c r="BJ27" s="582"/>
      <c r="BM27" s="296">
        <f>COUNTIF(AW26:AW36,"Qualified")+COUNTIF(BE26:BE36,"Qualified")</f>
        <v>0</v>
      </c>
      <c r="BQ27" s="298" t="b">
        <f>IF($BR$1="ID",IF(AND($AW27="Qualified",AM27&gt;=AT27),602.42,IF(AND($BE27="Qualified",AM27&gt;=BC27),629.66,"")),IF($BR$1="OR",IF(AND($AW27="Qualified",AM27&gt;=AT27),856.08,IF(AND($BE27="Qualified",AM27&gt;=BC27),882.56,
IF($BR$1="ID",IF($AW27="Qualified",0,IF($BE27="Qualified",18.78,"")),IF($BR$1="OR",IF($AW27="Qualified",0,IF($BE27="Qualified",14.45,""))))))))</f>
        <v>0</v>
      </c>
      <c r="BR27" s="298" t="b">
        <f>IF($BR$1="ID",IF(AND($AW27="Qualified",AM27&gt;=AT27),0,IF(AND($BE27="Qualified",AM27&gt;=BC27),27.25,"")),IF($BR$1="OR",IF(AND($AW27="Qualified",AM27&gt;=AT27),0,IF(AND($BE27="Qualified",AM27&gt;=BC27),26.49,
IF($BR$1="ID",IF($AW27="Qualified",0,IF($BE27="Qualified",18.78,"")),IF($BR$1="OR",IF($AW27="Qualified",0,IF($BE27="Qualified",14.45,""))))))))</f>
        <v>0</v>
      </c>
      <c r="BS27" s="298">
        <f>IFERROR(ROUND((BQ27*52%)+(BR27*48%),2),"")</f>
        <v>0</v>
      </c>
      <c r="BT27" s="298" t="b">
        <f>IF($BR$1="ID",IF($AW27="Qualified",0,IF($BE27="Qualified",18.78,"")),IF($BR$1="OR",IF($AW27="Qualified",0,IF($BE27="Qualified",14.45,""))))</f>
        <v>0</v>
      </c>
      <c r="BU27" s="298" t="b">
        <f>IF($BR$1="ID",IF($AW27="Qualified",0,IF($BE27="Qualified",35/1000,"")),IF($BR$1="OR",IF($AW27="Qualified",0,IF($BE27="Qualified",35/1000,""))))</f>
        <v>0</v>
      </c>
      <c r="BV27" s="617">
        <f>IF(OR(AW27="Qualified",BE27="Qualified"),IF($BT$1="Electric",BS27,BT27)*(B27*D27),0)</f>
        <v>0</v>
      </c>
      <c r="BW27" s="301">
        <f>IF(OR(AW27="Qualified",BE27="Qualified"),BU27*(B27*D27),0)</f>
        <v>0</v>
      </c>
      <c r="BY27" s="94"/>
      <c r="BZ27" s="94"/>
      <c r="CA27" s="94"/>
      <c r="CB27" s="200"/>
      <c r="CC27" s="200"/>
      <c r="CD27" s="200"/>
      <c r="CE27" s="200"/>
      <c r="CF27" s="382"/>
      <c r="CG27" s="912" t="str">
        <f>'HVAC Efficiency Tables'!$Z249</f>
        <v/>
      </c>
      <c r="CH27" s="912"/>
      <c r="CI27" s="912"/>
      <c r="CJ27" s="912"/>
      <c r="CK27" s="912"/>
      <c r="CL27" s="912"/>
      <c r="CM27" s="94"/>
      <c r="CN27" s="94"/>
      <c r="CO27" s="94"/>
      <c r="CP27" s="94"/>
      <c r="CQ27" s="94"/>
      <c r="CR27" s="94"/>
      <c r="CS27" s="94"/>
      <c r="CT27" s="94"/>
      <c r="CU27" s="94"/>
      <c r="CV27" s="94"/>
      <c r="CW27" s="94"/>
      <c r="CX27" s="94"/>
      <c r="CY27" s="94"/>
      <c r="CZ27" s="94"/>
    </row>
    <row r="28" spans="1:178" ht="14.1" customHeight="1">
      <c r="A28" s="54"/>
      <c r="B28" s="64"/>
      <c r="C28" s="333"/>
      <c r="D28" s="64"/>
      <c r="E28" s="231"/>
      <c r="F28" s="890"/>
      <c r="G28" s="890"/>
      <c r="H28" s="890"/>
      <c r="I28" s="890"/>
      <c r="J28" s="890"/>
      <c r="K28" s="890"/>
      <c r="L28" s="890"/>
      <c r="M28" s="890"/>
      <c r="N28" s="890"/>
      <c r="O28" s="890"/>
      <c r="P28" s="890"/>
      <c r="Q28" s="890"/>
      <c r="R28" s="890"/>
      <c r="S28" s="890"/>
      <c r="T28" s="890"/>
      <c r="U28" s="890"/>
      <c r="V28" s="382"/>
      <c r="W28" s="912" t="str">
        <f>'HVAC Efficiency Tables'!$Z250</f>
        <v/>
      </c>
      <c r="X28" s="912"/>
      <c r="Y28" s="912"/>
      <c r="Z28" s="912"/>
      <c r="AA28" s="912"/>
      <c r="AB28" s="912"/>
      <c r="AC28" s="204"/>
      <c r="AD28" s="890"/>
      <c r="AE28" s="890"/>
      <c r="AF28" s="890"/>
      <c r="AG28" s="890"/>
      <c r="AH28" s="333"/>
      <c r="AI28" s="64"/>
      <c r="AJ28" s="43" t="str">
        <f t="shared" ref="AJ28:AJ36" si="15">IF(OR(D28="",AW28="Ineligible"),"","SEER")</f>
        <v/>
      </c>
      <c r="AK28" s="64"/>
      <c r="AL28" s="43" t="str">
        <f t="shared" ref="AL28:AL36" si="16">IF(OR(B28="",AW28="Ineligible",AR28="N/A"),"",IF(D28&lt;=5,"EER","IEER"))</f>
        <v/>
      </c>
      <c r="AM28" s="64"/>
      <c r="AN28" s="43" t="str">
        <f t="shared" ref="AN28:AN36" si="17">IF(OR(D28="",$BT$1&lt;&gt;"Electric"),"","HSPF")</f>
        <v/>
      </c>
      <c r="AO28" s="204"/>
      <c r="AP28" s="55" t="str">
        <f>IFERROR(IF(OR(D28="",W28="",W28="Please Select"),"",VLOOKUP('HVAC Efficiency Tables'!X250&amp;'HVAC Efficiency Tables'!Y250&amp;W28,HVACEfficiencies,3,FALSE)),"")</f>
        <v/>
      </c>
      <c r="AQ28" s="43" t="str">
        <f t="shared" ref="AQ28:AQ36" si="18">IF(OR(AP28="N/A",AP28=""),"","SEER")</f>
        <v/>
      </c>
      <c r="AR28" s="55" t="str">
        <f>IFERROR(IF(OR(D28="",W28="",W28="Please Select"),"",VLOOKUP('HVAC Efficiency Tables'!X250&amp;'HVAC Efficiency Tables'!Y250&amp;W28,HVACEfficiencies,8,FALSE)),"")</f>
        <v/>
      </c>
      <c r="AS28" s="43" t="str">
        <f t="shared" ref="AS28:AS36" si="19">IF(OR(AR28="N/A",AR28=""),"",IF(D28&lt;=5,"EER","IEER"))</f>
        <v/>
      </c>
      <c r="AT28" s="702" t="str">
        <f>IFERROR(IF(OR(D28="",W28="",W28="Please Select"),"",VLOOKUP('HVAC Efficiency Tables'!X250&amp;'HVAC Efficiency Tables'!Y250&amp;W28,HVACEfficiencies,12,FALSE)),"")</f>
        <v/>
      </c>
      <c r="AU28" s="43" t="str">
        <f t="shared" ref="AU28:AU36" si="20">IF(OR(AT28="N/A",AT28=""),"","HSPF")</f>
        <v/>
      </c>
      <c r="AV28" s="43"/>
      <c r="AW28" s="894" t="str">
        <f t="shared" ref="AW28:AW36" si="21">IF(AND(AY28&lt;=AI28,BA28&lt;=AR28),"",IF(OR(AI28="",$AP28="",AP28="N/A",AM28=""),"",IF(AND($AY28&lt;=AI28,$BA28&lt;=AK28),"",IF(AND($AP28&lt;=AI28,OR($AR28&lt;=AK28,$AR28="N/A"),$AT28&lt;=AM28),"Qualified","Not Qualified"))))</f>
        <v/>
      </c>
      <c r="AX28" s="894"/>
      <c r="AY28" s="55" t="str">
        <f>IFERROR(IF(OR(D28="",W28="",W28="Please Select"),"",VLOOKUP('HVAC Efficiency Tables'!X250&amp;'HVAC Efficiency Tables'!Y250&amp;W28,HVACEfficiencies,5,FALSE)),"")</f>
        <v/>
      </c>
      <c r="AZ28" s="43" t="str">
        <f t="shared" ref="AZ28:AZ36" si="22">IF(OR(AY28="N/A",AY28=""),"","SEER")</f>
        <v/>
      </c>
      <c r="BA28" s="55" t="str">
        <f>IFERROR(IF(OR(D28="",W28="",W28="Please Select"),"",VLOOKUP('HVAC Efficiency Tables'!X250&amp;'HVAC Efficiency Tables'!Y250&amp;W28,HVACEfficiencies,9,FALSE)),"")</f>
        <v/>
      </c>
      <c r="BB28" s="43" t="str">
        <f t="shared" ref="BB28:BB36" si="23">IF(OR(BA28="N/A",BA28=""),"",IF(D28&lt;=5,"EER","IEER"))</f>
        <v/>
      </c>
      <c r="BC28" s="702" t="str">
        <f>IFERROR(IF(OR(D28="",W28="",W28="Please Select"),"",VLOOKUP('HVAC Efficiency Tables'!X250&amp;'HVAC Efficiency Tables'!Y250&amp;W28,HVACEfficiencies,13,FALSE)),"")</f>
        <v/>
      </c>
      <c r="BD28" s="43" t="str">
        <f t="shared" ref="BD28:BD36" si="24">IF(OR(BC28="N/A",BC28=""),"","HSPF")</f>
        <v/>
      </c>
      <c r="BE28" s="894" t="str">
        <f t="shared" ref="BE28:BE36" si="25">IF(OR(AI28="",$AY28="",$AY28="N/A"),"",IF(AND($AY28&lt;=AI28,OR($BA28&lt;=AK28,$BA28="N/A")),"Qualified","Not Qualified"))</f>
        <v/>
      </c>
      <c r="BF28" s="894"/>
      <c r="BG28" s="157" t="s">
        <v>142</v>
      </c>
      <c r="BH28" s="895" t="str">
        <f t="shared" ref="BH28:BH36" si="26">IF(AW28="Qualified",D28*B28*75,IF(BE28="Qualified",B28*D28*125,""))</f>
        <v/>
      </c>
      <c r="BI28" s="895"/>
      <c r="BJ28" s="582"/>
      <c r="BQ28" s="298" t="b">
        <f t="shared" ref="BQ28:BQ36" si="27">IF($BR$1="ID",IF(AND($AW28="Qualified",AM28&gt;=AT28),602.42,IF(AND($BE28="Qualified",AM28&gt;=BC28),629.66,"")),IF($BR$1="OR",IF(AND($AW28="Qualified",AM28&gt;=AT28),856.08,IF(AND($BE28="Qualified",AM28&gt;=BC28),882.56,
IF($BR$1="ID",IF($AW28="Qualified",0,IF($BE28="Qualified",18.78,"")),IF($BR$1="OR",IF($AW28="Qualified",0,IF($BE28="Qualified",14.45,""))))))))</f>
        <v>0</v>
      </c>
      <c r="BR28" s="298" t="b">
        <f t="shared" ref="BR28:BR36" si="28">IF($BR$1="ID",IF(AND($AW28="Qualified",AM28&gt;=AT28),0,IF(AND($BE28="Qualified",AM28&gt;=BC28),27.25,"")),IF($BR$1="OR",IF(AND($AW28="Qualified",AM28&gt;=AT28),0,IF(AND($BE28="Qualified",AM28&gt;=BC28),26.49,
IF($BR$1="ID",IF($AW28="Qualified",0,IF($BE28="Qualified",18.78,"")),IF($BR$1="OR",IF($AW28="Qualified",0,IF($BE28="Qualified",14.45,""))))))))</f>
        <v>0</v>
      </c>
      <c r="BS28" s="298">
        <f t="shared" ref="BS28:BS36" si="29">IFERROR(ROUND((BQ28*52%)+(BR28*48%),2),"")</f>
        <v>0</v>
      </c>
      <c r="BT28" s="298" t="b">
        <f t="shared" ref="BT28:BT36" si="30">IF($BR$1="ID",IF($AW28="Qualified",0,IF($BE28="Qualified",18.78,"")),IF($BR$1="OR",IF($AW28="Qualified",0,IF($BE28="Qualified",14.45,""))))</f>
        <v>0</v>
      </c>
      <c r="BU28" s="298" t="b">
        <f t="shared" ref="BU28:BU36" si="31">IF($BR$1="ID",IF($AW28="Qualified",0,IF($BE28="Qualified",35/1000,"")),IF($BR$1="OR",IF($AW28="Qualified",0,IF($BE28="Qualified",35/1000,""))))</f>
        <v>0</v>
      </c>
      <c r="BV28" s="617">
        <f t="shared" ref="BV28:BV36" si="32">IF(OR(AW28="Qualified",BE28="Qualified"),IF($BT$1="Electric",BS28,BT28)*(B28*D28),0)</f>
        <v>0</v>
      </c>
      <c r="BW28" s="301">
        <f t="shared" ref="BW28:BW36" si="33">IF(OR(AW28="Qualified",BE28="Qualified"),BU28*(B28*D28),0)</f>
        <v>0</v>
      </c>
      <c r="BY28" s="94"/>
      <c r="BZ28" s="94"/>
      <c r="CA28" s="94"/>
      <c r="CB28" s="200"/>
      <c r="CC28" s="200"/>
      <c r="CD28" s="200"/>
      <c r="CE28" s="200"/>
      <c r="CF28" s="382"/>
      <c r="CG28" s="912" t="str">
        <f>'HVAC Efficiency Tables'!$Z250</f>
        <v/>
      </c>
      <c r="CH28" s="912"/>
      <c r="CI28" s="912"/>
      <c r="CJ28" s="912"/>
      <c r="CK28" s="912"/>
      <c r="CL28" s="912"/>
      <c r="CM28" s="94"/>
      <c r="CN28" s="94"/>
      <c r="CO28" s="94"/>
      <c r="CP28" s="94"/>
      <c r="CQ28" s="94"/>
      <c r="CR28" s="94"/>
      <c r="CS28" s="94"/>
      <c r="CT28" s="94"/>
      <c r="CU28" s="94"/>
      <c r="CV28" s="94"/>
      <c r="CW28" s="94"/>
      <c r="CX28" s="94"/>
      <c r="CY28" s="94"/>
      <c r="CZ28" s="94"/>
    </row>
    <row r="29" spans="1:178" ht="14.1" customHeight="1">
      <c r="A29" s="54"/>
      <c r="B29" s="64"/>
      <c r="C29" s="333"/>
      <c r="D29" s="64"/>
      <c r="E29" s="231"/>
      <c r="F29" s="890"/>
      <c r="G29" s="890"/>
      <c r="H29" s="890"/>
      <c r="I29" s="890"/>
      <c r="J29" s="890"/>
      <c r="K29" s="890"/>
      <c r="L29" s="890"/>
      <c r="M29" s="890"/>
      <c r="N29" s="890"/>
      <c r="O29" s="890"/>
      <c r="P29" s="890"/>
      <c r="Q29" s="890"/>
      <c r="R29" s="890"/>
      <c r="S29" s="890"/>
      <c r="T29" s="890"/>
      <c r="U29" s="890"/>
      <c r="V29" s="382"/>
      <c r="W29" s="912" t="str">
        <f>'HVAC Efficiency Tables'!$Z251</f>
        <v/>
      </c>
      <c r="X29" s="912"/>
      <c r="Y29" s="912"/>
      <c r="Z29" s="912"/>
      <c r="AA29" s="912"/>
      <c r="AB29" s="912"/>
      <c r="AC29" s="204"/>
      <c r="AD29" s="890"/>
      <c r="AE29" s="890"/>
      <c r="AF29" s="890"/>
      <c r="AG29" s="890"/>
      <c r="AH29" s="333"/>
      <c r="AI29" s="64"/>
      <c r="AJ29" s="43" t="str">
        <f t="shared" si="15"/>
        <v/>
      </c>
      <c r="AK29" s="64"/>
      <c r="AL29" s="43" t="str">
        <f t="shared" si="16"/>
        <v/>
      </c>
      <c r="AM29" s="64"/>
      <c r="AN29" s="43" t="str">
        <f t="shared" si="17"/>
        <v/>
      </c>
      <c r="AO29" s="204"/>
      <c r="AP29" s="55" t="str">
        <f>IFERROR(IF(OR(D29="",W29="",W29="Please Select"),"",VLOOKUP('HVAC Efficiency Tables'!X251&amp;'HVAC Efficiency Tables'!Y251&amp;W29,HVACEfficiencies,3,FALSE)),"")</f>
        <v/>
      </c>
      <c r="AQ29" s="43" t="str">
        <f t="shared" si="18"/>
        <v/>
      </c>
      <c r="AR29" s="55" t="str">
        <f>IFERROR(IF(OR(D29="",W29="",W29="Please Select"),"",VLOOKUP('HVAC Efficiency Tables'!X251&amp;'HVAC Efficiency Tables'!Y251&amp;W29,HVACEfficiencies,8,FALSE)),"")</f>
        <v/>
      </c>
      <c r="AS29" s="43" t="str">
        <f t="shared" si="19"/>
        <v/>
      </c>
      <c r="AT29" s="702" t="str">
        <f>IFERROR(IF(OR(D29="",W29="",W29="Please Select"),"",VLOOKUP('HVAC Efficiency Tables'!X251&amp;'HVAC Efficiency Tables'!Y251&amp;W29,HVACEfficiencies,12,FALSE)),"")</f>
        <v/>
      </c>
      <c r="AU29" s="43" t="str">
        <f t="shared" si="20"/>
        <v/>
      </c>
      <c r="AV29" s="43"/>
      <c r="AW29" s="894" t="str">
        <f t="shared" si="21"/>
        <v/>
      </c>
      <c r="AX29" s="894"/>
      <c r="AY29" s="55" t="str">
        <f>IFERROR(IF(OR(D29="",W29="",W29="Please Select"),"",VLOOKUP('HVAC Efficiency Tables'!X251&amp;'HVAC Efficiency Tables'!Y251&amp;W29,HVACEfficiencies,5,FALSE)),"")</f>
        <v/>
      </c>
      <c r="AZ29" s="43" t="str">
        <f t="shared" si="22"/>
        <v/>
      </c>
      <c r="BA29" s="55" t="str">
        <f>IFERROR(IF(OR(D29="",W29="",W29="Please Select"),"",VLOOKUP('HVAC Efficiency Tables'!X251&amp;'HVAC Efficiency Tables'!Y251&amp;W29,HVACEfficiencies,9,FALSE)),"")</f>
        <v/>
      </c>
      <c r="BB29" s="43" t="str">
        <f t="shared" si="23"/>
        <v/>
      </c>
      <c r="BC29" s="702" t="str">
        <f>IFERROR(IF(OR(D29="",W29="",W29="Please Select"),"",VLOOKUP('HVAC Efficiency Tables'!X251&amp;'HVAC Efficiency Tables'!Y251&amp;W29,HVACEfficiencies,13,FALSE)),"")</f>
        <v/>
      </c>
      <c r="BD29" s="43" t="str">
        <f t="shared" si="24"/>
        <v/>
      </c>
      <c r="BE29" s="894" t="str">
        <f t="shared" si="25"/>
        <v/>
      </c>
      <c r="BF29" s="894"/>
      <c r="BG29" s="157" t="s">
        <v>142</v>
      </c>
      <c r="BH29" s="895" t="str">
        <f t="shared" si="26"/>
        <v/>
      </c>
      <c r="BI29" s="895"/>
      <c r="BJ29" s="582"/>
      <c r="BQ29" s="298" t="b">
        <f t="shared" si="27"/>
        <v>0</v>
      </c>
      <c r="BR29" s="298" t="b">
        <f t="shared" si="28"/>
        <v>0</v>
      </c>
      <c r="BS29" s="298">
        <f t="shared" si="29"/>
        <v>0</v>
      </c>
      <c r="BT29" s="298" t="b">
        <f t="shared" si="30"/>
        <v>0</v>
      </c>
      <c r="BU29" s="298" t="b">
        <f t="shared" si="31"/>
        <v>0</v>
      </c>
      <c r="BV29" s="617">
        <f t="shared" si="32"/>
        <v>0</v>
      </c>
      <c r="BW29" s="301">
        <f t="shared" si="33"/>
        <v>0</v>
      </c>
      <c r="BY29" s="94"/>
      <c r="BZ29" s="94"/>
      <c r="CA29" s="94"/>
      <c r="CB29" s="200"/>
      <c r="CC29" s="200"/>
      <c r="CD29" s="200"/>
      <c r="CE29" s="200"/>
      <c r="CF29" s="382"/>
      <c r="CG29" s="912" t="str">
        <f>'HVAC Efficiency Tables'!$Z251</f>
        <v/>
      </c>
      <c r="CH29" s="912"/>
      <c r="CI29" s="912"/>
      <c r="CJ29" s="912"/>
      <c r="CK29" s="912"/>
      <c r="CL29" s="912"/>
      <c r="CM29" s="94"/>
      <c r="CN29" s="94"/>
      <c r="CO29" s="94"/>
      <c r="CP29" s="94"/>
      <c r="CQ29" s="94"/>
      <c r="CR29" s="94"/>
      <c r="CS29" s="94"/>
      <c r="CT29" s="94"/>
      <c r="CU29" s="94"/>
      <c r="CV29" s="94"/>
      <c r="CW29" s="94"/>
      <c r="CX29" s="94"/>
      <c r="CY29" s="94"/>
      <c r="CZ29" s="94"/>
    </row>
    <row r="30" spans="1:178" ht="14.1" customHeight="1">
      <c r="A30" s="54"/>
      <c r="B30" s="64"/>
      <c r="C30" s="333"/>
      <c r="D30" s="64"/>
      <c r="E30" s="231"/>
      <c r="F30" s="890"/>
      <c r="G30" s="890"/>
      <c r="H30" s="890"/>
      <c r="I30" s="890"/>
      <c r="J30" s="890"/>
      <c r="K30" s="890"/>
      <c r="L30" s="890"/>
      <c r="M30" s="890"/>
      <c r="N30" s="890"/>
      <c r="O30" s="890"/>
      <c r="P30" s="890"/>
      <c r="Q30" s="890"/>
      <c r="R30" s="890"/>
      <c r="S30" s="890"/>
      <c r="T30" s="890"/>
      <c r="U30" s="890"/>
      <c r="V30" s="382"/>
      <c r="W30" s="912" t="str">
        <f>'HVAC Efficiency Tables'!$Z252</f>
        <v/>
      </c>
      <c r="X30" s="912"/>
      <c r="Y30" s="912"/>
      <c r="Z30" s="912"/>
      <c r="AA30" s="912"/>
      <c r="AB30" s="912"/>
      <c r="AC30" s="204"/>
      <c r="AD30" s="890"/>
      <c r="AE30" s="890"/>
      <c r="AF30" s="890"/>
      <c r="AG30" s="890"/>
      <c r="AH30" s="333"/>
      <c r="AI30" s="64"/>
      <c r="AJ30" s="43" t="str">
        <f t="shared" si="15"/>
        <v/>
      </c>
      <c r="AK30" s="64"/>
      <c r="AL30" s="43" t="str">
        <f t="shared" si="16"/>
        <v/>
      </c>
      <c r="AM30" s="64"/>
      <c r="AN30" s="43" t="str">
        <f t="shared" si="17"/>
        <v/>
      </c>
      <c r="AO30" s="204"/>
      <c r="AP30" s="55" t="str">
        <f>IFERROR(IF(OR(D30="",W30="",W30="Please Select"),"",VLOOKUP('HVAC Efficiency Tables'!X252&amp;'HVAC Efficiency Tables'!Y252&amp;W30,HVACEfficiencies,3,FALSE)),"")</f>
        <v/>
      </c>
      <c r="AQ30" s="43" t="str">
        <f t="shared" si="18"/>
        <v/>
      </c>
      <c r="AR30" s="55" t="str">
        <f>IFERROR(IF(OR(D30="",W30="",W30="Please Select"),"",VLOOKUP('HVAC Efficiency Tables'!X252&amp;'HVAC Efficiency Tables'!Y252&amp;W30,HVACEfficiencies,8,FALSE)),"")</f>
        <v/>
      </c>
      <c r="AS30" s="43" t="str">
        <f t="shared" si="19"/>
        <v/>
      </c>
      <c r="AT30" s="702" t="str">
        <f>IFERROR(IF(OR(D30="",W30="",W30="Please Select"),"",VLOOKUP('HVAC Efficiency Tables'!X252&amp;'HVAC Efficiency Tables'!Y252&amp;W30,HVACEfficiencies,12,FALSE)),"")</f>
        <v/>
      </c>
      <c r="AU30" s="43" t="str">
        <f t="shared" si="20"/>
        <v/>
      </c>
      <c r="AV30" s="43"/>
      <c r="AW30" s="894" t="str">
        <f t="shared" si="21"/>
        <v/>
      </c>
      <c r="AX30" s="894"/>
      <c r="AY30" s="55" t="str">
        <f>IFERROR(IF(OR(D30="",W30="",W30="Please Select"),"",VLOOKUP('HVAC Efficiency Tables'!X252&amp;'HVAC Efficiency Tables'!Y252&amp;W30,HVACEfficiencies,5,FALSE)),"")</f>
        <v/>
      </c>
      <c r="AZ30" s="43" t="str">
        <f t="shared" si="22"/>
        <v/>
      </c>
      <c r="BA30" s="55" t="str">
        <f>IFERROR(IF(OR(D30="",W30="",W30="Please Select"),"",VLOOKUP('HVAC Efficiency Tables'!X252&amp;'HVAC Efficiency Tables'!Y252&amp;W30,HVACEfficiencies,9,FALSE)),"")</f>
        <v/>
      </c>
      <c r="BB30" s="43" t="str">
        <f t="shared" si="23"/>
        <v/>
      </c>
      <c r="BC30" s="702" t="str">
        <f>IFERROR(IF(OR(D30="",W30="",W30="Please Select"),"",VLOOKUP('HVAC Efficiency Tables'!X252&amp;'HVAC Efficiency Tables'!Y252&amp;W30,HVACEfficiencies,13,FALSE)),"")</f>
        <v/>
      </c>
      <c r="BD30" s="43" t="str">
        <f t="shared" si="24"/>
        <v/>
      </c>
      <c r="BE30" s="894" t="str">
        <f t="shared" si="25"/>
        <v/>
      </c>
      <c r="BF30" s="894"/>
      <c r="BG30" s="157" t="s">
        <v>142</v>
      </c>
      <c r="BH30" s="895" t="str">
        <f t="shared" si="26"/>
        <v/>
      </c>
      <c r="BI30" s="895"/>
      <c r="BJ30" s="582"/>
      <c r="BQ30" s="298" t="b">
        <f t="shared" si="27"/>
        <v>0</v>
      </c>
      <c r="BR30" s="298" t="b">
        <f t="shared" si="28"/>
        <v>0</v>
      </c>
      <c r="BS30" s="298">
        <f t="shared" si="29"/>
        <v>0</v>
      </c>
      <c r="BT30" s="298" t="b">
        <f t="shared" si="30"/>
        <v>0</v>
      </c>
      <c r="BU30" s="298" t="b">
        <f t="shared" si="31"/>
        <v>0</v>
      </c>
      <c r="BV30" s="617">
        <f t="shared" si="32"/>
        <v>0</v>
      </c>
      <c r="BW30" s="301">
        <f t="shared" si="33"/>
        <v>0</v>
      </c>
      <c r="BY30" s="94"/>
      <c r="BZ30" s="94"/>
      <c r="CA30" s="94"/>
      <c r="CB30" s="200"/>
      <c r="CC30" s="200"/>
      <c r="CD30" s="200"/>
      <c r="CE30" s="200"/>
      <c r="CF30" s="382"/>
      <c r="CG30" s="912" t="str">
        <f>'HVAC Efficiency Tables'!$Z252</f>
        <v/>
      </c>
      <c r="CH30" s="912"/>
      <c r="CI30" s="912"/>
      <c r="CJ30" s="912"/>
      <c r="CK30" s="912"/>
      <c r="CL30" s="912"/>
      <c r="CM30" s="94"/>
      <c r="CN30" s="94"/>
      <c r="CO30" s="94"/>
      <c r="CP30" s="94"/>
      <c r="CQ30" s="94"/>
      <c r="CR30" s="94"/>
      <c r="CS30" s="94"/>
      <c r="CT30" s="94"/>
      <c r="CU30" s="94"/>
      <c r="CV30" s="94"/>
      <c r="CW30" s="94"/>
      <c r="CX30" s="94"/>
      <c r="CY30" s="94"/>
      <c r="CZ30" s="94"/>
    </row>
    <row r="31" spans="1:178" ht="14.1" customHeight="1">
      <c r="A31" s="54"/>
      <c r="B31" s="64"/>
      <c r="C31" s="333"/>
      <c r="D31" s="64"/>
      <c r="E31" s="231"/>
      <c r="F31" s="890"/>
      <c r="G31" s="890"/>
      <c r="H31" s="890"/>
      <c r="I31" s="890"/>
      <c r="J31" s="890"/>
      <c r="K31" s="890"/>
      <c r="L31" s="890"/>
      <c r="M31" s="890"/>
      <c r="N31" s="890"/>
      <c r="O31" s="890"/>
      <c r="P31" s="890"/>
      <c r="Q31" s="890"/>
      <c r="R31" s="890"/>
      <c r="S31" s="890"/>
      <c r="T31" s="890"/>
      <c r="U31" s="890"/>
      <c r="V31" s="382"/>
      <c r="W31" s="912" t="str">
        <f>'HVAC Efficiency Tables'!$Z253</f>
        <v/>
      </c>
      <c r="X31" s="912"/>
      <c r="Y31" s="912"/>
      <c r="Z31" s="912"/>
      <c r="AA31" s="912"/>
      <c r="AB31" s="912"/>
      <c r="AC31" s="204"/>
      <c r="AD31" s="890"/>
      <c r="AE31" s="890"/>
      <c r="AF31" s="890"/>
      <c r="AG31" s="890"/>
      <c r="AH31" s="333"/>
      <c r="AI31" s="64"/>
      <c r="AJ31" s="43" t="str">
        <f t="shared" si="15"/>
        <v/>
      </c>
      <c r="AK31" s="64"/>
      <c r="AL31" s="43" t="str">
        <f t="shared" si="16"/>
        <v/>
      </c>
      <c r="AM31" s="64"/>
      <c r="AN31" s="43" t="str">
        <f t="shared" si="17"/>
        <v/>
      </c>
      <c r="AO31" s="204"/>
      <c r="AP31" s="55" t="str">
        <f>IFERROR(IF(OR(D31="",W31="",W31="Please Select"),"",VLOOKUP('HVAC Efficiency Tables'!X253&amp;'HVAC Efficiency Tables'!Y253&amp;W31,HVACEfficiencies,3,FALSE)),"")</f>
        <v/>
      </c>
      <c r="AQ31" s="43" t="str">
        <f t="shared" si="18"/>
        <v/>
      </c>
      <c r="AR31" s="55" t="str">
        <f>IFERROR(IF(OR(D31="",W31="",W31="Please Select"),"",VLOOKUP('HVAC Efficiency Tables'!X253&amp;'HVAC Efficiency Tables'!Y253&amp;W31,HVACEfficiencies,8,FALSE)),"")</f>
        <v/>
      </c>
      <c r="AS31" s="43" t="str">
        <f t="shared" si="19"/>
        <v/>
      </c>
      <c r="AT31" s="702" t="str">
        <f>IFERROR(IF(OR(D31="",W31="",W31="Please Select"),"",VLOOKUP('HVAC Efficiency Tables'!X253&amp;'HVAC Efficiency Tables'!Y253&amp;W31,HVACEfficiencies,12,FALSE)),"")</f>
        <v/>
      </c>
      <c r="AU31" s="43" t="str">
        <f t="shared" si="20"/>
        <v/>
      </c>
      <c r="AV31" s="43"/>
      <c r="AW31" s="894" t="str">
        <f t="shared" si="21"/>
        <v/>
      </c>
      <c r="AX31" s="894"/>
      <c r="AY31" s="55" t="str">
        <f>IFERROR(IF(OR(D31="",W31="",W31="Please Select"),"",VLOOKUP('HVAC Efficiency Tables'!X253&amp;'HVAC Efficiency Tables'!Y253&amp;W31,HVACEfficiencies,5,FALSE)),"")</f>
        <v/>
      </c>
      <c r="AZ31" s="43" t="str">
        <f t="shared" si="22"/>
        <v/>
      </c>
      <c r="BA31" s="55" t="str">
        <f>IFERROR(IF(OR(D31="",W31="",W31="Please Select"),"",VLOOKUP('HVAC Efficiency Tables'!X253&amp;'HVAC Efficiency Tables'!Y253&amp;W31,HVACEfficiencies,9,FALSE)),"")</f>
        <v/>
      </c>
      <c r="BB31" s="43" t="str">
        <f t="shared" si="23"/>
        <v/>
      </c>
      <c r="BC31" s="702" t="str">
        <f>IFERROR(IF(OR(D31="",W31="",W31="Please Select"),"",VLOOKUP('HVAC Efficiency Tables'!X253&amp;'HVAC Efficiency Tables'!Y253&amp;W31,HVACEfficiencies,13,FALSE)),"")</f>
        <v/>
      </c>
      <c r="BD31" s="43" t="str">
        <f t="shared" si="24"/>
        <v/>
      </c>
      <c r="BE31" s="894" t="str">
        <f t="shared" si="25"/>
        <v/>
      </c>
      <c r="BF31" s="894"/>
      <c r="BG31" s="157" t="s">
        <v>142</v>
      </c>
      <c r="BH31" s="895" t="str">
        <f t="shared" si="26"/>
        <v/>
      </c>
      <c r="BI31" s="895"/>
      <c r="BJ31" s="582"/>
      <c r="BQ31" s="298" t="b">
        <f t="shared" si="27"/>
        <v>0</v>
      </c>
      <c r="BR31" s="298" t="b">
        <f t="shared" si="28"/>
        <v>0</v>
      </c>
      <c r="BS31" s="298">
        <f t="shared" si="29"/>
        <v>0</v>
      </c>
      <c r="BT31" s="298" t="b">
        <f t="shared" si="30"/>
        <v>0</v>
      </c>
      <c r="BU31" s="298" t="b">
        <f t="shared" si="31"/>
        <v>0</v>
      </c>
      <c r="BV31" s="617">
        <f t="shared" si="32"/>
        <v>0</v>
      </c>
      <c r="BW31" s="301">
        <f t="shared" si="33"/>
        <v>0</v>
      </c>
      <c r="BY31" s="94"/>
      <c r="BZ31" s="94"/>
      <c r="CA31" s="94"/>
      <c r="CB31" s="200"/>
      <c r="CC31" s="200"/>
      <c r="CD31" s="200"/>
      <c r="CE31" s="200"/>
      <c r="CF31" s="382"/>
      <c r="CG31" s="912" t="str">
        <f>'HVAC Efficiency Tables'!$Z253</f>
        <v/>
      </c>
      <c r="CH31" s="912"/>
      <c r="CI31" s="912"/>
      <c r="CJ31" s="912"/>
      <c r="CK31" s="912"/>
      <c r="CL31" s="912"/>
      <c r="CM31" s="94"/>
      <c r="CN31" s="94"/>
      <c r="CO31" s="94"/>
      <c r="CP31" s="94"/>
      <c r="CQ31" s="94"/>
      <c r="CR31" s="94"/>
      <c r="CS31" s="94"/>
      <c r="CT31" s="94"/>
      <c r="CU31" s="94"/>
      <c r="CV31" s="94"/>
      <c r="CW31" s="94"/>
      <c r="CX31" s="94"/>
      <c r="CY31" s="94"/>
      <c r="CZ31" s="94"/>
    </row>
    <row r="32" spans="1:178" ht="14.1" customHeight="1">
      <c r="A32" s="54"/>
      <c r="B32" s="64"/>
      <c r="C32" s="333"/>
      <c r="D32" s="64"/>
      <c r="E32" s="231"/>
      <c r="F32" s="890"/>
      <c r="G32" s="890"/>
      <c r="H32" s="890"/>
      <c r="I32" s="890"/>
      <c r="J32" s="890"/>
      <c r="K32" s="890"/>
      <c r="L32" s="890"/>
      <c r="M32" s="890"/>
      <c r="N32" s="890"/>
      <c r="O32" s="890"/>
      <c r="P32" s="890"/>
      <c r="Q32" s="890"/>
      <c r="R32" s="890"/>
      <c r="S32" s="890"/>
      <c r="T32" s="890"/>
      <c r="U32" s="890"/>
      <c r="V32" s="382"/>
      <c r="W32" s="912" t="str">
        <f>'HVAC Efficiency Tables'!$Z254</f>
        <v/>
      </c>
      <c r="X32" s="912"/>
      <c r="Y32" s="912"/>
      <c r="Z32" s="912"/>
      <c r="AA32" s="912"/>
      <c r="AB32" s="912"/>
      <c r="AC32" s="204"/>
      <c r="AD32" s="890"/>
      <c r="AE32" s="890"/>
      <c r="AF32" s="890"/>
      <c r="AG32" s="890"/>
      <c r="AH32" s="333"/>
      <c r="AI32" s="64"/>
      <c r="AJ32" s="43" t="str">
        <f t="shared" si="15"/>
        <v/>
      </c>
      <c r="AK32" s="64"/>
      <c r="AL32" s="43" t="str">
        <f t="shared" si="16"/>
        <v/>
      </c>
      <c r="AM32" s="64"/>
      <c r="AN32" s="43" t="str">
        <f t="shared" si="17"/>
        <v/>
      </c>
      <c r="AO32" s="204"/>
      <c r="AP32" s="55" t="str">
        <f>IFERROR(IF(OR(D32="",W32="",W32="Please Select"),"",VLOOKUP('HVAC Efficiency Tables'!X254&amp;'HVAC Efficiency Tables'!Y254&amp;W32,HVACEfficiencies,3,FALSE)),"")</f>
        <v/>
      </c>
      <c r="AQ32" s="43" t="str">
        <f t="shared" si="18"/>
        <v/>
      </c>
      <c r="AR32" s="55" t="str">
        <f>IFERROR(IF(OR(D32="",W32="",W32="Please Select"),"",VLOOKUP('HVAC Efficiency Tables'!X254&amp;'HVAC Efficiency Tables'!Y254&amp;W32,HVACEfficiencies,8,FALSE)),"")</f>
        <v/>
      </c>
      <c r="AS32" s="43" t="str">
        <f t="shared" si="19"/>
        <v/>
      </c>
      <c r="AT32" s="702" t="str">
        <f>IFERROR(IF(OR(D32="",W32="",W32="Please Select"),"",VLOOKUP('HVAC Efficiency Tables'!X254&amp;'HVAC Efficiency Tables'!Y254&amp;W32,HVACEfficiencies,12,FALSE)),"")</f>
        <v/>
      </c>
      <c r="AU32" s="43" t="str">
        <f t="shared" si="20"/>
        <v/>
      </c>
      <c r="AV32" s="43"/>
      <c r="AW32" s="894" t="str">
        <f t="shared" si="21"/>
        <v/>
      </c>
      <c r="AX32" s="894"/>
      <c r="AY32" s="55" t="str">
        <f>IFERROR(IF(OR(D32="",W32="",W32="Please Select"),"",VLOOKUP('HVAC Efficiency Tables'!X254&amp;'HVAC Efficiency Tables'!Y254&amp;W32,HVACEfficiencies,5,FALSE)),"")</f>
        <v/>
      </c>
      <c r="AZ32" s="43" t="str">
        <f t="shared" si="22"/>
        <v/>
      </c>
      <c r="BA32" s="55" t="str">
        <f>IFERROR(IF(OR(D32="",W32="",W32="Please Select"),"",VLOOKUP('HVAC Efficiency Tables'!X254&amp;'HVAC Efficiency Tables'!Y254&amp;W32,HVACEfficiencies,9,FALSE)),"")</f>
        <v/>
      </c>
      <c r="BB32" s="43" t="str">
        <f t="shared" si="23"/>
        <v/>
      </c>
      <c r="BC32" s="702" t="str">
        <f>IFERROR(IF(OR(D32="",W32="",W32="Please Select"),"",VLOOKUP('HVAC Efficiency Tables'!X254&amp;'HVAC Efficiency Tables'!Y254&amp;W32,HVACEfficiencies,13,FALSE)),"")</f>
        <v/>
      </c>
      <c r="BD32" s="43" t="str">
        <f t="shared" si="24"/>
        <v/>
      </c>
      <c r="BE32" s="894" t="str">
        <f t="shared" si="25"/>
        <v/>
      </c>
      <c r="BF32" s="894"/>
      <c r="BG32" s="157" t="s">
        <v>142</v>
      </c>
      <c r="BH32" s="895" t="str">
        <f t="shared" si="26"/>
        <v/>
      </c>
      <c r="BI32" s="895"/>
      <c r="BJ32" s="582"/>
      <c r="BQ32" s="298" t="b">
        <f t="shared" si="27"/>
        <v>0</v>
      </c>
      <c r="BR32" s="298" t="b">
        <f t="shared" si="28"/>
        <v>0</v>
      </c>
      <c r="BS32" s="298">
        <f t="shared" si="29"/>
        <v>0</v>
      </c>
      <c r="BT32" s="298" t="b">
        <f t="shared" si="30"/>
        <v>0</v>
      </c>
      <c r="BU32" s="298" t="b">
        <f t="shared" si="31"/>
        <v>0</v>
      </c>
      <c r="BV32" s="617">
        <f t="shared" si="32"/>
        <v>0</v>
      </c>
      <c r="BW32" s="301">
        <f t="shared" si="33"/>
        <v>0</v>
      </c>
      <c r="BY32" s="94"/>
      <c r="BZ32" s="94"/>
      <c r="CA32" s="94"/>
      <c r="CB32" s="200"/>
      <c r="CC32" s="200"/>
      <c r="CD32" s="200"/>
      <c r="CE32" s="200"/>
      <c r="CF32" s="382"/>
      <c r="CG32" s="912" t="str">
        <f>'HVAC Efficiency Tables'!$Z254</f>
        <v/>
      </c>
      <c r="CH32" s="912"/>
      <c r="CI32" s="912"/>
      <c r="CJ32" s="912"/>
      <c r="CK32" s="912"/>
      <c r="CL32" s="912"/>
      <c r="CM32" s="94"/>
      <c r="CN32" s="94"/>
      <c r="CO32" s="94"/>
      <c r="CP32" s="94"/>
      <c r="CQ32" s="94"/>
      <c r="CR32" s="94"/>
      <c r="CS32" s="94"/>
      <c r="CT32" s="94"/>
      <c r="CU32" s="94"/>
      <c r="CV32" s="94"/>
      <c r="CW32" s="94"/>
      <c r="CX32" s="94"/>
      <c r="CY32" s="94"/>
      <c r="CZ32" s="94"/>
    </row>
    <row r="33" spans="1:178" ht="14.1" customHeight="1">
      <c r="A33" s="54"/>
      <c r="B33" s="64"/>
      <c r="C33" s="333"/>
      <c r="D33" s="64"/>
      <c r="E33" s="231"/>
      <c r="F33" s="890"/>
      <c r="G33" s="890"/>
      <c r="H33" s="890"/>
      <c r="I33" s="890"/>
      <c r="J33" s="890"/>
      <c r="K33" s="890"/>
      <c r="L33" s="890"/>
      <c r="M33" s="890"/>
      <c r="N33" s="890"/>
      <c r="O33" s="890"/>
      <c r="P33" s="890"/>
      <c r="Q33" s="890"/>
      <c r="R33" s="890"/>
      <c r="S33" s="890"/>
      <c r="T33" s="890"/>
      <c r="U33" s="890"/>
      <c r="V33" s="382"/>
      <c r="W33" s="912" t="str">
        <f>'HVAC Efficiency Tables'!$Z255</f>
        <v/>
      </c>
      <c r="X33" s="912"/>
      <c r="Y33" s="912"/>
      <c r="Z33" s="912"/>
      <c r="AA33" s="912"/>
      <c r="AB33" s="912"/>
      <c r="AC33" s="204"/>
      <c r="AD33" s="890"/>
      <c r="AE33" s="890"/>
      <c r="AF33" s="890"/>
      <c r="AG33" s="890"/>
      <c r="AH33" s="333"/>
      <c r="AI33" s="64"/>
      <c r="AJ33" s="43" t="str">
        <f t="shared" si="15"/>
        <v/>
      </c>
      <c r="AK33" s="64"/>
      <c r="AL33" s="43" t="str">
        <f t="shared" si="16"/>
        <v/>
      </c>
      <c r="AM33" s="64"/>
      <c r="AN33" s="43" t="str">
        <f t="shared" si="17"/>
        <v/>
      </c>
      <c r="AO33" s="204"/>
      <c r="AP33" s="55" t="str">
        <f>IFERROR(IF(OR(D33="",W33="",W33="Please Select"),"",VLOOKUP('HVAC Efficiency Tables'!X255&amp;'HVAC Efficiency Tables'!Y255&amp;W33,HVACEfficiencies,3,FALSE)),"")</f>
        <v/>
      </c>
      <c r="AQ33" s="43" t="str">
        <f t="shared" si="18"/>
        <v/>
      </c>
      <c r="AR33" s="55" t="str">
        <f>IFERROR(IF(OR(D33="",W33="",W33="Please Select"),"",VLOOKUP('HVAC Efficiency Tables'!X255&amp;'HVAC Efficiency Tables'!Y255&amp;W33,HVACEfficiencies,8,FALSE)),"")</f>
        <v/>
      </c>
      <c r="AS33" s="43" t="str">
        <f t="shared" si="19"/>
        <v/>
      </c>
      <c r="AT33" s="702" t="str">
        <f>IFERROR(IF(OR(D33="",W33="",W33="Please Select"),"",VLOOKUP('HVAC Efficiency Tables'!X255&amp;'HVAC Efficiency Tables'!Y255&amp;W33,HVACEfficiencies,12,FALSE)),"")</f>
        <v/>
      </c>
      <c r="AU33" s="43" t="str">
        <f t="shared" si="20"/>
        <v/>
      </c>
      <c r="AV33" s="43"/>
      <c r="AW33" s="894" t="str">
        <f t="shared" si="21"/>
        <v/>
      </c>
      <c r="AX33" s="894"/>
      <c r="AY33" s="55" t="str">
        <f>IFERROR(IF(OR(D33="",W33="",W33="Please Select"),"",VLOOKUP('HVAC Efficiency Tables'!X255&amp;'HVAC Efficiency Tables'!Y255&amp;W33,HVACEfficiencies,5,FALSE)),"")</f>
        <v/>
      </c>
      <c r="AZ33" s="43" t="str">
        <f t="shared" si="22"/>
        <v/>
      </c>
      <c r="BA33" s="55" t="str">
        <f>IFERROR(IF(OR(D33="",W33="",W33="Please Select"),"",VLOOKUP('HVAC Efficiency Tables'!X255&amp;'HVAC Efficiency Tables'!Y255&amp;W33,HVACEfficiencies,9,FALSE)),"")</f>
        <v/>
      </c>
      <c r="BB33" s="43" t="str">
        <f t="shared" si="23"/>
        <v/>
      </c>
      <c r="BC33" s="702" t="str">
        <f>IFERROR(IF(OR(D33="",W33="",W33="Please Select"),"",VLOOKUP('HVAC Efficiency Tables'!X255&amp;'HVAC Efficiency Tables'!Y255&amp;W33,HVACEfficiencies,13,FALSE)),"")</f>
        <v/>
      </c>
      <c r="BD33" s="43" t="str">
        <f t="shared" si="24"/>
        <v/>
      </c>
      <c r="BE33" s="894" t="str">
        <f t="shared" si="25"/>
        <v/>
      </c>
      <c r="BF33" s="894"/>
      <c r="BG33" s="157" t="s">
        <v>142</v>
      </c>
      <c r="BH33" s="895" t="str">
        <f t="shared" si="26"/>
        <v/>
      </c>
      <c r="BI33" s="895"/>
      <c r="BJ33" s="582"/>
      <c r="BQ33" s="298" t="b">
        <f t="shared" si="27"/>
        <v>0</v>
      </c>
      <c r="BR33" s="298" t="b">
        <f t="shared" si="28"/>
        <v>0</v>
      </c>
      <c r="BS33" s="298">
        <f t="shared" si="29"/>
        <v>0</v>
      </c>
      <c r="BT33" s="298" t="b">
        <f t="shared" si="30"/>
        <v>0</v>
      </c>
      <c r="BU33" s="298" t="b">
        <f t="shared" si="31"/>
        <v>0</v>
      </c>
      <c r="BV33" s="617">
        <f t="shared" si="32"/>
        <v>0</v>
      </c>
      <c r="BW33" s="301">
        <f t="shared" si="33"/>
        <v>0</v>
      </c>
      <c r="BY33" s="94"/>
      <c r="BZ33" s="94"/>
      <c r="CA33" s="94"/>
      <c r="CB33" s="200"/>
      <c r="CC33" s="200"/>
      <c r="CD33" s="200"/>
      <c r="CE33" s="200"/>
      <c r="CF33" s="382"/>
      <c r="CG33" s="912" t="str">
        <f>'HVAC Efficiency Tables'!$Z255</f>
        <v/>
      </c>
      <c r="CH33" s="912"/>
      <c r="CI33" s="912"/>
      <c r="CJ33" s="912"/>
      <c r="CK33" s="912"/>
      <c r="CL33" s="912"/>
      <c r="CM33" s="94"/>
      <c r="CN33" s="94"/>
      <c r="CO33" s="94"/>
      <c r="CP33" s="94"/>
      <c r="CQ33" s="94"/>
      <c r="CR33" s="94"/>
      <c r="CS33" s="94"/>
      <c r="CT33" s="94"/>
      <c r="CU33" s="94"/>
      <c r="CV33" s="94"/>
      <c r="CW33" s="94"/>
      <c r="CX33" s="94"/>
      <c r="CY33" s="94"/>
      <c r="CZ33" s="94"/>
    </row>
    <row r="34" spans="1:178" ht="14.1" customHeight="1">
      <c r="A34" s="54"/>
      <c r="B34" s="64"/>
      <c r="C34" s="333"/>
      <c r="D34" s="64"/>
      <c r="E34" s="231"/>
      <c r="F34" s="890"/>
      <c r="G34" s="890"/>
      <c r="H34" s="890"/>
      <c r="I34" s="890"/>
      <c r="J34" s="890"/>
      <c r="K34" s="890"/>
      <c r="L34" s="890"/>
      <c r="M34" s="890"/>
      <c r="N34" s="890"/>
      <c r="O34" s="890"/>
      <c r="P34" s="890"/>
      <c r="Q34" s="890"/>
      <c r="R34" s="890"/>
      <c r="S34" s="890"/>
      <c r="T34" s="890"/>
      <c r="U34" s="890"/>
      <c r="V34" s="382"/>
      <c r="W34" s="912" t="str">
        <f>'HVAC Efficiency Tables'!$Z256</f>
        <v/>
      </c>
      <c r="X34" s="912"/>
      <c r="Y34" s="912"/>
      <c r="Z34" s="912"/>
      <c r="AA34" s="912"/>
      <c r="AB34" s="912"/>
      <c r="AC34" s="204"/>
      <c r="AD34" s="890"/>
      <c r="AE34" s="890"/>
      <c r="AF34" s="890"/>
      <c r="AG34" s="890"/>
      <c r="AH34" s="333"/>
      <c r="AI34" s="64"/>
      <c r="AJ34" s="43" t="str">
        <f t="shared" si="15"/>
        <v/>
      </c>
      <c r="AK34" s="64"/>
      <c r="AL34" s="43" t="str">
        <f t="shared" si="16"/>
        <v/>
      </c>
      <c r="AM34" s="64"/>
      <c r="AN34" s="43" t="str">
        <f t="shared" si="17"/>
        <v/>
      </c>
      <c r="AO34" s="204"/>
      <c r="AP34" s="55" t="str">
        <f>IFERROR(IF(OR(D34="",W34="",W34="Please Select"),"",VLOOKUP('HVAC Efficiency Tables'!X256&amp;'HVAC Efficiency Tables'!Y256&amp;W34,HVACEfficiencies,3,FALSE)),"")</f>
        <v/>
      </c>
      <c r="AQ34" s="43" t="str">
        <f t="shared" si="18"/>
        <v/>
      </c>
      <c r="AR34" s="55" t="str">
        <f>IFERROR(IF(OR(D34="",W34="",W34="Please Select"),"",VLOOKUP('HVAC Efficiency Tables'!X256&amp;'HVAC Efficiency Tables'!Y256&amp;W34,HVACEfficiencies,8,FALSE)),"")</f>
        <v/>
      </c>
      <c r="AS34" s="43" t="str">
        <f t="shared" si="19"/>
        <v/>
      </c>
      <c r="AT34" s="702" t="str">
        <f>IFERROR(IF(OR(D34="",W34="",W34="Please Select"),"",VLOOKUP('HVAC Efficiency Tables'!X256&amp;'HVAC Efficiency Tables'!Y256&amp;W34,HVACEfficiencies,12,FALSE)),"")</f>
        <v/>
      </c>
      <c r="AU34" s="43" t="str">
        <f t="shared" si="20"/>
        <v/>
      </c>
      <c r="AV34" s="43"/>
      <c r="AW34" s="894" t="str">
        <f t="shared" si="21"/>
        <v/>
      </c>
      <c r="AX34" s="894"/>
      <c r="AY34" s="55" t="str">
        <f>IFERROR(IF(OR(D34="",W34="",W34="Please Select"),"",VLOOKUP('HVAC Efficiency Tables'!X256&amp;'HVAC Efficiency Tables'!Y256&amp;W34,HVACEfficiencies,5,FALSE)),"")</f>
        <v/>
      </c>
      <c r="AZ34" s="43" t="str">
        <f t="shared" si="22"/>
        <v/>
      </c>
      <c r="BA34" s="55" t="str">
        <f>IFERROR(IF(OR(D34="",W34="",W34="Please Select"),"",VLOOKUP('HVAC Efficiency Tables'!X256&amp;'HVAC Efficiency Tables'!Y256&amp;W34,HVACEfficiencies,9,FALSE)),"")</f>
        <v/>
      </c>
      <c r="BB34" s="43" t="str">
        <f t="shared" si="23"/>
        <v/>
      </c>
      <c r="BC34" s="702" t="str">
        <f>IFERROR(IF(OR(D34="",W34="",W34="Please Select"),"",VLOOKUP('HVAC Efficiency Tables'!X256&amp;'HVAC Efficiency Tables'!Y256&amp;W34,HVACEfficiencies,13,FALSE)),"")</f>
        <v/>
      </c>
      <c r="BD34" s="43" t="str">
        <f t="shared" si="24"/>
        <v/>
      </c>
      <c r="BE34" s="894" t="str">
        <f t="shared" si="25"/>
        <v/>
      </c>
      <c r="BF34" s="894"/>
      <c r="BG34" s="157" t="s">
        <v>142</v>
      </c>
      <c r="BH34" s="895" t="str">
        <f t="shared" si="26"/>
        <v/>
      </c>
      <c r="BI34" s="895"/>
      <c r="BJ34" s="582"/>
      <c r="BQ34" s="298" t="b">
        <f t="shared" si="27"/>
        <v>0</v>
      </c>
      <c r="BR34" s="298" t="b">
        <f t="shared" si="28"/>
        <v>0</v>
      </c>
      <c r="BS34" s="298">
        <f t="shared" si="29"/>
        <v>0</v>
      </c>
      <c r="BT34" s="298" t="b">
        <f t="shared" si="30"/>
        <v>0</v>
      </c>
      <c r="BU34" s="298" t="b">
        <f t="shared" si="31"/>
        <v>0</v>
      </c>
      <c r="BV34" s="617">
        <f t="shared" si="32"/>
        <v>0</v>
      </c>
      <c r="BW34" s="301">
        <f t="shared" si="33"/>
        <v>0</v>
      </c>
      <c r="BY34" s="94"/>
      <c r="BZ34" s="94"/>
      <c r="CA34" s="94"/>
      <c r="CB34" s="200"/>
      <c r="CC34" s="200"/>
      <c r="CD34" s="200"/>
      <c r="CE34" s="200"/>
      <c r="CF34" s="382"/>
      <c r="CG34" s="912" t="str">
        <f>'HVAC Efficiency Tables'!$Z256</f>
        <v/>
      </c>
      <c r="CH34" s="912"/>
      <c r="CI34" s="912"/>
      <c r="CJ34" s="912"/>
      <c r="CK34" s="912"/>
      <c r="CL34" s="912"/>
      <c r="CM34" s="94"/>
      <c r="CN34" s="94"/>
      <c r="CO34" s="94"/>
      <c r="CP34" s="94"/>
      <c r="CQ34" s="94"/>
      <c r="CR34" s="94"/>
      <c r="CS34" s="94"/>
      <c r="CT34" s="94"/>
      <c r="CU34" s="94"/>
      <c r="CV34" s="94"/>
      <c r="CW34" s="94"/>
      <c r="CX34" s="94"/>
      <c r="CY34" s="94"/>
      <c r="CZ34" s="94"/>
    </row>
    <row r="35" spans="1:178" ht="14.1" customHeight="1">
      <c r="A35" s="54"/>
      <c r="B35" s="64"/>
      <c r="C35" s="333"/>
      <c r="D35" s="64"/>
      <c r="E35" s="231"/>
      <c r="F35" s="890"/>
      <c r="G35" s="890"/>
      <c r="H35" s="890"/>
      <c r="I35" s="890"/>
      <c r="J35" s="890"/>
      <c r="K35" s="890"/>
      <c r="L35" s="890"/>
      <c r="M35" s="890"/>
      <c r="N35" s="890"/>
      <c r="O35" s="890"/>
      <c r="P35" s="890"/>
      <c r="Q35" s="890"/>
      <c r="R35" s="890"/>
      <c r="S35" s="890"/>
      <c r="T35" s="890"/>
      <c r="U35" s="890"/>
      <c r="V35" s="382"/>
      <c r="W35" s="912" t="str">
        <f>'HVAC Efficiency Tables'!$Z257</f>
        <v/>
      </c>
      <c r="X35" s="912"/>
      <c r="Y35" s="912"/>
      <c r="Z35" s="912"/>
      <c r="AA35" s="912"/>
      <c r="AB35" s="912"/>
      <c r="AC35" s="204"/>
      <c r="AD35" s="890"/>
      <c r="AE35" s="890"/>
      <c r="AF35" s="890"/>
      <c r="AG35" s="890"/>
      <c r="AH35" s="333"/>
      <c r="AI35" s="64"/>
      <c r="AJ35" s="43" t="str">
        <f t="shared" si="15"/>
        <v/>
      </c>
      <c r="AK35" s="64"/>
      <c r="AL35" s="43" t="str">
        <f t="shared" si="16"/>
        <v/>
      </c>
      <c r="AM35" s="64"/>
      <c r="AN35" s="43" t="str">
        <f t="shared" si="17"/>
        <v/>
      </c>
      <c r="AO35" s="204"/>
      <c r="AP35" s="55" t="str">
        <f>IFERROR(IF(OR(D35="",W35="",W35="Please Select"),"",VLOOKUP('HVAC Efficiency Tables'!X257&amp;'HVAC Efficiency Tables'!Y257&amp;W35,HVACEfficiencies,3,FALSE)),"")</f>
        <v/>
      </c>
      <c r="AQ35" s="43" t="str">
        <f t="shared" si="18"/>
        <v/>
      </c>
      <c r="AR35" s="55" t="str">
        <f>IFERROR(IF(OR(D35="",W35="",W35="Please Select"),"",VLOOKUP('HVAC Efficiency Tables'!X257&amp;'HVAC Efficiency Tables'!Y257&amp;W35,HVACEfficiencies,8,FALSE)),"")</f>
        <v/>
      </c>
      <c r="AS35" s="43" t="str">
        <f t="shared" si="19"/>
        <v/>
      </c>
      <c r="AT35" s="702" t="str">
        <f>IFERROR(IF(OR(D35="",W35="",W35="Please Select"),"",VLOOKUP('HVAC Efficiency Tables'!X257&amp;'HVAC Efficiency Tables'!Y257&amp;W35,HVACEfficiencies,12,FALSE)),"")</f>
        <v/>
      </c>
      <c r="AU35" s="43" t="str">
        <f t="shared" si="20"/>
        <v/>
      </c>
      <c r="AV35" s="43"/>
      <c r="AW35" s="894" t="str">
        <f t="shared" si="21"/>
        <v/>
      </c>
      <c r="AX35" s="894"/>
      <c r="AY35" s="55" t="str">
        <f>IFERROR(IF(OR(D35="",W35="",W35="Please Select"),"",VLOOKUP('HVAC Efficiency Tables'!X257&amp;'HVAC Efficiency Tables'!Y257&amp;W35,HVACEfficiencies,5,FALSE)),"")</f>
        <v/>
      </c>
      <c r="AZ35" s="43" t="str">
        <f t="shared" si="22"/>
        <v/>
      </c>
      <c r="BA35" s="55" t="str">
        <f>IFERROR(IF(OR(D35="",W35="",W35="Please Select"),"",VLOOKUP('HVAC Efficiency Tables'!X257&amp;'HVAC Efficiency Tables'!Y257&amp;W35,HVACEfficiencies,9,FALSE)),"")</f>
        <v/>
      </c>
      <c r="BB35" s="43" t="str">
        <f t="shared" si="23"/>
        <v/>
      </c>
      <c r="BC35" s="702" t="str">
        <f>IFERROR(IF(OR(D35="",W35="",W35="Please Select"),"",VLOOKUP('HVAC Efficiency Tables'!X257&amp;'HVAC Efficiency Tables'!Y257&amp;W35,HVACEfficiencies,13,FALSE)),"")</f>
        <v/>
      </c>
      <c r="BD35" s="43" t="str">
        <f t="shared" si="24"/>
        <v/>
      </c>
      <c r="BE35" s="894" t="str">
        <f t="shared" si="25"/>
        <v/>
      </c>
      <c r="BF35" s="894"/>
      <c r="BG35" s="157" t="s">
        <v>142</v>
      </c>
      <c r="BH35" s="895" t="str">
        <f t="shared" si="26"/>
        <v/>
      </c>
      <c r="BI35" s="895"/>
      <c r="BJ35" s="582"/>
      <c r="BQ35" s="298" t="b">
        <f t="shared" si="27"/>
        <v>0</v>
      </c>
      <c r="BR35" s="298" t="b">
        <f t="shared" si="28"/>
        <v>0</v>
      </c>
      <c r="BS35" s="298">
        <f t="shared" si="29"/>
        <v>0</v>
      </c>
      <c r="BT35" s="298" t="b">
        <f t="shared" si="30"/>
        <v>0</v>
      </c>
      <c r="BU35" s="298" t="b">
        <f t="shared" si="31"/>
        <v>0</v>
      </c>
      <c r="BV35" s="617">
        <f t="shared" si="32"/>
        <v>0</v>
      </c>
      <c r="BW35" s="301">
        <f t="shared" si="33"/>
        <v>0</v>
      </c>
      <c r="BY35" s="94"/>
      <c r="BZ35" s="94"/>
      <c r="CA35" s="94"/>
      <c r="CB35" s="200"/>
      <c r="CC35" s="200"/>
      <c r="CD35" s="200"/>
      <c r="CE35" s="200"/>
      <c r="CF35" s="382"/>
      <c r="CG35" s="912" t="str">
        <f>'HVAC Efficiency Tables'!$Z257</f>
        <v/>
      </c>
      <c r="CH35" s="912"/>
      <c r="CI35" s="912"/>
      <c r="CJ35" s="912"/>
      <c r="CK35" s="912"/>
      <c r="CL35" s="912"/>
      <c r="CM35" s="94"/>
      <c r="CN35" s="94"/>
      <c r="CO35" s="94"/>
      <c r="CP35" s="94"/>
      <c r="CQ35" s="94"/>
      <c r="CR35" s="94"/>
      <c r="CS35" s="94"/>
      <c r="CT35" s="94"/>
      <c r="CU35" s="94"/>
      <c r="CV35" s="94"/>
      <c r="CW35" s="94"/>
      <c r="CX35" s="94"/>
      <c r="CY35" s="94"/>
      <c r="CZ35" s="94"/>
    </row>
    <row r="36" spans="1:178" ht="14.1" customHeight="1">
      <c r="A36" s="54"/>
      <c r="B36" s="64"/>
      <c r="C36" s="333"/>
      <c r="D36" s="64"/>
      <c r="E36" s="231"/>
      <c r="F36" s="890"/>
      <c r="G36" s="890"/>
      <c r="H36" s="890"/>
      <c r="I36" s="890"/>
      <c r="J36" s="890"/>
      <c r="K36" s="890"/>
      <c r="L36" s="890"/>
      <c r="M36" s="890"/>
      <c r="N36" s="890"/>
      <c r="O36" s="890"/>
      <c r="P36" s="890"/>
      <c r="Q36" s="890"/>
      <c r="R36" s="890"/>
      <c r="S36" s="890"/>
      <c r="T36" s="890"/>
      <c r="U36" s="890"/>
      <c r="V36" s="382"/>
      <c r="W36" s="912" t="str">
        <f>'HVAC Efficiency Tables'!$Z258</f>
        <v/>
      </c>
      <c r="X36" s="912"/>
      <c r="Y36" s="912"/>
      <c r="Z36" s="912"/>
      <c r="AA36" s="912"/>
      <c r="AB36" s="912"/>
      <c r="AC36" s="204"/>
      <c r="AD36" s="890"/>
      <c r="AE36" s="890"/>
      <c r="AF36" s="890"/>
      <c r="AG36" s="890"/>
      <c r="AH36" s="333"/>
      <c r="AI36" s="64"/>
      <c r="AJ36" s="43" t="str">
        <f t="shared" si="15"/>
        <v/>
      </c>
      <c r="AK36" s="64"/>
      <c r="AL36" s="43" t="str">
        <f t="shared" si="16"/>
        <v/>
      </c>
      <c r="AM36" s="64"/>
      <c r="AN36" s="43" t="str">
        <f t="shared" si="17"/>
        <v/>
      </c>
      <c r="AO36" s="204"/>
      <c r="AP36" s="55" t="str">
        <f>IFERROR(IF(OR(D36="",W36="",W36="Please Select"),"",VLOOKUP('HVAC Efficiency Tables'!X258&amp;'HVAC Efficiency Tables'!Y258&amp;W36,HVACEfficiencies,3,FALSE)),"")</f>
        <v/>
      </c>
      <c r="AQ36" s="43" t="str">
        <f t="shared" si="18"/>
        <v/>
      </c>
      <c r="AR36" s="55" t="str">
        <f>IFERROR(IF(OR(D36="",W36="",W36="Please Select"),"",VLOOKUP('HVAC Efficiency Tables'!X258&amp;'HVAC Efficiency Tables'!Y258&amp;W36,HVACEfficiencies,8,FALSE)),"")</f>
        <v/>
      </c>
      <c r="AS36" s="43" t="str">
        <f t="shared" si="19"/>
        <v/>
      </c>
      <c r="AT36" s="702" t="str">
        <f>IFERROR(IF(OR(D36="",W36="",W36="Please Select"),"",VLOOKUP('HVAC Efficiency Tables'!X258&amp;'HVAC Efficiency Tables'!Y258&amp;W36,HVACEfficiencies,12,FALSE)),"")</f>
        <v/>
      </c>
      <c r="AU36" s="43" t="str">
        <f t="shared" si="20"/>
        <v/>
      </c>
      <c r="AV36" s="43"/>
      <c r="AW36" s="894" t="str">
        <f t="shared" si="21"/>
        <v/>
      </c>
      <c r="AX36" s="894"/>
      <c r="AY36" s="55" t="str">
        <f>IFERROR(IF(OR(D36="",W36="",W36="Please Select"),"",VLOOKUP('HVAC Efficiency Tables'!X258&amp;'HVAC Efficiency Tables'!Y258&amp;W36,HVACEfficiencies,5,FALSE)),"")</f>
        <v/>
      </c>
      <c r="AZ36" s="43" t="str">
        <f t="shared" si="22"/>
        <v/>
      </c>
      <c r="BA36" s="55" t="str">
        <f>IFERROR(IF(OR(D36="",W36="",W36="Please Select"),"",VLOOKUP('HVAC Efficiency Tables'!X258&amp;'HVAC Efficiency Tables'!Y258&amp;W36,HVACEfficiencies,9,FALSE)),"")</f>
        <v/>
      </c>
      <c r="BB36" s="43" t="str">
        <f t="shared" si="23"/>
        <v/>
      </c>
      <c r="BC36" s="702" t="str">
        <f>IFERROR(IF(OR(D36="",W36="",W36="Please Select"),"",VLOOKUP('HVAC Efficiency Tables'!X258&amp;'HVAC Efficiency Tables'!Y258&amp;W36,HVACEfficiencies,13,FALSE)),"")</f>
        <v/>
      </c>
      <c r="BD36" s="43" t="str">
        <f t="shared" si="24"/>
        <v/>
      </c>
      <c r="BE36" s="894" t="str">
        <f t="shared" si="25"/>
        <v/>
      </c>
      <c r="BF36" s="894"/>
      <c r="BG36" s="157" t="s">
        <v>142</v>
      </c>
      <c r="BH36" s="895" t="str">
        <f t="shared" si="26"/>
        <v/>
      </c>
      <c r="BI36" s="895"/>
      <c r="BJ36" s="582"/>
      <c r="BQ36" s="298" t="b">
        <f t="shared" si="27"/>
        <v>0</v>
      </c>
      <c r="BR36" s="298" t="b">
        <f t="shared" si="28"/>
        <v>0</v>
      </c>
      <c r="BS36" s="298">
        <f t="shared" si="29"/>
        <v>0</v>
      </c>
      <c r="BT36" s="298" t="b">
        <f t="shared" si="30"/>
        <v>0</v>
      </c>
      <c r="BU36" s="298" t="b">
        <f t="shared" si="31"/>
        <v>0</v>
      </c>
      <c r="BV36" s="617">
        <f t="shared" si="32"/>
        <v>0</v>
      </c>
      <c r="BW36" s="301">
        <f t="shared" si="33"/>
        <v>0</v>
      </c>
      <c r="BY36" s="94"/>
      <c r="BZ36" s="94"/>
      <c r="CA36" s="94"/>
      <c r="CB36" s="200"/>
      <c r="CC36" s="200"/>
      <c r="CD36" s="200"/>
      <c r="CE36" s="200"/>
      <c r="CF36" s="382"/>
      <c r="CG36" s="912" t="str">
        <f>'HVAC Efficiency Tables'!$Z258</f>
        <v/>
      </c>
      <c r="CH36" s="912"/>
      <c r="CI36" s="912"/>
      <c r="CJ36" s="912"/>
      <c r="CK36" s="912"/>
      <c r="CL36" s="912"/>
      <c r="CM36" s="94"/>
      <c r="CN36" s="94"/>
      <c r="CO36" s="94"/>
      <c r="CP36" s="94"/>
      <c r="CQ36" s="94"/>
      <c r="CR36" s="94"/>
      <c r="CS36" s="94"/>
      <c r="CT36" s="94"/>
      <c r="CU36" s="94"/>
      <c r="CV36" s="94"/>
      <c r="CW36" s="94"/>
      <c r="CX36" s="94"/>
      <c r="CY36" s="94"/>
      <c r="CZ36" s="94"/>
    </row>
    <row r="37" spans="1:178" s="22" customFormat="1" ht="15.6" customHeight="1" thickBot="1">
      <c r="A37" s="583"/>
      <c r="B37" s="534"/>
      <c r="C37" s="534"/>
      <c r="D37" s="534"/>
      <c r="E37" s="534"/>
      <c r="F37" s="534"/>
      <c r="G37" s="534"/>
      <c r="H37" s="534"/>
      <c r="I37" s="534"/>
      <c r="J37" s="534"/>
      <c r="K37" s="534"/>
      <c r="L37" s="534"/>
      <c r="M37" s="534"/>
      <c r="N37" s="534"/>
      <c r="O37" s="534"/>
      <c r="P37" s="534"/>
      <c r="Q37" s="534"/>
      <c r="R37" s="534"/>
      <c r="S37" s="534"/>
      <c r="T37" s="534"/>
      <c r="U37" s="534"/>
      <c r="V37" s="534"/>
      <c r="W37" s="534"/>
      <c r="X37" s="534"/>
      <c r="Y37" s="534"/>
      <c r="Z37" s="534"/>
      <c r="AA37" s="534"/>
      <c r="AB37" s="534"/>
      <c r="AC37" s="534"/>
      <c r="AD37" s="534"/>
      <c r="AE37" s="534"/>
      <c r="AF37" s="534"/>
      <c r="AG37" s="534"/>
      <c r="AH37" s="534"/>
      <c r="AI37" s="534"/>
      <c r="AJ37" s="534"/>
      <c r="AK37" s="534"/>
      <c r="AL37" s="534"/>
      <c r="AM37" s="534"/>
      <c r="AN37" s="534"/>
      <c r="AO37" s="534"/>
      <c r="AP37" s="534"/>
      <c r="AQ37" s="534"/>
      <c r="AR37" s="534"/>
      <c r="AS37" s="534"/>
      <c r="AT37" s="534"/>
      <c r="AU37" s="534"/>
      <c r="AV37" s="534"/>
      <c r="AW37" s="534"/>
      <c r="AX37" s="534"/>
      <c r="AY37" s="534"/>
      <c r="AZ37" s="534"/>
      <c r="BA37" s="534"/>
      <c r="BB37" s="534"/>
      <c r="BC37" s="534"/>
      <c r="BD37" s="534"/>
      <c r="BE37" s="534"/>
      <c r="BF37" s="534"/>
      <c r="BG37" s="544"/>
      <c r="BH37" s="545"/>
      <c r="BI37" s="545"/>
      <c r="BJ37" s="536"/>
      <c r="BK37" s="1"/>
      <c r="BL37" s="1"/>
      <c r="BM37" s="1"/>
      <c r="BN37" s="1"/>
      <c r="BQ37" s="533"/>
      <c r="BR37" s="533"/>
      <c r="BS37" s="533"/>
      <c r="BT37" s="533"/>
      <c r="BU37" s="533"/>
      <c r="BV37" s="304" t="s">
        <v>2689</v>
      </c>
      <c r="BW37" s="304" t="s">
        <v>2690</v>
      </c>
      <c r="BY37" s="102"/>
      <c r="BZ37" s="102"/>
      <c r="CA37" s="102"/>
      <c r="CB37" s="208"/>
      <c r="CC37" s="208"/>
      <c r="CD37" s="208"/>
      <c r="CE37" s="208"/>
      <c r="CF37" s="208"/>
      <c r="CG37" s="208"/>
      <c r="CH37" s="208"/>
      <c r="CI37" s="208"/>
      <c r="CJ37" s="208"/>
      <c r="CK37" s="208"/>
      <c r="CL37" s="208"/>
      <c r="CM37" s="102"/>
      <c r="CN37" s="102"/>
      <c r="CO37" s="102"/>
      <c r="CP37" s="102"/>
      <c r="CQ37" s="102"/>
      <c r="CR37" s="102"/>
      <c r="CS37" s="102"/>
      <c r="CT37" s="102"/>
      <c r="CU37" s="102"/>
      <c r="CV37" s="102"/>
      <c r="CW37" s="102"/>
      <c r="CX37" s="102"/>
      <c r="CY37" s="102"/>
      <c r="CZ37" s="102"/>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row>
    <row r="38" spans="1:178" s="22" customFormat="1" ht="15.6" customHeight="1">
      <c r="A38" s="381"/>
      <c r="B38" s="208"/>
      <c r="C38" s="208"/>
      <c r="D38" s="208"/>
      <c r="E38" s="208"/>
      <c r="F38" s="208"/>
      <c r="G38" s="208"/>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678"/>
      <c r="AN38" s="678"/>
      <c r="AO38" s="208"/>
      <c r="AP38" s="208"/>
      <c r="AQ38" s="208"/>
      <c r="AR38" s="208"/>
      <c r="AS38" s="208"/>
      <c r="AT38" s="678"/>
      <c r="AU38" s="678"/>
      <c r="AV38" s="208"/>
      <c r="AW38" s="208"/>
      <c r="AX38" s="208"/>
      <c r="AY38" s="208"/>
      <c r="AZ38" s="208"/>
      <c r="BA38" s="208"/>
      <c r="BB38" s="25"/>
      <c r="BC38" s="25"/>
      <c r="BD38" s="25"/>
      <c r="BE38" s="25"/>
      <c r="BF38" s="61" t="s">
        <v>2691</v>
      </c>
      <c r="BG38" s="25"/>
      <c r="BH38" s="896" t="str">
        <f>IF(BM27&gt;=1,SUM(BH27:BH36),"")</f>
        <v/>
      </c>
      <c r="BI38" s="896"/>
      <c r="BJ38" s="537"/>
      <c r="BK38" s="1"/>
      <c r="BL38" s="1"/>
      <c r="BM38" s="1"/>
      <c r="BN38" s="1"/>
      <c r="BQ38" s="533"/>
      <c r="BR38" s="533"/>
      <c r="BS38" s="533"/>
      <c r="BT38" s="533"/>
      <c r="BU38" s="533"/>
      <c r="BV38" s="302">
        <f>SUM(BV27:BV36)</f>
        <v>0</v>
      </c>
      <c r="BW38" s="299">
        <f>SUM(BW27:BW36)</f>
        <v>0</v>
      </c>
      <c r="BY38" s="102"/>
      <c r="BZ38" s="102"/>
      <c r="CA38" s="102"/>
      <c r="CB38" s="94"/>
      <c r="CC38" s="94"/>
      <c r="CD38" s="94"/>
      <c r="CE38" s="94"/>
      <c r="CF38" s="94"/>
      <c r="CG38" s="94"/>
      <c r="CH38" s="94"/>
      <c r="CI38" s="94"/>
      <c r="CJ38" s="94"/>
      <c r="CK38" s="94"/>
      <c r="CL38" s="94"/>
      <c r="CM38" s="102"/>
      <c r="CN38" s="102"/>
      <c r="CO38" s="102"/>
      <c r="CP38" s="102"/>
      <c r="CQ38" s="102"/>
      <c r="CR38" s="102"/>
      <c r="CS38" s="102"/>
      <c r="CT38" s="102"/>
      <c r="CU38" s="102"/>
      <c r="CV38" s="102"/>
      <c r="CW38" s="102"/>
      <c r="CX38" s="102"/>
      <c r="CY38" s="102"/>
      <c r="CZ38" s="102"/>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row>
    <row r="39" spans="1:178" s="22" customFormat="1" ht="16.5" thickBot="1">
      <c r="A39" s="62" t="s">
        <v>2692</v>
      </c>
      <c r="B39" s="208"/>
      <c r="C39" s="208"/>
      <c r="D39" s="208"/>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678"/>
      <c r="AN39" s="678"/>
      <c r="AO39" s="208"/>
      <c r="AP39" s="208"/>
      <c r="AQ39" s="208"/>
      <c r="AR39" s="208"/>
      <c r="AS39" s="208"/>
      <c r="AT39" s="678"/>
      <c r="AU39" s="678"/>
      <c r="AV39" s="208"/>
      <c r="AW39" s="208"/>
      <c r="AX39" s="208"/>
      <c r="AY39" s="208"/>
      <c r="AZ39" s="208"/>
      <c r="BA39" s="208"/>
      <c r="BB39" s="208"/>
      <c r="BC39" s="678"/>
      <c r="BD39" s="678"/>
      <c r="BE39" s="208"/>
      <c r="BF39" s="208"/>
      <c r="BG39" s="530"/>
      <c r="BH39" s="530"/>
      <c r="BI39" s="530"/>
      <c r="BJ39" s="538"/>
      <c r="BK39" s="1"/>
      <c r="BL39" s="1"/>
      <c r="BM39" s="1"/>
      <c r="BN39" s="1"/>
      <c r="BQ39" s="533"/>
      <c r="BR39" s="533"/>
      <c r="BS39" s="533"/>
      <c r="BT39" s="533"/>
      <c r="BU39" s="533"/>
      <c r="BV39" s="533"/>
      <c r="BW39" s="533"/>
      <c r="BY39" s="102"/>
      <c r="BZ39" s="102"/>
      <c r="CA39" s="102"/>
      <c r="CB39" s="94"/>
      <c r="CC39" s="94"/>
      <c r="CD39" s="94"/>
      <c r="CE39" s="94"/>
      <c r="CF39" s="94"/>
      <c r="CG39" s="94"/>
      <c r="CH39" s="94"/>
      <c r="CI39" s="94"/>
      <c r="CJ39" s="94"/>
      <c r="CK39" s="94"/>
      <c r="CL39" s="94"/>
      <c r="CM39" s="102"/>
      <c r="CN39" s="102"/>
      <c r="CO39" s="102"/>
      <c r="CP39" s="102"/>
      <c r="CQ39" s="102"/>
      <c r="CR39" s="102"/>
      <c r="CS39" s="102"/>
      <c r="CT39" s="102"/>
      <c r="CU39" s="102"/>
      <c r="CV39" s="102"/>
      <c r="CW39" s="102"/>
      <c r="CX39" s="102"/>
      <c r="CY39" s="102"/>
      <c r="CZ39" s="102"/>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row>
    <row r="40" spans="1:178" s="22" customFormat="1" ht="15.75">
      <c r="A40" s="543"/>
      <c r="B40" s="381"/>
      <c r="C40" s="381"/>
      <c r="D40" s="381"/>
      <c r="E40" s="381"/>
      <c r="F40" s="381"/>
      <c r="G40" s="381"/>
      <c r="H40" s="381"/>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381"/>
      <c r="AL40" s="381"/>
      <c r="AM40" s="676"/>
      <c r="AN40" s="676"/>
      <c r="AO40" s="381"/>
      <c r="AP40" s="905" t="s">
        <v>2655</v>
      </c>
      <c r="AQ40" s="905"/>
      <c r="AR40" s="905"/>
      <c r="AS40" s="905"/>
      <c r="AT40" s="905"/>
      <c r="AU40" s="905"/>
      <c r="AV40" s="905"/>
      <c r="AW40" s="905"/>
      <c r="AX40" s="905"/>
      <c r="AY40" s="905"/>
      <c r="AZ40" s="905"/>
      <c r="BA40" s="905"/>
      <c r="BB40" s="905"/>
      <c r="BC40" s="905"/>
      <c r="BD40" s="905"/>
      <c r="BE40" s="905"/>
      <c r="BF40" s="905"/>
      <c r="BG40" s="881" t="s">
        <v>2693</v>
      </c>
      <c r="BH40" s="881"/>
      <c r="BI40" s="881"/>
      <c r="BJ40" s="225"/>
      <c r="BK40" s="1"/>
      <c r="BL40" s="1"/>
      <c r="BM40" s="1"/>
      <c r="BN40" s="1"/>
      <c r="BQ40" s="906" t="s">
        <v>2694</v>
      </c>
      <c r="BR40" s="907"/>
      <c r="BS40" s="907"/>
      <c r="BT40" s="907"/>
      <c r="BU40" s="907"/>
      <c r="BV40" s="907"/>
      <c r="BW40" s="908"/>
      <c r="BY40" s="102"/>
      <c r="BZ40" s="102"/>
      <c r="CA40" s="102"/>
      <c r="CB40" s="94"/>
      <c r="CC40" s="94"/>
      <c r="CD40" s="94"/>
      <c r="CE40" s="94"/>
      <c r="CF40" s="94"/>
      <c r="CG40" s="94"/>
      <c r="CH40" s="94"/>
      <c r="CI40" s="94"/>
      <c r="CJ40" s="94"/>
      <c r="CK40" s="94"/>
      <c r="CL40" s="94"/>
      <c r="CM40" s="102"/>
      <c r="CN40" s="102"/>
      <c r="CO40" s="102"/>
      <c r="CP40" s="102"/>
      <c r="CQ40" s="102"/>
      <c r="CR40" s="102"/>
      <c r="CS40" s="102"/>
      <c r="CT40" s="102"/>
      <c r="CU40" s="102"/>
      <c r="CV40" s="102"/>
      <c r="CW40" s="102"/>
      <c r="CX40" s="102"/>
      <c r="CY40" s="102"/>
      <c r="CZ40" s="102"/>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row>
    <row r="41" spans="1:178" s="22" customFormat="1" ht="20.45" customHeight="1">
      <c r="A41" s="519"/>
      <c r="B41" s="208"/>
      <c r="C41" s="49"/>
      <c r="D41" s="208"/>
      <c r="E41" s="208"/>
      <c r="F41" s="50"/>
      <c r="G41" s="50"/>
      <c r="H41" s="50"/>
      <c r="I41" s="50"/>
      <c r="J41" s="50"/>
      <c r="K41" s="50"/>
      <c r="L41" s="50"/>
      <c r="M41" s="50"/>
      <c r="N41" s="50"/>
      <c r="O41" s="50"/>
      <c r="P41" s="50"/>
      <c r="Q41" s="208"/>
      <c r="R41" s="546"/>
      <c r="S41" s="546"/>
      <c r="T41" s="546"/>
      <c r="U41" s="546"/>
      <c r="V41" s="204"/>
      <c r="W41" s="909"/>
      <c r="X41" s="909"/>
      <c r="Y41" s="909"/>
      <c r="Z41" s="909"/>
      <c r="AA41" s="909"/>
      <c r="AB41" s="909"/>
      <c r="AC41" s="204"/>
      <c r="AD41" s="204"/>
      <c r="AE41" s="204"/>
      <c r="AF41" s="204"/>
      <c r="AG41" s="204"/>
      <c r="AH41" s="51"/>
      <c r="AI41" s="51" t="s">
        <v>2682</v>
      </c>
      <c r="AJ41" s="204"/>
      <c r="AK41" s="52"/>
      <c r="AL41" s="204"/>
      <c r="AM41" s="677"/>
      <c r="AN41" s="677"/>
      <c r="AO41" s="204"/>
      <c r="AP41" s="910" t="s">
        <v>2695</v>
      </c>
      <c r="AQ41" s="910"/>
      <c r="AR41" s="910"/>
      <c r="AS41" s="910"/>
      <c r="AT41" s="910"/>
      <c r="AU41" s="910"/>
      <c r="AV41" s="910"/>
      <c r="AW41" s="910"/>
      <c r="AX41" s="910"/>
      <c r="AY41" s="910" t="s">
        <v>2696</v>
      </c>
      <c r="AZ41" s="910"/>
      <c r="BA41" s="910"/>
      <c r="BB41" s="910"/>
      <c r="BC41" s="910"/>
      <c r="BD41" s="910"/>
      <c r="BE41" s="910"/>
      <c r="BF41" s="910"/>
      <c r="BG41" s="882"/>
      <c r="BH41" s="882"/>
      <c r="BI41" s="882"/>
      <c r="BJ41" s="53"/>
      <c r="BK41" s="1"/>
      <c r="BL41" s="1"/>
      <c r="BM41" s="1"/>
      <c r="BN41" s="1"/>
      <c r="BQ41" s="84"/>
      <c r="BR41" s="84"/>
      <c r="BS41" s="84"/>
      <c r="BT41" s="84"/>
      <c r="BU41" s="84"/>
      <c r="BV41" s="84"/>
      <c r="BW41" s="84"/>
      <c r="BY41" s="102"/>
      <c r="BZ41" s="102"/>
      <c r="CA41" s="102"/>
      <c r="CB41" s="94"/>
      <c r="CC41" s="94"/>
      <c r="CD41" s="94"/>
      <c r="CE41" s="94"/>
      <c r="CF41" s="94"/>
      <c r="CG41" s="94"/>
      <c r="CH41" s="94"/>
      <c r="CI41" s="94"/>
      <c r="CJ41" s="94"/>
      <c r="CK41" s="94"/>
      <c r="CL41" s="94"/>
      <c r="CM41" s="102"/>
      <c r="CN41" s="102"/>
      <c r="CO41" s="102"/>
      <c r="CP41" s="102"/>
      <c r="CQ41" s="102"/>
      <c r="CR41" s="102"/>
      <c r="CS41" s="102"/>
      <c r="CT41" s="102"/>
      <c r="CU41" s="102"/>
      <c r="CV41" s="102"/>
      <c r="CW41" s="102"/>
      <c r="CX41" s="102"/>
      <c r="CY41" s="102"/>
      <c r="CZ41" s="102"/>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row>
    <row r="42" spans="1:178" s="22" customFormat="1" ht="24.6" customHeight="1">
      <c r="A42" s="48"/>
      <c r="B42" s="159" t="s">
        <v>2661</v>
      </c>
      <c r="C42" s="411"/>
      <c r="D42" s="159" t="s">
        <v>2662</v>
      </c>
      <c r="E42" s="159"/>
      <c r="F42" s="159" t="s">
        <v>2663</v>
      </c>
      <c r="G42" s="50"/>
      <c r="H42" s="50"/>
      <c r="I42" s="50"/>
      <c r="J42" s="50"/>
      <c r="K42" s="50"/>
      <c r="L42" s="50"/>
      <c r="M42" s="50"/>
      <c r="N42" s="50"/>
      <c r="O42" s="50"/>
      <c r="P42" s="50"/>
      <c r="Q42" s="208"/>
      <c r="R42" s="546"/>
      <c r="S42" s="546"/>
      <c r="T42" s="546"/>
      <c r="U42" s="546"/>
      <c r="V42" s="204"/>
      <c r="W42" s="909"/>
      <c r="X42" s="909"/>
      <c r="Y42" s="909"/>
      <c r="Z42" s="909"/>
      <c r="AA42" s="909"/>
      <c r="AB42" s="909"/>
      <c r="AC42" s="204"/>
      <c r="AD42" s="159" t="s">
        <v>2664</v>
      </c>
      <c r="AE42" s="197"/>
      <c r="AF42" s="159"/>
      <c r="AG42" s="159"/>
      <c r="AH42" s="410"/>
      <c r="AI42" s="159" t="s">
        <v>2665</v>
      </c>
      <c r="AJ42" s="197"/>
      <c r="AK42" s="159"/>
      <c r="AL42" s="204"/>
      <c r="AM42" s="677"/>
      <c r="AN42" s="677"/>
      <c r="AO42" s="204"/>
      <c r="AP42" s="911" t="s">
        <v>2697</v>
      </c>
      <c r="AQ42" s="911"/>
      <c r="AR42" s="911"/>
      <c r="AS42" s="911"/>
      <c r="AT42" s="911"/>
      <c r="AU42" s="911"/>
      <c r="AV42" s="911"/>
      <c r="AW42" s="911"/>
      <c r="AX42" s="50"/>
      <c r="AY42" s="911" t="s">
        <v>2698</v>
      </c>
      <c r="AZ42" s="911"/>
      <c r="BA42" s="911"/>
      <c r="BB42" s="911"/>
      <c r="BC42" s="911"/>
      <c r="BD42" s="911"/>
      <c r="BE42" s="911"/>
      <c r="BF42" s="50"/>
      <c r="BG42" s="882"/>
      <c r="BH42" s="882"/>
      <c r="BI42" s="882"/>
      <c r="BJ42" s="53"/>
      <c r="BK42" s="1"/>
      <c r="BL42" s="1"/>
      <c r="BM42" s="1"/>
      <c r="BN42" s="1"/>
      <c r="BQ42" s="542" t="s">
        <v>2667</v>
      </c>
      <c r="BR42" s="542" t="s">
        <v>2668</v>
      </c>
      <c r="BS42" s="542" t="s">
        <v>2669</v>
      </c>
      <c r="BT42" s="542" t="s">
        <v>2670</v>
      </c>
      <c r="BU42" s="542" t="s">
        <v>2671</v>
      </c>
      <c r="BV42" s="306" t="s">
        <v>2687</v>
      </c>
      <c r="BW42" s="307" t="s">
        <v>2688</v>
      </c>
      <c r="BY42" s="102"/>
      <c r="BZ42" s="102"/>
      <c r="CA42" s="102"/>
      <c r="CB42" s="94"/>
      <c r="CC42" s="94"/>
      <c r="CD42" s="94"/>
      <c r="CE42" s="94"/>
      <c r="CF42" s="94"/>
      <c r="CG42" s="94"/>
      <c r="CH42" s="94"/>
      <c r="CI42" s="94"/>
      <c r="CJ42" s="94"/>
      <c r="CK42" s="94"/>
      <c r="CL42" s="94"/>
      <c r="CM42" s="102"/>
      <c r="CN42" s="102"/>
      <c r="CO42" s="102"/>
      <c r="CP42" s="102"/>
      <c r="CQ42" s="102"/>
      <c r="CR42" s="102"/>
      <c r="CS42" s="102"/>
      <c r="CT42" s="102"/>
      <c r="CU42" s="102"/>
      <c r="CV42" s="102"/>
      <c r="CW42" s="102"/>
      <c r="CX42" s="102"/>
      <c r="CY42" s="102"/>
      <c r="CZ42" s="102"/>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row>
    <row r="43" spans="1:178" ht="14.1" customHeight="1">
      <c r="A43" s="54"/>
      <c r="B43" s="64"/>
      <c r="C43" s="333"/>
      <c r="D43" s="64"/>
      <c r="E43" s="231"/>
      <c r="F43" s="890"/>
      <c r="G43" s="890"/>
      <c r="H43" s="890"/>
      <c r="I43" s="890"/>
      <c r="J43" s="890"/>
      <c r="K43" s="890"/>
      <c r="L43" s="890"/>
      <c r="M43" s="890"/>
      <c r="N43" s="890"/>
      <c r="O43" s="890"/>
      <c r="P43" s="890"/>
      <c r="Q43" s="890"/>
      <c r="R43" s="890"/>
      <c r="S43" s="890"/>
      <c r="T43" s="890"/>
      <c r="U43" s="890"/>
      <c r="V43" s="890"/>
      <c r="W43" s="890"/>
      <c r="X43" s="890"/>
      <c r="Y43" s="890"/>
      <c r="Z43" s="890"/>
      <c r="AA43" s="890"/>
      <c r="AB43" s="208"/>
      <c r="AC43" s="204"/>
      <c r="AD43" s="891"/>
      <c r="AE43" s="892"/>
      <c r="AF43" s="892"/>
      <c r="AG43" s="893"/>
      <c r="AH43" s="333"/>
      <c r="AI43" s="64"/>
      <c r="AJ43" s="43" t="str">
        <f>IF(OR(D43="",AW43="Ineligible"),"","EER")</f>
        <v/>
      </c>
      <c r="AK43" s="159"/>
      <c r="AL43" s="204"/>
      <c r="AM43" s="677"/>
      <c r="AN43" s="677"/>
      <c r="AO43" s="204"/>
      <c r="AP43" s="55" t="str">
        <f>IFERROR(IF(D43="","",VLOOKUP('HVAC Efficiency Tables'!X262&amp;'HVAC Efficiency Tables'!Y262&amp;'HVAC Efficiency Tables'!Z262,HVACEfficiencies,3,FALSE)),"")</f>
        <v/>
      </c>
      <c r="AQ43" s="43" t="str">
        <f>IF(OR(AP43="N/A",AP43=""),"","EER")</f>
        <v/>
      </c>
      <c r="AR43" s="532"/>
      <c r="AS43" s="43"/>
      <c r="AT43" s="43"/>
      <c r="AU43" s="43"/>
      <c r="AV43" s="43"/>
      <c r="AW43" s="894" t="str">
        <f>IF(AY43&lt;=AI43,"",IF(OR(AI43="",$AP43="",AP43="N/A"),"",IF($AY43&lt;=AI43,"",IF($AP43&lt;=AI43,"Qualified","Not Qualified"))))</f>
        <v/>
      </c>
      <c r="AX43" s="894"/>
      <c r="AY43" s="55" t="str">
        <f>IFERROR(IF(D43="","",VLOOKUP('HVAC Efficiency Tables'!X262&amp;'HVAC Efficiency Tables'!Y262&amp;'HVAC Efficiency Tables'!Z262,HVACEfficiencies,5,FALSE)),"")</f>
        <v/>
      </c>
      <c r="AZ43" s="43" t="str">
        <f>IF(OR(AY43="N/A",AY43=""),"","EER")</f>
        <v/>
      </c>
      <c r="BA43" s="532"/>
      <c r="BB43" s="43"/>
      <c r="BC43" s="43"/>
      <c r="BD43" s="43"/>
      <c r="BE43" s="894" t="str">
        <f>IF(OR(AI43="",$AY43="",$AY43="N/A"),"",IF(AND($AY43&lt;=AI43,OR($BA43&lt;=AK43,$BA43="N/A")),"Qualified","Not Qualified"))</f>
        <v/>
      </c>
      <c r="BF43" s="894"/>
      <c r="BG43" s="157" t="s">
        <v>142</v>
      </c>
      <c r="BH43" s="895" t="str">
        <f>IF(AW43="Qualified",D43*B43*25,IF(BE43="Qualified",B43*D43*50,""))</f>
        <v/>
      </c>
      <c r="BI43" s="895"/>
      <c r="BJ43" s="582"/>
      <c r="BM43" s="296">
        <f>COUNTIF(AW42:AW52,"Qualified")+COUNTIF(BE42:BE52,"Qualified")</f>
        <v>0</v>
      </c>
      <c r="BQ43" s="298" t="b">
        <f t="shared" ref="BQ43:BR52" si="34">IF($BR$1="ID",IF($AW43="Qualified",38.9,IF($BE43="Qualified",71.31,"")),IF($BR$1="OR",IF($AW43="Qualified",29.94,IF($BE43="Qualified",54.89,""))))</f>
        <v>0</v>
      </c>
      <c r="BR43" s="298" t="b">
        <f t="shared" si="34"/>
        <v>0</v>
      </c>
      <c r="BS43" s="298">
        <f>IFERROR(ROUND((BQ43*52%)+(BR43*48%),2),"")</f>
        <v>0</v>
      </c>
      <c r="BT43" s="298" t="b">
        <f t="shared" ref="BT43:BT52" si="35">IF($BR$1="ID",IF($AW43="Qualified",38.9,IF($BE43="Qualified",71.31,"")),IF($BR$1="OR",IF($AW43="Qualified",29.94,IF($BE43="Qualified",54.89,""))))</f>
        <v>0</v>
      </c>
      <c r="BU43" s="298" t="b">
        <f>IF($BR$1="ID",IF($AW43="Qualified",71/1000,IF($BE43="Qualified",131/1000,"")),IF($BR$1="OR",IF($AW43="Qualified",71/1000,IF($BE43="Qualified",131/1000,""))))</f>
        <v>0</v>
      </c>
      <c r="BV43" s="617">
        <f>IF(OR(AW43="Qualified",BE43="Qualified"),IF($BT$1="Electric",BS43,BT43)*(B43*D43),0)</f>
        <v>0</v>
      </c>
      <c r="BW43" s="301">
        <f>IF(OR(AW43="Qualified",BE43="Qualified"),BU43*(B43*D43),0)</f>
        <v>0</v>
      </c>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row>
    <row r="44" spans="1:178" ht="14.1" customHeight="1">
      <c r="A44" s="54"/>
      <c r="B44" s="64"/>
      <c r="C44" s="333"/>
      <c r="D44" s="64"/>
      <c r="E44" s="231"/>
      <c r="F44" s="890"/>
      <c r="G44" s="890"/>
      <c r="H44" s="890"/>
      <c r="I44" s="890"/>
      <c r="J44" s="890"/>
      <c r="K44" s="890"/>
      <c r="L44" s="890"/>
      <c r="M44" s="890"/>
      <c r="N44" s="890"/>
      <c r="O44" s="890"/>
      <c r="P44" s="890"/>
      <c r="Q44" s="890"/>
      <c r="R44" s="890"/>
      <c r="S44" s="890"/>
      <c r="T44" s="890"/>
      <c r="U44" s="890"/>
      <c r="V44" s="890"/>
      <c r="W44" s="890"/>
      <c r="X44" s="890"/>
      <c r="Y44" s="890"/>
      <c r="Z44" s="890"/>
      <c r="AA44" s="890"/>
      <c r="AB44" s="208"/>
      <c r="AC44" s="204"/>
      <c r="AD44" s="891"/>
      <c r="AE44" s="892"/>
      <c r="AF44" s="892"/>
      <c r="AG44" s="893"/>
      <c r="AH44" s="333"/>
      <c r="AI44" s="64"/>
      <c r="AJ44" s="43" t="str">
        <f t="shared" ref="AJ44:AJ52" si="36">IF(OR(D44="",AW44="Ineligible"),"","EER")</f>
        <v/>
      </c>
      <c r="AK44" s="159"/>
      <c r="AL44" s="204"/>
      <c r="AM44" s="677"/>
      <c r="AN44" s="677"/>
      <c r="AO44" s="204"/>
      <c r="AP44" s="55" t="str">
        <f>IFERROR(IF(D44="","",VLOOKUP('HVAC Efficiency Tables'!X263&amp;'HVAC Efficiency Tables'!Y263&amp;'HVAC Efficiency Tables'!Z263,HVACEfficiencies,3,FALSE)),"")</f>
        <v/>
      </c>
      <c r="AQ44" s="43" t="str">
        <f t="shared" ref="AQ44:AQ52" si="37">IF(OR(AP44="N/A",AP44=""),"","EER")</f>
        <v/>
      </c>
      <c r="AR44" s="532"/>
      <c r="AS44" s="43"/>
      <c r="AT44" s="43"/>
      <c r="AU44" s="43"/>
      <c r="AV44" s="43"/>
      <c r="AW44" s="894" t="str">
        <f t="shared" ref="AW44:AW52" si="38">IF(AY44&lt;=AI44,"",IF(OR(AI44="",$AP44="",AP44="N/A"),"",IF($AY44&lt;=AI44,"",IF($AP44&lt;=AI44,"Qualified","Not Qualified"))))</f>
        <v/>
      </c>
      <c r="AX44" s="894"/>
      <c r="AY44" s="55" t="str">
        <f>IFERROR(IF(D44="","",VLOOKUP('HVAC Efficiency Tables'!X263&amp;'HVAC Efficiency Tables'!Y263&amp;'HVAC Efficiency Tables'!Z263,HVACEfficiencies,5,FALSE)),"")</f>
        <v/>
      </c>
      <c r="AZ44" s="43" t="str">
        <f t="shared" ref="AZ44:AZ52" si="39">IF(OR(AY44="N/A",AY44=""),"","EER")</f>
        <v/>
      </c>
      <c r="BA44" s="532"/>
      <c r="BB44" s="43"/>
      <c r="BC44" s="43"/>
      <c r="BD44" s="43"/>
      <c r="BE44" s="894" t="str">
        <f t="shared" ref="BE44:BE52" si="40">IF(OR(AI44="",$AY44="",$AY44="N/A"),"",IF(AND($AY44&lt;=AI44,OR($BA44&lt;=AK44,$BA44="N/A")),"Qualified","Not Qualified"))</f>
        <v/>
      </c>
      <c r="BF44" s="894"/>
      <c r="BG44" s="157" t="s">
        <v>142</v>
      </c>
      <c r="BH44" s="895" t="str">
        <f t="shared" ref="BH44:BH52" si="41">IF(AW44="Qualified",D44*B44*25,IF(BE44="Qualified",B44*D44*50,""))</f>
        <v/>
      </c>
      <c r="BI44" s="895"/>
      <c r="BJ44" s="582"/>
      <c r="BQ44" s="298" t="b">
        <f t="shared" si="34"/>
        <v>0</v>
      </c>
      <c r="BR44" s="298" t="b">
        <f t="shared" si="34"/>
        <v>0</v>
      </c>
      <c r="BS44" s="298">
        <f t="shared" ref="BS44:BS52" si="42">IFERROR(ROUND((BQ44*52%)+(BR44*48%),2),"")</f>
        <v>0</v>
      </c>
      <c r="BT44" s="298" t="b">
        <f t="shared" si="35"/>
        <v>0</v>
      </c>
      <c r="BU44" s="298" t="b">
        <f t="shared" ref="BU44:BU52" si="43">IF($BR$1="ID",IF($AW44="Qualified",71/1000,IF($BE44="Qualified",131/1000,"")),IF($BR$1="OR",IF($AW44="Qualified",71/1000,IF($BE44="Qualified",131/1000,""))))</f>
        <v>0</v>
      </c>
      <c r="BV44" s="617">
        <f t="shared" ref="BV44:BV52" si="44">IF(OR(AW44="Qualified",BE44="Qualified"),IF($BT$1="Electric",BS44,BT44)*(B44*D44),0)</f>
        <v>0</v>
      </c>
      <c r="BW44" s="301">
        <f t="shared" ref="BW44:BW52" si="45">IF(OR(AW44="Qualified",BE44="Qualified"),BU44*(B44*D44),0)</f>
        <v>0</v>
      </c>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row>
    <row r="45" spans="1:178" ht="14.1" customHeight="1">
      <c r="A45" s="54"/>
      <c r="B45" s="64"/>
      <c r="C45" s="333"/>
      <c r="D45" s="64"/>
      <c r="E45" s="231"/>
      <c r="F45" s="890"/>
      <c r="G45" s="890"/>
      <c r="H45" s="890"/>
      <c r="I45" s="890"/>
      <c r="J45" s="890"/>
      <c r="K45" s="890"/>
      <c r="L45" s="890"/>
      <c r="M45" s="890"/>
      <c r="N45" s="890"/>
      <c r="O45" s="890"/>
      <c r="P45" s="890"/>
      <c r="Q45" s="890"/>
      <c r="R45" s="890"/>
      <c r="S45" s="890"/>
      <c r="T45" s="890"/>
      <c r="U45" s="890"/>
      <c r="V45" s="890"/>
      <c r="W45" s="890"/>
      <c r="X45" s="890"/>
      <c r="Y45" s="890"/>
      <c r="Z45" s="890"/>
      <c r="AA45" s="890"/>
      <c r="AB45" s="208"/>
      <c r="AC45" s="204"/>
      <c r="AD45" s="891"/>
      <c r="AE45" s="892"/>
      <c r="AF45" s="892"/>
      <c r="AG45" s="893"/>
      <c r="AH45" s="333"/>
      <c r="AI45" s="64"/>
      <c r="AJ45" s="43" t="str">
        <f>IF(OR(D45="",AW45="Ineligible"),"","EER")</f>
        <v/>
      </c>
      <c r="AK45" s="159"/>
      <c r="AL45" s="204"/>
      <c r="AM45" s="677"/>
      <c r="AN45" s="677"/>
      <c r="AO45" s="204"/>
      <c r="AP45" s="55" t="str">
        <f>IFERROR(IF(D45="","",VLOOKUP('HVAC Efficiency Tables'!X264&amp;'HVAC Efficiency Tables'!Y264&amp;'HVAC Efficiency Tables'!Z264,HVACEfficiencies,3,FALSE)),"")</f>
        <v/>
      </c>
      <c r="AQ45" s="43" t="str">
        <f t="shared" si="37"/>
        <v/>
      </c>
      <c r="AR45" s="532"/>
      <c r="AS45" s="43"/>
      <c r="AT45" s="43"/>
      <c r="AU45" s="43"/>
      <c r="AV45" s="43"/>
      <c r="AW45" s="894" t="str">
        <f t="shared" si="38"/>
        <v/>
      </c>
      <c r="AX45" s="894"/>
      <c r="AY45" s="55" t="str">
        <f>IFERROR(IF(D45="","",VLOOKUP('HVAC Efficiency Tables'!X264&amp;'HVAC Efficiency Tables'!Y264&amp;'HVAC Efficiency Tables'!Z264,HVACEfficiencies,5,FALSE)),"")</f>
        <v/>
      </c>
      <c r="AZ45" s="43" t="str">
        <f t="shared" si="39"/>
        <v/>
      </c>
      <c r="BA45" s="532"/>
      <c r="BB45" s="43"/>
      <c r="BC45" s="43"/>
      <c r="BD45" s="43"/>
      <c r="BE45" s="894" t="str">
        <f t="shared" si="40"/>
        <v/>
      </c>
      <c r="BF45" s="894"/>
      <c r="BG45" s="157" t="s">
        <v>142</v>
      </c>
      <c r="BH45" s="895" t="str">
        <f t="shared" si="41"/>
        <v/>
      </c>
      <c r="BI45" s="895"/>
      <c r="BJ45" s="582"/>
      <c r="BQ45" s="298" t="b">
        <f t="shared" si="34"/>
        <v>0</v>
      </c>
      <c r="BR45" s="298" t="b">
        <f t="shared" si="34"/>
        <v>0</v>
      </c>
      <c r="BS45" s="298">
        <f t="shared" si="42"/>
        <v>0</v>
      </c>
      <c r="BT45" s="298" t="b">
        <f t="shared" si="35"/>
        <v>0</v>
      </c>
      <c r="BU45" s="298" t="b">
        <f t="shared" si="43"/>
        <v>0</v>
      </c>
      <c r="BV45" s="617">
        <f t="shared" si="44"/>
        <v>0</v>
      </c>
      <c r="BW45" s="301">
        <f t="shared" si="45"/>
        <v>0</v>
      </c>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row>
    <row r="46" spans="1:178" ht="14.1" customHeight="1">
      <c r="A46" s="54"/>
      <c r="B46" s="64"/>
      <c r="C46" s="333"/>
      <c r="D46" s="64"/>
      <c r="E46" s="231"/>
      <c r="F46" s="890"/>
      <c r="G46" s="890"/>
      <c r="H46" s="890"/>
      <c r="I46" s="890"/>
      <c r="J46" s="890"/>
      <c r="K46" s="890"/>
      <c r="L46" s="890"/>
      <c r="M46" s="890"/>
      <c r="N46" s="890"/>
      <c r="O46" s="890"/>
      <c r="P46" s="890"/>
      <c r="Q46" s="890"/>
      <c r="R46" s="890"/>
      <c r="S46" s="890"/>
      <c r="T46" s="890"/>
      <c r="U46" s="890"/>
      <c r="V46" s="890"/>
      <c r="W46" s="890"/>
      <c r="X46" s="890"/>
      <c r="Y46" s="890"/>
      <c r="Z46" s="890"/>
      <c r="AA46" s="890"/>
      <c r="AB46" s="208"/>
      <c r="AC46" s="204"/>
      <c r="AD46" s="891"/>
      <c r="AE46" s="892"/>
      <c r="AF46" s="892"/>
      <c r="AG46" s="893"/>
      <c r="AH46" s="333"/>
      <c r="AI46" s="64"/>
      <c r="AJ46" s="43" t="str">
        <f t="shared" si="36"/>
        <v/>
      </c>
      <c r="AK46" s="159"/>
      <c r="AL46" s="204"/>
      <c r="AM46" s="677"/>
      <c r="AN46" s="677"/>
      <c r="AO46" s="204"/>
      <c r="AP46" s="55" t="str">
        <f>IFERROR(IF(D46="","",VLOOKUP('HVAC Efficiency Tables'!X265&amp;'HVAC Efficiency Tables'!Y265&amp;'HVAC Efficiency Tables'!Z265,HVACEfficiencies,3,FALSE)),"")</f>
        <v/>
      </c>
      <c r="AQ46" s="43" t="str">
        <f t="shared" si="37"/>
        <v/>
      </c>
      <c r="AR46" s="532"/>
      <c r="AS46" s="43"/>
      <c r="AT46" s="43"/>
      <c r="AU46" s="43"/>
      <c r="AV46" s="43"/>
      <c r="AW46" s="894" t="str">
        <f t="shared" si="38"/>
        <v/>
      </c>
      <c r="AX46" s="894"/>
      <c r="AY46" s="55" t="str">
        <f>IFERROR(IF(D46="","",VLOOKUP('HVAC Efficiency Tables'!X265&amp;'HVAC Efficiency Tables'!Y265&amp;'HVAC Efficiency Tables'!Z265,HVACEfficiencies,5,FALSE)),"")</f>
        <v/>
      </c>
      <c r="AZ46" s="43" t="str">
        <f t="shared" si="39"/>
        <v/>
      </c>
      <c r="BA46" s="532"/>
      <c r="BB46" s="43"/>
      <c r="BC46" s="43"/>
      <c r="BD46" s="43"/>
      <c r="BE46" s="894" t="str">
        <f t="shared" si="40"/>
        <v/>
      </c>
      <c r="BF46" s="894"/>
      <c r="BG46" s="157" t="s">
        <v>142</v>
      </c>
      <c r="BH46" s="895" t="str">
        <f t="shared" si="41"/>
        <v/>
      </c>
      <c r="BI46" s="895"/>
      <c r="BJ46" s="582"/>
      <c r="BQ46" s="298" t="b">
        <f t="shared" si="34"/>
        <v>0</v>
      </c>
      <c r="BR46" s="298" t="b">
        <f t="shared" si="34"/>
        <v>0</v>
      </c>
      <c r="BS46" s="298">
        <f t="shared" si="42"/>
        <v>0</v>
      </c>
      <c r="BT46" s="298" t="b">
        <f t="shared" si="35"/>
        <v>0</v>
      </c>
      <c r="BU46" s="298" t="b">
        <f t="shared" si="43"/>
        <v>0</v>
      </c>
      <c r="BV46" s="617">
        <f t="shared" si="44"/>
        <v>0</v>
      </c>
      <c r="BW46" s="301">
        <f t="shared" si="45"/>
        <v>0</v>
      </c>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row>
    <row r="47" spans="1:178" ht="14.1" customHeight="1">
      <c r="A47" s="54"/>
      <c r="B47" s="64"/>
      <c r="C47" s="333"/>
      <c r="D47" s="64"/>
      <c r="E47" s="231"/>
      <c r="F47" s="890"/>
      <c r="G47" s="890"/>
      <c r="H47" s="890"/>
      <c r="I47" s="890"/>
      <c r="J47" s="890"/>
      <c r="K47" s="890"/>
      <c r="L47" s="890"/>
      <c r="M47" s="890"/>
      <c r="N47" s="890"/>
      <c r="O47" s="890"/>
      <c r="P47" s="890"/>
      <c r="Q47" s="890"/>
      <c r="R47" s="890"/>
      <c r="S47" s="890"/>
      <c r="T47" s="890"/>
      <c r="U47" s="890"/>
      <c r="V47" s="890"/>
      <c r="W47" s="890"/>
      <c r="X47" s="890"/>
      <c r="Y47" s="890"/>
      <c r="Z47" s="890"/>
      <c r="AA47" s="890"/>
      <c r="AB47" s="208"/>
      <c r="AC47" s="204"/>
      <c r="AD47" s="891"/>
      <c r="AE47" s="892"/>
      <c r="AF47" s="892"/>
      <c r="AG47" s="893"/>
      <c r="AH47" s="333"/>
      <c r="AI47" s="64"/>
      <c r="AJ47" s="43" t="str">
        <f t="shared" si="36"/>
        <v/>
      </c>
      <c r="AK47" s="159"/>
      <c r="AL47" s="204"/>
      <c r="AM47" s="677"/>
      <c r="AN47" s="677"/>
      <c r="AO47" s="204"/>
      <c r="AP47" s="55" t="str">
        <f>IFERROR(IF(D47="","",VLOOKUP('HVAC Efficiency Tables'!X266&amp;'HVAC Efficiency Tables'!Y266&amp;'HVAC Efficiency Tables'!Z266,HVACEfficiencies,3,FALSE)),"")</f>
        <v/>
      </c>
      <c r="AQ47" s="43" t="str">
        <f t="shared" si="37"/>
        <v/>
      </c>
      <c r="AR47" s="532"/>
      <c r="AS47" s="43"/>
      <c r="AT47" s="43"/>
      <c r="AU47" s="43"/>
      <c r="AV47" s="43"/>
      <c r="AW47" s="894" t="str">
        <f t="shared" si="38"/>
        <v/>
      </c>
      <c r="AX47" s="894"/>
      <c r="AY47" s="55" t="str">
        <f>IFERROR(IF(D47="","",VLOOKUP('HVAC Efficiency Tables'!X266&amp;'HVAC Efficiency Tables'!Y266&amp;'HVAC Efficiency Tables'!Z266,HVACEfficiencies,5,FALSE)),"")</f>
        <v/>
      </c>
      <c r="AZ47" s="43" t="str">
        <f t="shared" si="39"/>
        <v/>
      </c>
      <c r="BA47" s="532"/>
      <c r="BB47" s="43"/>
      <c r="BC47" s="43"/>
      <c r="BD47" s="43"/>
      <c r="BE47" s="894" t="str">
        <f t="shared" si="40"/>
        <v/>
      </c>
      <c r="BF47" s="894"/>
      <c r="BG47" s="157" t="s">
        <v>142</v>
      </c>
      <c r="BH47" s="895" t="str">
        <f t="shared" si="41"/>
        <v/>
      </c>
      <c r="BI47" s="895"/>
      <c r="BJ47" s="582"/>
      <c r="BQ47" s="298" t="b">
        <f t="shared" si="34"/>
        <v>0</v>
      </c>
      <c r="BR47" s="298" t="b">
        <f t="shared" si="34"/>
        <v>0</v>
      </c>
      <c r="BS47" s="298">
        <f t="shared" si="42"/>
        <v>0</v>
      </c>
      <c r="BT47" s="298" t="b">
        <f t="shared" si="35"/>
        <v>0</v>
      </c>
      <c r="BU47" s="298" t="b">
        <f t="shared" si="43"/>
        <v>0</v>
      </c>
      <c r="BV47" s="617">
        <f t="shared" si="44"/>
        <v>0</v>
      </c>
      <c r="BW47" s="301">
        <f t="shared" si="45"/>
        <v>0</v>
      </c>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row>
    <row r="48" spans="1:178" ht="14.1" customHeight="1">
      <c r="A48" s="54"/>
      <c r="B48" s="64"/>
      <c r="C48" s="333"/>
      <c r="D48" s="64"/>
      <c r="E48" s="231"/>
      <c r="F48" s="890"/>
      <c r="G48" s="890"/>
      <c r="H48" s="890"/>
      <c r="I48" s="890"/>
      <c r="J48" s="890"/>
      <c r="K48" s="890"/>
      <c r="L48" s="890"/>
      <c r="M48" s="890"/>
      <c r="N48" s="890"/>
      <c r="O48" s="890"/>
      <c r="P48" s="890"/>
      <c r="Q48" s="890"/>
      <c r="R48" s="890"/>
      <c r="S48" s="890"/>
      <c r="T48" s="890"/>
      <c r="U48" s="890"/>
      <c r="V48" s="890"/>
      <c r="W48" s="890"/>
      <c r="X48" s="890"/>
      <c r="Y48" s="890"/>
      <c r="Z48" s="890"/>
      <c r="AA48" s="890"/>
      <c r="AB48" s="208"/>
      <c r="AC48" s="204"/>
      <c r="AD48" s="891"/>
      <c r="AE48" s="892"/>
      <c r="AF48" s="892"/>
      <c r="AG48" s="893"/>
      <c r="AH48" s="333"/>
      <c r="AI48" s="64"/>
      <c r="AJ48" s="43" t="str">
        <f t="shared" si="36"/>
        <v/>
      </c>
      <c r="AK48" s="159"/>
      <c r="AL48" s="204"/>
      <c r="AM48" s="677"/>
      <c r="AN48" s="677"/>
      <c r="AO48" s="204"/>
      <c r="AP48" s="55" t="str">
        <f>IFERROR(IF(D48="","",VLOOKUP('HVAC Efficiency Tables'!X267&amp;'HVAC Efficiency Tables'!Y267&amp;'HVAC Efficiency Tables'!Z267,HVACEfficiencies,3,FALSE)),"")</f>
        <v/>
      </c>
      <c r="AQ48" s="43" t="str">
        <f t="shared" si="37"/>
        <v/>
      </c>
      <c r="AR48" s="532"/>
      <c r="AS48" s="43"/>
      <c r="AT48" s="43"/>
      <c r="AU48" s="43"/>
      <c r="AV48" s="43"/>
      <c r="AW48" s="894" t="str">
        <f t="shared" si="38"/>
        <v/>
      </c>
      <c r="AX48" s="894"/>
      <c r="AY48" s="55" t="str">
        <f>IFERROR(IF(D48="","",VLOOKUP('HVAC Efficiency Tables'!X267&amp;'HVAC Efficiency Tables'!Y267&amp;'HVAC Efficiency Tables'!Z267,HVACEfficiencies,5,FALSE)),"")</f>
        <v/>
      </c>
      <c r="AZ48" s="43" t="str">
        <f t="shared" si="39"/>
        <v/>
      </c>
      <c r="BA48" s="532"/>
      <c r="BB48" s="43"/>
      <c r="BC48" s="43"/>
      <c r="BD48" s="43"/>
      <c r="BE48" s="894" t="str">
        <f t="shared" si="40"/>
        <v/>
      </c>
      <c r="BF48" s="894"/>
      <c r="BG48" s="157" t="s">
        <v>142</v>
      </c>
      <c r="BH48" s="895" t="str">
        <f t="shared" si="41"/>
        <v/>
      </c>
      <c r="BI48" s="895"/>
      <c r="BJ48" s="582"/>
      <c r="BQ48" s="298" t="b">
        <f t="shared" si="34"/>
        <v>0</v>
      </c>
      <c r="BR48" s="298" t="b">
        <f t="shared" si="34"/>
        <v>0</v>
      </c>
      <c r="BS48" s="298">
        <f t="shared" si="42"/>
        <v>0</v>
      </c>
      <c r="BT48" s="298" t="b">
        <f t="shared" si="35"/>
        <v>0</v>
      </c>
      <c r="BU48" s="298" t="b">
        <f t="shared" si="43"/>
        <v>0</v>
      </c>
      <c r="BV48" s="617">
        <f t="shared" si="44"/>
        <v>0</v>
      </c>
      <c r="BW48" s="301">
        <f t="shared" si="45"/>
        <v>0</v>
      </c>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row>
    <row r="49" spans="1:178" ht="14.1" customHeight="1">
      <c r="A49" s="54"/>
      <c r="B49" s="64"/>
      <c r="C49" s="333"/>
      <c r="D49" s="64"/>
      <c r="E49" s="231"/>
      <c r="F49" s="890"/>
      <c r="G49" s="890"/>
      <c r="H49" s="890"/>
      <c r="I49" s="890"/>
      <c r="J49" s="890"/>
      <c r="K49" s="890"/>
      <c r="L49" s="890"/>
      <c r="M49" s="890"/>
      <c r="N49" s="890"/>
      <c r="O49" s="890"/>
      <c r="P49" s="890"/>
      <c r="Q49" s="890"/>
      <c r="R49" s="890"/>
      <c r="S49" s="890"/>
      <c r="T49" s="890"/>
      <c r="U49" s="890"/>
      <c r="V49" s="890"/>
      <c r="W49" s="890"/>
      <c r="X49" s="890"/>
      <c r="Y49" s="890"/>
      <c r="Z49" s="890"/>
      <c r="AA49" s="890"/>
      <c r="AB49" s="208"/>
      <c r="AC49" s="204"/>
      <c r="AD49" s="891"/>
      <c r="AE49" s="892"/>
      <c r="AF49" s="892"/>
      <c r="AG49" s="893"/>
      <c r="AH49" s="333"/>
      <c r="AI49" s="64"/>
      <c r="AJ49" s="43" t="str">
        <f t="shared" si="36"/>
        <v/>
      </c>
      <c r="AK49" s="159"/>
      <c r="AL49" s="204"/>
      <c r="AM49" s="677"/>
      <c r="AN49" s="677"/>
      <c r="AO49" s="204"/>
      <c r="AP49" s="55" t="str">
        <f>IFERROR(IF(D49="","",VLOOKUP('HVAC Efficiency Tables'!X268&amp;'HVAC Efficiency Tables'!Y268&amp;'HVAC Efficiency Tables'!Z268,HVACEfficiencies,3,FALSE)),"")</f>
        <v/>
      </c>
      <c r="AQ49" s="43" t="str">
        <f t="shared" si="37"/>
        <v/>
      </c>
      <c r="AR49" s="532"/>
      <c r="AS49" s="43"/>
      <c r="AT49" s="43"/>
      <c r="AU49" s="43"/>
      <c r="AV49" s="43"/>
      <c r="AW49" s="894" t="str">
        <f t="shared" si="38"/>
        <v/>
      </c>
      <c r="AX49" s="894"/>
      <c r="AY49" s="55" t="str">
        <f>IFERROR(IF(D49="","",VLOOKUP('HVAC Efficiency Tables'!X268&amp;'HVAC Efficiency Tables'!Y268&amp;'HVAC Efficiency Tables'!Z268,HVACEfficiencies,5,FALSE)),"")</f>
        <v/>
      </c>
      <c r="AZ49" s="43" t="str">
        <f t="shared" si="39"/>
        <v/>
      </c>
      <c r="BA49" s="532"/>
      <c r="BB49" s="43"/>
      <c r="BC49" s="43"/>
      <c r="BD49" s="43"/>
      <c r="BE49" s="894" t="str">
        <f t="shared" si="40"/>
        <v/>
      </c>
      <c r="BF49" s="894"/>
      <c r="BG49" s="157" t="s">
        <v>142</v>
      </c>
      <c r="BH49" s="895" t="str">
        <f t="shared" si="41"/>
        <v/>
      </c>
      <c r="BI49" s="895"/>
      <c r="BJ49" s="582"/>
      <c r="BQ49" s="298" t="b">
        <f t="shared" si="34"/>
        <v>0</v>
      </c>
      <c r="BR49" s="298" t="b">
        <f t="shared" si="34"/>
        <v>0</v>
      </c>
      <c r="BS49" s="298">
        <f t="shared" si="42"/>
        <v>0</v>
      </c>
      <c r="BT49" s="298" t="b">
        <f t="shared" si="35"/>
        <v>0</v>
      </c>
      <c r="BU49" s="298" t="b">
        <f t="shared" si="43"/>
        <v>0</v>
      </c>
      <c r="BV49" s="617">
        <f t="shared" si="44"/>
        <v>0</v>
      </c>
      <c r="BW49" s="301">
        <f t="shared" si="45"/>
        <v>0</v>
      </c>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row>
    <row r="50" spans="1:178" ht="14.1" customHeight="1">
      <c r="A50" s="54"/>
      <c r="B50" s="64"/>
      <c r="C50" s="333"/>
      <c r="D50" s="64"/>
      <c r="E50" s="231"/>
      <c r="F50" s="890"/>
      <c r="G50" s="890"/>
      <c r="H50" s="890"/>
      <c r="I50" s="890"/>
      <c r="J50" s="890"/>
      <c r="K50" s="890"/>
      <c r="L50" s="890"/>
      <c r="M50" s="890"/>
      <c r="N50" s="890"/>
      <c r="O50" s="890"/>
      <c r="P50" s="890"/>
      <c r="Q50" s="890"/>
      <c r="R50" s="890"/>
      <c r="S50" s="890"/>
      <c r="T50" s="890"/>
      <c r="U50" s="890"/>
      <c r="V50" s="890"/>
      <c r="W50" s="890"/>
      <c r="X50" s="890"/>
      <c r="Y50" s="890"/>
      <c r="Z50" s="890"/>
      <c r="AA50" s="890"/>
      <c r="AB50" s="208"/>
      <c r="AC50" s="204"/>
      <c r="AD50" s="891"/>
      <c r="AE50" s="892"/>
      <c r="AF50" s="892"/>
      <c r="AG50" s="893"/>
      <c r="AH50" s="333"/>
      <c r="AI50" s="64"/>
      <c r="AJ50" s="43" t="str">
        <f t="shared" si="36"/>
        <v/>
      </c>
      <c r="AK50" s="159"/>
      <c r="AL50" s="204"/>
      <c r="AM50" s="677"/>
      <c r="AN50" s="677"/>
      <c r="AO50" s="204"/>
      <c r="AP50" s="55" t="str">
        <f>IFERROR(IF(D50="","",VLOOKUP('HVAC Efficiency Tables'!X269&amp;'HVAC Efficiency Tables'!Y269&amp;'HVAC Efficiency Tables'!Z269,HVACEfficiencies,3,FALSE)),"")</f>
        <v/>
      </c>
      <c r="AQ50" s="43" t="str">
        <f t="shared" si="37"/>
        <v/>
      </c>
      <c r="AR50" s="532"/>
      <c r="AS50" s="43"/>
      <c r="AT50" s="43"/>
      <c r="AU50" s="43"/>
      <c r="AV50" s="43"/>
      <c r="AW50" s="894" t="str">
        <f t="shared" si="38"/>
        <v/>
      </c>
      <c r="AX50" s="894"/>
      <c r="AY50" s="55" t="str">
        <f>IFERROR(IF(D50="","",VLOOKUP('HVAC Efficiency Tables'!X269&amp;'HVAC Efficiency Tables'!Y269&amp;'HVAC Efficiency Tables'!Z269,HVACEfficiencies,5,FALSE)),"")</f>
        <v/>
      </c>
      <c r="AZ50" s="43" t="str">
        <f t="shared" si="39"/>
        <v/>
      </c>
      <c r="BA50" s="532"/>
      <c r="BB50" s="43"/>
      <c r="BC50" s="43"/>
      <c r="BD50" s="43"/>
      <c r="BE50" s="894" t="str">
        <f t="shared" si="40"/>
        <v/>
      </c>
      <c r="BF50" s="894"/>
      <c r="BG50" s="157" t="s">
        <v>142</v>
      </c>
      <c r="BH50" s="895" t="str">
        <f t="shared" si="41"/>
        <v/>
      </c>
      <c r="BI50" s="895"/>
      <c r="BJ50" s="582"/>
      <c r="BQ50" s="298" t="b">
        <f t="shared" si="34"/>
        <v>0</v>
      </c>
      <c r="BR50" s="298" t="b">
        <f t="shared" si="34"/>
        <v>0</v>
      </c>
      <c r="BS50" s="298">
        <f t="shared" si="42"/>
        <v>0</v>
      </c>
      <c r="BT50" s="298" t="b">
        <f t="shared" si="35"/>
        <v>0</v>
      </c>
      <c r="BU50" s="298" t="b">
        <f t="shared" si="43"/>
        <v>0</v>
      </c>
      <c r="BV50" s="617">
        <f t="shared" si="44"/>
        <v>0</v>
      </c>
      <c r="BW50" s="301">
        <f t="shared" si="45"/>
        <v>0</v>
      </c>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row>
    <row r="51" spans="1:178" ht="14.1" customHeight="1">
      <c r="A51" s="54"/>
      <c r="B51" s="64"/>
      <c r="C51" s="333"/>
      <c r="D51" s="64"/>
      <c r="E51" s="231"/>
      <c r="F51" s="890"/>
      <c r="G51" s="890"/>
      <c r="H51" s="890"/>
      <c r="I51" s="890"/>
      <c r="J51" s="890"/>
      <c r="K51" s="890"/>
      <c r="L51" s="890"/>
      <c r="M51" s="890"/>
      <c r="N51" s="890"/>
      <c r="O51" s="890"/>
      <c r="P51" s="890"/>
      <c r="Q51" s="890"/>
      <c r="R51" s="890"/>
      <c r="S51" s="890"/>
      <c r="T51" s="890"/>
      <c r="U51" s="890"/>
      <c r="V51" s="890"/>
      <c r="W51" s="890"/>
      <c r="X51" s="890"/>
      <c r="Y51" s="890"/>
      <c r="Z51" s="890"/>
      <c r="AA51" s="890"/>
      <c r="AB51" s="208"/>
      <c r="AC51" s="204"/>
      <c r="AD51" s="891"/>
      <c r="AE51" s="892"/>
      <c r="AF51" s="892"/>
      <c r="AG51" s="893"/>
      <c r="AH51" s="333"/>
      <c r="AI51" s="64"/>
      <c r="AJ51" s="43" t="str">
        <f t="shared" si="36"/>
        <v/>
      </c>
      <c r="AK51" s="159"/>
      <c r="AL51" s="204"/>
      <c r="AM51" s="677"/>
      <c r="AN51" s="677"/>
      <c r="AO51" s="204"/>
      <c r="AP51" s="55" t="str">
        <f>IFERROR(IF(D51="","",VLOOKUP('HVAC Efficiency Tables'!X270&amp;'HVAC Efficiency Tables'!Y270&amp;'HVAC Efficiency Tables'!Z270,HVACEfficiencies,3,FALSE)),"")</f>
        <v/>
      </c>
      <c r="AQ51" s="43" t="str">
        <f t="shared" si="37"/>
        <v/>
      </c>
      <c r="AR51" s="532"/>
      <c r="AS51" s="43"/>
      <c r="AT51" s="43"/>
      <c r="AU51" s="43"/>
      <c r="AV51" s="43"/>
      <c r="AW51" s="894" t="str">
        <f t="shared" si="38"/>
        <v/>
      </c>
      <c r="AX51" s="894"/>
      <c r="AY51" s="55" t="str">
        <f>IFERROR(IF(D51="","",VLOOKUP('HVAC Efficiency Tables'!X270&amp;'HVAC Efficiency Tables'!Y270&amp;'HVAC Efficiency Tables'!Z270,HVACEfficiencies,5,FALSE)),"")</f>
        <v/>
      </c>
      <c r="AZ51" s="43" t="str">
        <f t="shared" si="39"/>
        <v/>
      </c>
      <c r="BA51" s="532"/>
      <c r="BB51" s="43"/>
      <c r="BC51" s="43"/>
      <c r="BD51" s="43"/>
      <c r="BE51" s="894" t="str">
        <f t="shared" si="40"/>
        <v/>
      </c>
      <c r="BF51" s="894"/>
      <c r="BG51" s="157" t="s">
        <v>142</v>
      </c>
      <c r="BH51" s="895" t="str">
        <f t="shared" si="41"/>
        <v/>
      </c>
      <c r="BI51" s="895"/>
      <c r="BJ51" s="582"/>
      <c r="BQ51" s="298" t="b">
        <f t="shared" si="34"/>
        <v>0</v>
      </c>
      <c r="BR51" s="298" t="b">
        <f t="shared" si="34"/>
        <v>0</v>
      </c>
      <c r="BS51" s="298">
        <f t="shared" si="42"/>
        <v>0</v>
      </c>
      <c r="BT51" s="298" t="b">
        <f t="shared" si="35"/>
        <v>0</v>
      </c>
      <c r="BU51" s="298" t="b">
        <f t="shared" si="43"/>
        <v>0</v>
      </c>
      <c r="BV51" s="617">
        <f t="shared" si="44"/>
        <v>0</v>
      </c>
      <c r="BW51" s="301">
        <f t="shared" si="45"/>
        <v>0</v>
      </c>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row>
    <row r="52" spans="1:178" ht="14.1" customHeight="1">
      <c r="A52" s="54"/>
      <c r="B52" s="64"/>
      <c r="C52" s="333"/>
      <c r="D52" s="64"/>
      <c r="E52" s="231"/>
      <c r="F52" s="890"/>
      <c r="G52" s="890"/>
      <c r="H52" s="890"/>
      <c r="I52" s="890"/>
      <c r="J52" s="890"/>
      <c r="K52" s="890"/>
      <c r="L52" s="890"/>
      <c r="M52" s="890"/>
      <c r="N52" s="890"/>
      <c r="O52" s="890"/>
      <c r="P52" s="890"/>
      <c r="Q52" s="890"/>
      <c r="R52" s="890"/>
      <c r="S52" s="890"/>
      <c r="T52" s="890"/>
      <c r="U52" s="890"/>
      <c r="V52" s="890"/>
      <c r="W52" s="890"/>
      <c r="X52" s="890"/>
      <c r="Y52" s="890"/>
      <c r="Z52" s="890"/>
      <c r="AA52" s="890"/>
      <c r="AB52" s="208"/>
      <c r="AC52" s="204"/>
      <c r="AD52" s="891"/>
      <c r="AE52" s="892"/>
      <c r="AF52" s="892"/>
      <c r="AG52" s="893"/>
      <c r="AH52" s="333"/>
      <c r="AI52" s="64"/>
      <c r="AJ52" s="43" t="str">
        <f t="shared" si="36"/>
        <v/>
      </c>
      <c r="AK52" s="159"/>
      <c r="AL52" s="204"/>
      <c r="AM52" s="677"/>
      <c r="AN52" s="677"/>
      <c r="AO52" s="204"/>
      <c r="AP52" s="55" t="str">
        <f>IFERROR(IF(D52="","",VLOOKUP('HVAC Efficiency Tables'!X271&amp;'HVAC Efficiency Tables'!Y271&amp;'HVAC Efficiency Tables'!Z271,HVACEfficiencies,3,FALSE)),"")</f>
        <v/>
      </c>
      <c r="AQ52" s="43" t="str">
        <f t="shared" si="37"/>
        <v/>
      </c>
      <c r="AR52" s="532"/>
      <c r="AS52" s="43"/>
      <c r="AT52" s="43"/>
      <c r="AU52" s="43"/>
      <c r="AV52" s="43"/>
      <c r="AW52" s="894" t="str">
        <f t="shared" si="38"/>
        <v/>
      </c>
      <c r="AX52" s="894"/>
      <c r="AY52" s="55" t="str">
        <f>IFERROR(IF(D52="","",VLOOKUP('HVAC Efficiency Tables'!X271&amp;'HVAC Efficiency Tables'!Y271&amp;'HVAC Efficiency Tables'!Z271,HVACEfficiencies,5,FALSE)),"")</f>
        <v/>
      </c>
      <c r="AZ52" s="43" t="str">
        <f t="shared" si="39"/>
        <v/>
      </c>
      <c r="BA52" s="532"/>
      <c r="BB52" s="43"/>
      <c r="BC52" s="43"/>
      <c r="BD52" s="43"/>
      <c r="BE52" s="894" t="str">
        <f t="shared" si="40"/>
        <v/>
      </c>
      <c r="BF52" s="894"/>
      <c r="BG52" s="157" t="s">
        <v>142</v>
      </c>
      <c r="BH52" s="895" t="str">
        <f t="shared" si="41"/>
        <v/>
      </c>
      <c r="BI52" s="895"/>
      <c r="BJ52" s="582"/>
      <c r="BQ52" s="298" t="b">
        <f t="shared" si="34"/>
        <v>0</v>
      </c>
      <c r="BR52" s="298" t="b">
        <f t="shared" si="34"/>
        <v>0</v>
      </c>
      <c r="BS52" s="298">
        <f t="shared" si="42"/>
        <v>0</v>
      </c>
      <c r="BT52" s="298" t="b">
        <f t="shared" si="35"/>
        <v>0</v>
      </c>
      <c r="BU52" s="298" t="b">
        <f t="shared" si="43"/>
        <v>0</v>
      </c>
      <c r="BV52" s="617">
        <f t="shared" si="44"/>
        <v>0</v>
      </c>
      <c r="BW52" s="301">
        <f t="shared" si="45"/>
        <v>0</v>
      </c>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row>
    <row r="53" spans="1:178" s="22" customFormat="1" ht="15.6" customHeight="1" thickBot="1">
      <c r="A53" s="583"/>
      <c r="B53" s="534"/>
      <c r="C53" s="534"/>
      <c r="D53" s="534"/>
      <c r="E53" s="534"/>
      <c r="F53" s="534"/>
      <c r="G53" s="534"/>
      <c r="H53" s="534"/>
      <c r="I53" s="534"/>
      <c r="J53" s="534"/>
      <c r="K53" s="534"/>
      <c r="L53" s="534"/>
      <c r="M53" s="534"/>
      <c r="N53" s="534"/>
      <c r="O53" s="534"/>
      <c r="P53" s="534"/>
      <c r="Q53" s="534"/>
      <c r="R53" s="534"/>
      <c r="S53" s="534"/>
      <c r="T53" s="534"/>
      <c r="U53" s="534"/>
      <c r="V53" s="534"/>
      <c r="W53" s="534"/>
      <c r="X53" s="534"/>
      <c r="Y53" s="534"/>
      <c r="Z53" s="534"/>
      <c r="AA53" s="534"/>
      <c r="AB53" s="534"/>
      <c r="AC53" s="534"/>
      <c r="AD53" s="534"/>
      <c r="AE53" s="534"/>
      <c r="AF53" s="534"/>
      <c r="AG53" s="534"/>
      <c r="AH53" s="534"/>
      <c r="AI53" s="534"/>
      <c r="AJ53" s="534"/>
      <c r="AK53" s="534"/>
      <c r="AL53" s="534"/>
      <c r="AM53" s="534"/>
      <c r="AN53" s="534"/>
      <c r="AO53" s="534"/>
      <c r="AP53" s="534"/>
      <c r="AQ53" s="534"/>
      <c r="AR53" s="534"/>
      <c r="AS53" s="534"/>
      <c r="AT53" s="534"/>
      <c r="AU53" s="534"/>
      <c r="AV53" s="534"/>
      <c r="AW53" s="534"/>
      <c r="AX53" s="534"/>
      <c r="AY53" s="534"/>
      <c r="AZ53" s="534"/>
      <c r="BA53" s="534"/>
      <c r="BB53" s="534"/>
      <c r="BC53" s="534"/>
      <c r="BD53" s="534"/>
      <c r="BE53" s="534"/>
      <c r="BF53" s="534"/>
      <c r="BG53" s="544"/>
      <c r="BH53" s="545"/>
      <c r="BI53" s="545"/>
      <c r="BJ53" s="536"/>
      <c r="BK53" s="1"/>
      <c r="BL53" s="1"/>
      <c r="BM53" s="1"/>
      <c r="BN53" s="1"/>
      <c r="BQ53" s="533"/>
      <c r="BR53" s="533"/>
      <c r="BS53" s="533"/>
      <c r="BT53" s="533"/>
      <c r="BU53" s="533"/>
      <c r="BV53" s="304" t="s">
        <v>2699</v>
      </c>
      <c r="BW53" s="304" t="s">
        <v>2700</v>
      </c>
      <c r="BY53" s="102"/>
      <c r="BZ53" s="102"/>
      <c r="CA53" s="94"/>
      <c r="CB53" s="94"/>
      <c r="CC53" s="94"/>
      <c r="CD53" s="94"/>
      <c r="CE53" s="94"/>
      <c r="CF53" s="94"/>
      <c r="CG53" s="94"/>
      <c r="CH53" s="94"/>
      <c r="CI53" s="94"/>
      <c r="CJ53" s="94"/>
      <c r="CK53" s="94"/>
      <c r="CL53" s="94"/>
      <c r="CM53" s="102"/>
      <c r="CN53" s="102"/>
      <c r="CO53" s="102"/>
      <c r="CP53" s="102"/>
      <c r="CQ53" s="102"/>
      <c r="CR53" s="102"/>
      <c r="CS53" s="102"/>
      <c r="CT53" s="102"/>
      <c r="CU53" s="102"/>
      <c r="CV53" s="102"/>
      <c r="CW53" s="102"/>
      <c r="CX53" s="102"/>
      <c r="CY53" s="102"/>
      <c r="CZ53" s="102"/>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row>
    <row r="54" spans="1:178" s="22" customFormat="1" ht="15.6" customHeight="1">
      <c r="A54" s="381"/>
      <c r="B54" s="208"/>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678"/>
      <c r="AN54" s="678"/>
      <c r="AO54" s="208"/>
      <c r="AP54" s="208"/>
      <c r="AQ54" s="208"/>
      <c r="AR54" s="208"/>
      <c r="AS54" s="208"/>
      <c r="AT54" s="678"/>
      <c r="AU54" s="678"/>
      <c r="AV54" s="208"/>
      <c r="AW54" s="208"/>
      <c r="AX54" s="208"/>
      <c r="AY54" s="208"/>
      <c r="AZ54" s="208"/>
      <c r="BA54" s="208"/>
      <c r="BB54" s="25"/>
      <c r="BC54" s="25"/>
      <c r="BD54" s="25"/>
      <c r="BE54" s="25"/>
      <c r="BF54" s="61" t="s">
        <v>2701</v>
      </c>
      <c r="BG54" s="25"/>
      <c r="BH54" s="896" t="str">
        <f>IF(BM43&gt;=1,SUM(BH43:BH52),"")</f>
        <v/>
      </c>
      <c r="BI54" s="896"/>
      <c r="BJ54" s="537"/>
      <c r="BK54" s="1"/>
      <c r="BL54" s="1"/>
      <c r="BM54" s="1"/>
      <c r="BN54" s="1"/>
      <c r="BQ54" s="533"/>
      <c r="BR54" s="533"/>
      <c r="BS54" s="533"/>
      <c r="BT54" s="533"/>
      <c r="BU54" s="533"/>
      <c r="BV54" s="302">
        <f>SUM(BV43:BV52)</f>
        <v>0</v>
      </c>
      <c r="BW54" s="299">
        <f>SUM(BW43:BW52)</f>
        <v>0</v>
      </c>
      <c r="BY54" s="102"/>
      <c r="BZ54" s="102"/>
      <c r="CA54" s="94"/>
      <c r="CB54" s="94"/>
      <c r="CC54" s="94"/>
      <c r="CD54" s="94"/>
      <c r="CE54" s="94"/>
      <c r="CF54" s="94"/>
      <c r="CG54" s="94"/>
      <c r="CH54" s="94"/>
      <c r="CI54" s="94"/>
      <c r="CJ54" s="94"/>
      <c r="CK54" s="94"/>
      <c r="CL54" s="94"/>
      <c r="CM54" s="102"/>
      <c r="CN54" s="102"/>
      <c r="CO54" s="102"/>
      <c r="CP54" s="102"/>
      <c r="CQ54" s="102"/>
      <c r="CR54" s="102"/>
      <c r="CS54" s="102"/>
      <c r="CT54" s="102"/>
      <c r="CU54" s="102"/>
      <c r="CV54" s="102"/>
      <c r="CW54" s="102"/>
      <c r="CX54" s="102"/>
      <c r="CY54" s="102"/>
      <c r="CZ54" s="102"/>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row>
    <row r="55" spans="1:178" s="22" customFormat="1" ht="16.5" thickBot="1">
      <c r="A55" s="62" t="s">
        <v>2702</v>
      </c>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c r="AE55" s="208"/>
      <c r="AF55" s="208"/>
      <c r="AG55" s="208"/>
      <c r="AH55" s="208"/>
      <c r="AI55" s="208"/>
      <c r="AJ55" s="208"/>
      <c r="AK55" s="208"/>
      <c r="AL55" s="208"/>
      <c r="AM55" s="678"/>
      <c r="AN55" s="678"/>
      <c r="AO55" s="208"/>
      <c r="AP55" s="208"/>
      <c r="AQ55" s="208"/>
      <c r="AR55" s="208"/>
      <c r="AS55" s="208"/>
      <c r="AT55" s="678"/>
      <c r="AU55" s="678"/>
      <c r="AV55" s="208"/>
      <c r="AW55" s="208"/>
      <c r="AX55" s="208"/>
      <c r="AY55" s="208"/>
      <c r="AZ55" s="208"/>
      <c r="BA55" s="208"/>
      <c r="BB55" s="208"/>
      <c r="BC55" s="678"/>
      <c r="BD55" s="678"/>
      <c r="BE55" s="208"/>
      <c r="BF55" s="208"/>
      <c r="BG55" s="530"/>
      <c r="BH55" s="530"/>
      <c r="BI55" s="530"/>
      <c r="BJ55" s="538"/>
      <c r="BK55" s="1"/>
      <c r="BL55" s="1"/>
      <c r="BM55" s="1"/>
      <c r="BN55" s="1"/>
      <c r="BQ55" s="533"/>
      <c r="BR55" s="533"/>
      <c r="BS55" s="533"/>
      <c r="BT55" s="533"/>
      <c r="BU55" s="533"/>
      <c r="BV55" s="533"/>
      <c r="BW55" s="533"/>
      <c r="BY55" s="102"/>
      <c r="BZ55" s="102"/>
      <c r="CA55" s="94"/>
      <c r="CB55" s="94"/>
      <c r="CC55" s="94"/>
      <c r="CD55" s="94"/>
      <c r="CE55" s="94"/>
      <c r="CF55" s="94"/>
      <c r="CG55" s="94"/>
      <c r="CH55" s="94"/>
      <c r="CI55" s="94"/>
      <c r="CJ55" s="94"/>
      <c r="CK55" s="94"/>
      <c r="CL55" s="94"/>
      <c r="CM55" s="102"/>
      <c r="CN55" s="102"/>
      <c r="CO55" s="102"/>
      <c r="CP55" s="102"/>
      <c r="CQ55" s="102"/>
      <c r="CR55" s="102"/>
      <c r="CS55" s="102"/>
      <c r="CT55" s="102"/>
      <c r="CU55" s="102"/>
      <c r="CV55" s="102"/>
      <c r="CW55" s="102"/>
      <c r="CX55" s="102"/>
      <c r="CY55" s="102"/>
      <c r="CZ55" s="102"/>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row>
    <row r="56" spans="1:178" s="22" customFormat="1" ht="15.75">
      <c r="A56" s="543"/>
      <c r="B56" s="381"/>
      <c r="C56" s="381"/>
      <c r="D56" s="381"/>
      <c r="E56" s="381"/>
      <c r="F56" s="381"/>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381"/>
      <c r="AL56" s="381"/>
      <c r="AM56" s="676"/>
      <c r="AN56" s="676"/>
      <c r="AO56" s="381"/>
      <c r="AP56" s="905" t="s">
        <v>2655</v>
      </c>
      <c r="AQ56" s="905"/>
      <c r="AR56" s="905"/>
      <c r="AS56" s="905"/>
      <c r="AT56" s="905"/>
      <c r="AU56" s="905"/>
      <c r="AV56" s="905"/>
      <c r="AW56" s="905"/>
      <c r="AX56" s="905"/>
      <c r="AY56" s="905"/>
      <c r="AZ56" s="905"/>
      <c r="BA56" s="905"/>
      <c r="BB56" s="905"/>
      <c r="BC56" s="905"/>
      <c r="BD56" s="905"/>
      <c r="BE56" s="905"/>
      <c r="BF56" s="905"/>
      <c r="BG56" s="881" t="s">
        <v>2703</v>
      </c>
      <c r="BH56" s="881"/>
      <c r="BI56" s="881"/>
      <c r="BJ56" s="225"/>
      <c r="BK56" s="1"/>
      <c r="BL56" s="1"/>
      <c r="BM56" s="1"/>
      <c r="BN56" s="1"/>
      <c r="BQ56" s="906" t="s">
        <v>2704</v>
      </c>
      <c r="BR56" s="907"/>
      <c r="BS56" s="907"/>
      <c r="BT56" s="907"/>
      <c r="BU56" s="907"/>
      <c r="BV56" s="907"/>
      <c r="BW56" s="908"/>
      <c r="BY56" s="102"/>
      <c r="BZ56" s="102"/>
      <c r="CA56" s="94"/>
      <c r="CB56" s="94"/>
      <c r="CC56" s="94"/>
      <c r="CD56" s="94"/>
      <c r="CE56" s="94"/>
      <c r="CF56" s="94"/>
      <c r="CG56" s="94"/>
      <c r="CH56" s="94"/>
      <c r="CI56" s="94"/>
      <c r="CJ56" s="94"/>
      <c r="CK56" s="94"/>
      <c r="CL56" s="94"/>
      <c r="CM56" s="102"/>
      <c r="CN56" s="102"/>
      <c r="CO56" s="102"/>
      <c r="CP56" s="102"/>
      <c r="CQ56" s="102"/>
      <c r="CR56" s="102"/>
      <c r="CS56" s="102"/>
      <c r="CT56" s="102"/>
      <c r="CU56" s="102"/>
      <c r="CV56" s="102"/>
      <c r="CW56" s="102"/>
      <c r="CX56" s="102"/>
      <c r="CY56" s="102"/>
      <c r="CZ56" s="102"/>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row>
    <row r="57" spans="1:178" s="22" customFormat="1" ht="20.45" customHeight="1">
      <c r="A57" s="519"/>
      <c r="B57" s="208"/>
      <c r="C57" s="49"/>
      <c r="D57" s="208"/>
      <c r="E57" s="208"/>
      <c r="F57" s="50"/>
      <c r="G57" s="50"/>
      <c r="H57" s="50"/>
      <c r="I57" s="50"/>
      <c r="J57" s="50"/>
      <c r="K57" s="50"/>
      <c r="L57" s="50"/>
      <c r="M57" s="50"/>
      <c r="N57" s="50"/>
      <c r="O57" s="50"/>
      <c r="P57" s="50"/>
      <c r="Q57" s="208"/>
      <c r="R57" s="546"/>
      <c r="S57" s="546"/>
      <c r="T57" s="546"/>
      <c r="U57" s="546"/>
      <c r="V57" s="204"/>
      <c r="W57" s="909"/>
      <c r="X57" s="909"/>
      <c r="Y57" s="909"/>
      <c r="Z57" s="909"/>
      <c r="AA57" s="909"/>
      <c r="AB57" s="909"/>
      <c r="AC57" s="204"/>
      <c r="AD57" s="204"/>
      <c r="AE57" s="204"/>
      <c r="AF57" s="204"/>
      <c r="AG57" s="204"/>
      <c r="AH57" s="51"/>
      <c r="AI57" s="51" t="s">
        <v>2682</v>
      </c>
      <c r="AJ57" s="204"/>
      <c r="AK57" s="51" t="s">
        <v>3323</v>
      </c>
      <c r="AL57" s="204"/>
      <c r="AM57" s="677"/>
      <c r="AN57" s="677"/>
      <c r="AO57" s="204"/>
      <c r="AP57" s="910" t="s">
        <v>2695</v>
      </c>
      <c r="AQ57" s="910"/>
      <c r="AR57" s="910"/>
      <c r="AS57" s="910"/>
      <c r="AT57" s="910"/>
      <c r="AU57" s="910"/>
      <c r="AV57" s="910"/>
      <c r="AW57" s="910"/>
      <c r="AX57" s="910"/>
      <c r="AY57" s="910" t="s">
        <v>2696</v>
      </c>
      <c r="AZ57" s="910"/>
      <c r="BA57" s="910"/>
      <c r="BB57" s="910"/>
      <c r="BC57" s="910"/>
      <c r="BD57" s="910"/>
      <c r="BE57" s="910"/>
      <c r="BF57" s="910"/>
      <c r="BG57" s="882"/>
      <c r="BH57" s="882"/>
      <c r="BI57" s="882"/>
      <c r="BJ57" s="53"/>
      <c r="BK57" s="1"/>
      <c r="BL57" s="1"/>
      <c r="BM57" s="1"/>
      <c r="BN57" s="1"/>
      <c r="BQ57" s="84"/>
      <c r="BR57" s="84"/>
      <c r="BS57" s="84"/>
      <c r="BT57" s="84"/>
      <c r="BU57" s="84"/>
      <c r="BV57" s="84"/>
      <c r="BW57" s="84"/>
      <c r="BY57" s="102"/>
      <c r="BZ57" s="102"/>
      <c r="CA57" s="94"/>
      <c r="CB57" s="94"/>
      <c r="CC57" s="94"/>
      <c r="CD57" s="94"/>
      <c r="CE57" s="94"/>
      <c r="CF57" s="94"/>
      <c r="CG57" s="94"/>
      <c r="CH57" s="94"/>
      <c r="CI57" s="94"/>
      <c r="CJ57" s="94"/>
      <c r="CK57" s="94"/>
      <c r="CL57" s="94"/>
      <c r="CM57" s="102"/>
      <c r="CN57" s="102"/>
      <c r="CO57" s="102"/>
      <c r="CP57" s="102"/>
      <c r="CQ57" s="102"/>
      <c r="CR57" s="102"/>
      <c r="CS57" s="102"/>
      <c r="CT57" s="102"/>
      <c r="CU57" s="102"/>
      <c r="CV57" s="102"/>
      <c r="CW57" s="102"/>
      <c r="CX57" s="102"/>
      <c r="CY57" s="102"/>
      <c r="CZ57" s="102"/>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row>
    <row r="58" spans="1:178" s="22" customFormat="1" ht="24.6" customHeight="1">
      <c r="A58" s="48"/>
      <c r="B58" s="159" t="s">
        <v>2661</v>
      </c>
      <c r="C58" s="411"/>
      <c r="D58" s="159" t="s">
        <v>2662</v>
      </c>
      <c r="E58" s="159"/>
      <c r="F58" s="159" t="s">
        <v>2663</v>
      </c>
      <c r="G58" s="50"/>
      <c r="H58" s="50"/>
      <c r="I58" s="50"/>
      <c r="J58" s="50"/>
      <c r="K58" s="50"/>
      <c r="L58" s="50"/>
      <c r="M58" s="50"/>
      <c r="N58" s="50"/>
      <c r="O58" s="50"/>
      <c r="P58" s="50"/>
      <c r="Q58" s="208"/>
      <c r="R58" s="546"/>
      <c r="S58" s="546"/>
      <c r="T58" s="546"/>
      <c r="U58" s="546"/>
      <c r="V58" s="204"/>
      <c r="W58" s="909"/>
      <c r="X58" s="909"/>
      <c r="Y58" s="909"/>
      <c r="Z58" s="909"/>
      <c r="AA58" s="909"/>
      <c r="AB58" s="909"/>
      <c r="AC58" s="204"/>
      <c r="AD58" s="159" t="s">
        <v>2664</v>
      </c>
      <c r="AE58" s="197"/>
      <c r="AF58" s="159"/>
      <c r="AG58" s="159"/>
      <c r="AH58" s="410"/>
      <c r="AI58" s="159" t="s">
        <v>2665</v>
      </c>
      <c r="AJ58" s="197"/>
      <c r="AK58" s="159" t="s">
        <v>2665</v>
      </c>
      <c r="AL58" s="204"/>
      <c r="AM58" s="677"/>
      <c r="AN58" s="677"/>
      <c r="AO58" s="204"/>
      <c r="AP58" s="911" t="s">
        <v>2705</v>
      </c>
      <c r="AQ58" s="911"/>
      <c r="AR58" s="911"/>
      <c r="AS58" s="911"/>
      <c r="AT58" s="911"/>
      <c r="AU58" s="911"/>
      <c r="AV58" s="911"/>
      <c r="AW58" s="911"/>
      <c r="AX58" s="50"/>
      <c r="AY58" s="911" t="s">
        <v>2706</v>
      </c>
      <c r="AZ58" s="911"/>
      <c r="BA58" s="911"/>
      <c r="BB58" s="911"/>
      <c r="BC58" s="911"/>
      <c r="BD58" s="911"/>
      <c r="BE58" s="911"/>
      <c r="BF58" s="50"/>
      <c r="BG58" s="882"/>
      <c r="BH58" s="882"/>
      <c r="BI58" s="882"/>
      <c r="BJ58" s="53"/>
      <c r="BK58" s="1"/>
      <c r="BL58" s="1"/>
      <c r="BM58" s="1"/>
      <c r="BN58" s="1"/>
      <c r="BQ58" s="542" t="s">
        <v>2667</v>
      </c>
      <c r="BR58" s="542" t="s">
        <v>2668</v>
      </c>
      <c r="BS58" s="542" t="s">
        <v>2669</v>
      </c>
      <c r="BT58" s="542" t="s">
        <v>2670</v>
      </c>
      <c r="BU58" s="542" t="s">
        <v>2671</v>
      </c>
      <c r="BV58" s="306" t="s">
        <v>2687</v>
      </c>
      <c r="BW58" s="307" t="s">
        <v>2688</v>
      </c>
      <c r="BY58" s="102"/>
      <c r="BZ58" s="102"/>
      <c r="CA58" s="94"/>
      <c r="CB58" s="94"/>
      <c r="CC58" s="94"/>
      <c r="CD58" s="94"/>
      <c r="CE58" s="94"/>
      <c r="CF58" s="94"/>
      <c r="CG58" s="94"/>
      <c r="CH58" s="94"/>
      <c r="CI58" s="94"/>
      <c r="CJ58" s="94"/>
      <c r="CK58" s="94"/>
      <c r="CL58" s="94"/>
      <c r="CM58" s="102"/>
      <c r="CN58" s="102"/>
      <c r="CO58" s="102"/>
      <c r="CP58" s="102"/>
      <c r="CQ58" s="102"/>
      <c r="CR58" s="102"/>
      <c r="CS58" s="102"/>
      <c r="CT58" s="102"/>
      <c r="CU58" s="102"/>
      <c r="CV58" s="102"/>
      <c r="CW58" s="102"/>
      <c r="CX58" s="102"/>
      <c r="CY58" s="102"/>
      <c r="CZ58" s="102"/>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row>
    <row r="59" spans="1:178" ht="14.1" customHeight="1">
      <c r="A59" s="54"/>
      <c r="B59" s="64"/>
      <c r="C59" s="333"/>
      <c r="D59" s="64"/>
      <c r="E59" s="231"/>
      <c r="F59" s="890"/>
      <c r="G59" s="890"/>
      <c r="H59" s="890"/>
      <c r="I59" s="890"/>
      <c r="J59" s="890"/>
      <c r="K59" s="890"/>
      <c r="L59" s="890"/>
      <c r="M59" s="890"/>
      <c r="N59" s="890"/>
      <c r="O59" s="890"/>
      <c r="P59" s="890"/>
      <c r="Q59" s="890"/>
      <c r="R59" s="890"/>
      <c r="S59" s="890"/>
      <c r="T59" s="890"/>
      <c r="U59" s="890"/>
      <c r="V59" s="890"/>
      <c r="W59" s="890"/>
      <c r="X59" s="890"/>
      <c r="Y59" s="890"/>
      <c r="Z59" s="890"/>
      <c r="AA59" s="890"/>
      <c r="AB59" s="208"/>
      <c r="AC59" s="204"/>
      <c r="AD59" s="891"/>
      <c r="AE59" s="892"/>
      <c r="AF59" s="892"/>
      <c r="AG59" s="893"/>
      <c r="AH59" s="333"/>
      <c r="AI59" s="64"/>
      <c r="AJ59" s="43" t="str">
        <f>IF(OR(D59="",AW59="Ineligible"),"","EER")</f>
        <v/>
      </c>
      <c r="AK59" s="720"/>
      <c r="AL59" s="204" t="str">
        <f t="shared" ref="AL59:AL68" si="46">IF(OR(D59="",AW59="Ineligible"),"","COP")</f>
        <v/>
      </c>
      <c r="AM59" s="677"/>
      <c r="AN59" s="677"/>
      <c r="AO59" s="204"/>
      <c r="AP59" s="55" t="str">
        <f>IFERROR(IF(D59="","",VLOOKUP('HVAC Efficiency Tables'!X275&amp;'HVAC Efficiency Tables'!Y275&amp;'HVAC Efficiency Tables'!Z275,HVACEfficiencies,3,FALSE)),"")</f>
        <v/>
      </c>
      <c r="AQ59" s="43" t="str">
        <f>IF(OR(AP59="N/A",AP59=""),"","EER")</f>
        <v/>
      </c>
      <c r="AR59" s="719" t="str">
        <f>IFERROR(IF(D59="","",VLOOKUP('HVAC Efficiency Tables'!X275&amp;'HVAC Efficiency Tables'!Y275&amp;'HVAC Efficiency Tables'!Z275,HVACEfficiencies,12,FALSE)),"")</f>
        <v/>
      </c>
      <c r="AS59" s="43" t="str">
        <f>IF(OR(AR59="N/A",AR59=""),"","COP")</f>
        <v/>
      </c>
      <c r="AT59" s="43"/>
      <c r="AU59" s="43"/>
      <c r="AV59" s="43"/>
      <c r="AW59" s="894" t="str">
        <f>IF(AY59&lt;=AI59,"",IF(OR(AI59="",$AP59="",AP59="N/A"),"",IF($AY59&lt;=AI59,"",IF($AP59&lt;=AI59,"Qualified","Not Qualified"))))</f>
        <v/>
      </c>
      <c r="AX59" s="894"/>
      <c r="AY59" s="55" t="str">
        <f>IFERROR(IF(D59="","",VLOOKUP('HVAC Efficiency Tables'!X275&amp;'HVAC Efficiency Tables'!Y275&amp;'HVAC Efficiency Tables'!Z275,HVACEfficiencies,5,FALSE)),"")</f>
        <v/>
      </c>
      <c r="AZ59" s="43" t="str">
        <f>IF(OR(AY59="N/A",AY59=""),"","EER")</f>
        <v/>
      </c>
      <c r="BA59" s="310" t="str">
        <f>IFERROR(IF(D59="","",VLOOKUP('HVAC Efficiency Tables'!X275&amp;'HVAC Efficiency Tables'!Y275&amp;'HVAC Efficiency Tables'!Z275,HVACEfficiencies,13,FALSE)),"")</f>
        <v/>
      </c>
      <c r="BB59" s="43" t="str">
        <f>IF(OR(BA59="N/A",BA59=""),"","COP")</f>
        <v/>
      </c>
      <c r="BC59" s="43"/>
      <c r="BD59" s="43"/>
      <c r="BE59" s="894" t="str">
        <f>IF(OR(AI59="",$AY59="",$AY59="N/A"),"",IF($AY59&lt;=AI59,"Qualified","Not Qualified"))</f>
        <v/>
      </c>
      <c r="BF59" s="894"/>
      <c r="BG59" s="157" t="s">
        <v>142</v>
      </c>
      <c r="BH59" s="895" t="str">
        <f>IF(AW59="Qualified",D59*B59*75,IF(BE59="Qualified",B59*D59*100,""))</f>
        <v/>
      </c>
      <c r="BI59" s="895"/>
      <c r="BJ59" s="582"/>
      <c r="BM59" s="296">
        <f>COUNTIF(AW58:AW68,"Qualified")+COUNTIF(BE58:BE68,"Qualified")</f>
        <v>0</v>
      </c>
      <c r="BQ59" s="298" t="b">
        <f>IF($BR$1="ID",IF(AND($AW59="Qualified",AK59&gt;=AR59),651.18,IF(AND($BE59="Qualified",AK59&gt;=BA59),717.34,"")),IF($BR$1="OR",IF(AND($AW59="Qualified",AK59&gt;=AR59),900.3,IF(AND($BE59="Qualified",AK59&gt;=BA59),972.94,
IF($BR$1="ID",IF($AW59="Qualified",38.9,IF($BE59="Qualified",71.31,"")),IF($BR$1="OR",IF($AW59="Qualified",29.94,IF($BE59="Qualified",54.89,""))))))))</f>
        <v>0</v>
      </c>
      <c r="BR59" s="298" t="b">
        <f>IF($BR$1="ID",IF(AND($AW59="Qualified",AK59&gt;=AR59),86.87,IF(AND($BE59="Qualified",AK59&gt;=BA59),153.03,"")),IF($BR$1="OR",IF(AND($AW59="Qualified",AK59&gt;=AR59),98.11,IF(AND($BE59="Qualified",AK59&gt;=BA59),171.02,
IF($BR$1="ID",IF($AW59="Qualified",38.9,IF($BE59="Qualified",71.31,"")),IF($BR$1="OR",IF($AW59="Qualified",29.94,IF($BE59="Qualified",54.89,""))))))))</f>
        <v>0</v>
      </c>
      <c r="BS59" s="298">
        <f>IFERROR(ROUND((BQ59*52%)+(BR59*48%),2),"")</f>
        <v>0</v>
      </c>
      <c r="BT59" s="298" t="b">
        <f>IF($BR$1="ID",IF($AW59="Qualified",38.9,IF($BE59="Qualified",71.31,"")),IF($BR$1="OR",IF($AW59="Qualified",29.94,IF($BE59="Qualified",54.89,""))))</f>
        <v>0</v>
      </c>
      <c r="BU59" s="298" t="b">
        <f>IF($BR$1="ID",IF($AW59="Qualified",71/1000,IF($BE59="Qualified",131/1000,"")),IF($BR$1="OR",IF($AW59="Qualified",75/1000,IF($BE59="Qualified",131/1000,""))))</f>
        <v>0</v>
      </c>
      <c r="BV59" s="617">
        <f>IF(OR(AW59="Qualified",BE59="Qualified"),IF($BT$1="Electric",BS59,BT59)*(B59*D59),0)</f>
        <v>0</v>
      </c>
      <c r="BW59" s="301">
        <f>IF(OR(AW59="Qualified",BE59="Qualified"),BU59*(B59*D59),0)</f>
        <v>0</v>
      </c>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row>
    <row r="60" spans="1:178" ht="14.1" customHeight="1">
      <c r="A60" s="54"/>
      <c r="B60" s="64"/>
      <c r="C60" s="333"/>
      <c r="D60" s="64"/>
      <c r="E60" s="231"/>
      <c r="F60" s="890"/>
      <c r="G60" s="890"/>
      <c r="H60" s="890"/>
      <c r="I60" s="890"/>
      <c r="J60" s="890"/>
      <c r="K60" s="890"/>
      <c r="L60" s="890"/>
      <c r="M60" s="890"/>
      <c r="N60" s="890"/>
      <c r="O60" s="890"/>
      <c r="P60" s="890"/>
      <c r="Q60" s="890"/>
      <c r="R60" s="890"/>
      <c r="S60" s="890"/>
      <c r="T60" s="890"/>
      <c r="U60" s="890"/>
      <c r="V60" s="890"/>
      <c r="W60" s="890"/>
      <c r="X60" s="890"/>
      <c r="Y60" s="890"/>
      <c r="Z60" s="890"/>
      <c r="AA60" s="890"/>
      <c r="AB60" s="208"/>
      <c r="AC60" s="204"/>
      <c r="AD60" s="891"/>
      <c r="AE60" s="892"/>
      <c r="AF60" s="892"/>
      <c r="AG60" s="893"/>
      <c r="AH60" s="333"/>
      <c r="AI60" s="64"/>
      <c r="AJ60" s="43" t="str">
        <f>IF(OR(D60="",AW60="Ineligible"),"","EER")</f>
        <v/>
      </c>
      <c r="AK60" s="720"/>
      <c r="AL60" s="683" t="str">
        <f t="shared" si="46"/>
        <v/>
      </c>
      <c r="AM60" s="677"/>
      <c r="AN60" s="677"/>
      <c r="AO60" s="204"/>
      <c r="AP60" s="55" t="str">
        <f>IFERROR(IF(D60="","",VLOOKUP('HVAC Efficiency Tables'!X276&amp;'HVAC Efficiency Tables'!Y276&amp;'HVAC Efficiency Tables'!Z276,HVACEfficiencies,3,FALSE)),"")</f>
        <v/>
      </c>
      <c r="AQ60" s="43" t="str">
        <f t="shared" ref="AQ60:AQ68" si="47">IF(OR(AP60="N/A",AP60=""),"","EER")</f>
        <v/>
      </c>
      <c r="AR60" s="719" t="str">
        <f>IFERROR(IF(D60="","",VLOOKUP('HVAC Efficiency Tables'!X276&amp;'HVAC Efficiency Tables'!Y276&amp;'HVAC Efficiency Tables'!Z276,HVACEfficiencies,12,FALSE)),"")</f>
        <v/>
      </c>
      <c r="AS60" s="43" t="str">
        <f t="shared" ref="AS60:AS68" si="48">IF(OR(AR60="N/A",AR60=""),"","COP")</f>
        <v/>
      </c>
      <c r="AT60" s="43"/>
      <c r="AU60" s="43"/>
      <c r="AV60" s="43"/>
      <c r="AW60" s="894" t="str">
        <f t="shared" ref="AW60:AW68" si="49">IF(AY60&lt;=AI60,"",IF(OR(AI60="",$AP60="",AP60="N/A"),"",IF($AY60&lt;=AI60,"",IF($AP60&lt;=AI60,"Qualified","Not Qualified"))))</f>
        <v/>
      </c>
      <c r="AX60" s="894"/>
      <c r="AY60" s="55" t="str">
        <f>IFERROR(IF(D60="","",VLOOKUP('HVAC Efficiency Tables'!X276&amp;'HVAC Efficiency Tables'!Y276&amp;'HVAC Efficiency Tables'!Z276,HVACEfficiencies,5,FALSE)),"")</f>
        <v/>
      </c>
      <c r="AZ60" s="43" t="str">
        <f t="shared" ref="AZ60:AZ68" si="50">IF(OR(AY60="N/A",AY60=""),"","EER")</f>
        <v/>
      </c>
      <c r="BA60" s="310" t="str">
        <f>IFERROR(IF(D60="","",VLOOKUP('HVAC Efficiency Tables'!X276&amp;'HVAC Efficiency Tables'!Y276&amp;'HVAC Efficiency Tables'!Z276,HVACEfficiencies,13,FALSE)),"")</f>
        <v/>
      </c>
      <c r="BB60" s="43" t="str">
        <f t="shared" ref="BB60:BB68" si="51">IF(OR(BA60="N/A",BA60=""),"","COP")</f>
        <v/>
      </c>
      <c r="BC60" s="43"/>
      <c r="BD60" s="43"/>
      <c r="BE60" s="894" t="str">
        <f t="shared" ref="BE60:BE68" si="52">IF(OR(AI60="",$AY60="",$AY60="N/A"),"",IF($AY60&lt;=AI60,"Qualified","Not Qualified"))</f>
        <v/>
      </c>
      <c r="BF60" s="894"/>
      <c r="BG60" s="157" t="s">
        <v>142</v>
      </c>
      <c r="BH60" s="895" t="str">
        <f t="shared" ref="BH60:BH68" si="53">IF(AW60="Qualified",D60*B60*75,IF(BE60="Qualified",B60*D60*100,""))</f>
        <v/>
      </c>
      <c r="BI60" s="895"/>
      <c r="BJ60" s="582"/>
      <c r="BQ60" s="298" t="b">
        <f t="shared" ref="BQ60:BQ68" si="54">IF($BR$1="ID",IF(AND($AW60="Qualified",AK60&gt;=AR60),651.18,IF(AND($BE60="Qualified",AK60&gt;=BA60),717.34,"")),IF($BR$1="OR",IF(AND($AW60="Qualified",AK60&gt;=AR60),900.3,IF(AND($BE60="Qualified",AK60&gt;=BA60),972.94,
IF($BR$1="ID",IF($AW60="Qualified",38.9,IF($BE60="Qualified",71.31,"")),IF($BR$1="OR",IF($AW60="Qualified",29.94,IF($BE60="Qualified",54.89,""))))))))</f>
        <v>0</v>
      </c>
      <c r="BR60" s="298" t="b">
        <f t="shared" ref="BR60:BR68" si="55">IF($BR$1="ID",IF(AND($AW60="Qualified",AK60&gt;=AR60),86.87,IF(AND($BE60="Qualified",AK60&gt;=BA60),153.03,"")),IF($BR$1="OR",IF(AND($AW60="Qualified",AK60&gt;=AR60),98.11,IF(AND($BE60="Qualified",AK60&gt;=BA60),171.02,
IF($BR$1="ID",IF($AW60="Qualified",38.9,IF($BE60="Qualified",71.31,"")),IF($BR$1="OR",IF($AW60="Qualified",29.94,IF($BE60="Qualified",54.89,""))))))))</f>
        <v>0</v>
      </c>
      <c r="BS60" s="298">
        <f t="shared" ref="BS60:BS68" si="56">IFERROR(ROUND((BQ60*52%)+(BR60*48%),2),"")</f>
        <v>0</v>
      </c>
      <c r="BT60" s="298" t="b">
        <f t="shared" ref="BT60:BT68" si="57">IF($BR$1="ID",IF($AW60="Qualified",38.9,IF($BE60="Qualified",71.31,"")),IF($BR$1="OR",IF($AW60="Qualified",29.94,IF($BE60="Qualified",54.89,""))))</f>
        <v>0</v>
      </c>
      <c r="BU60" s="298" t="b">
        <f t="shared" ref="BU60:BU68" si="58">IF($BR$1="ID",IF($AW60="Qualified",71/1000,IF($BE60="Qualified",131/1000,"")),IF($BR$1="OR",IF($AW60="Qualified",75/1000,IF($BE60="Qualified",131/1000,""))))</f>
        <v>0</v>
      </c>
      <c r="BV60" s="617">
        <f t="shared" ref="BV60:BV68" si="59">IF(OR(AW60="Qualified",BE60="Qualified"),IF($BT$1="Electric",BS60,BT60)*(B60*D60),0)</f>
        <v>0</v>
      </c>
      <c r="BW60" s="301">
        <f t="shared" ref="BW60:BW68" si="60">IF(OR(AW60="Qualified",BE60="Qualified"),BU60*(B60*D60),0)</f>
        <v>0</v>
      </c>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c r="CZ60" s="94"/>
    </row>
    <row r="61" spans="1:178" ht="14.1" customHeight="1">
      <c r="A61" s="54"/>
      <c r="B61" s="64"/>
      <c r="C61" s="333"/>
      <c r="D61" s="64"/>
      <c r="E61" s="231"/>
      <c r="F61" s="890"/>
      <c r="G61" s="890"/>
      <c r="H61" s="890"/>
      <c r="I61" s="890"/>
      <c r="J61" s="890"/>
      <c r="K61" s="890"/>
      <c r="L61" s="890"/>
      <c r="M61" s="890"/>
      <c r="N61" s="890"/>
      <c r="O61" s="890"/>
      <c r="P61" s="890"/>
      <c r="Q61" s="890"/>
      <c r="R61" s="890"/>
      <c r="S61" s="890"/>
      <c r="T61" s="890"/>
      <c r="U61" s="890"/>
      <c r="V61" s="890"/>
      <c r="W61" s="890"/>
      <c r="X61" s="890"/>
      <c r="Y61" s="890"/>
      <c r="Z61" s="890"/>
      <c r="AA61" s="890"/>
      <c r="AB61" s="208"/>
      <c r="AC61" s="204"/>
      <c r="AD61" s="891"/>
      <c r="AE61" s="892"/>
      <c r="AF61" s="892"/>
      <c r="AG61" s="893"/>
      <c r="AH61" s="333"/>
      <c r="AI61" s="64"/>
      <c r="AJ61" s="43" t="str">
        <f>IF(OR(D61="",AW61="Ineligible"),"","EER")</f>
        <v/>
      </c>
      <c r="AK61" s="720"/>
      <c r="AL61" s="683" t="str">
        <f t="shared" si="46"/>
        <v/>
      </c>
      <c r="AM61" s="677"/>
      <c r="AN61" s="677"/>
      <c r="AO61" s="204"/>
      <c r="AP61" s="55" t="str">
        <f>IFERROR(IF(D61="","",VLOOKUP('HVAC Efficiency Tables'!X277&amp;'HVAC Efficiency Tables'!Y277&amp;'HVAC Efficiency Tables'!Z277,HVACEfficiencies,3,FALSE)),"")</f>
        <v/>
      </c>
      <c r="AQ61" s="43" t="str">
        <f t="shared" si="47"/>
        <v/>
      </c>
      <c r="AR61" s="719" t="str">
        <f>IFERROR(IF(D61="","",VLOOKUP('HVAC Efficiency Tables'!X277&amp;'HVAC Efficiency Tables'!Y277&amp;'HVAC Efficiency Tables'!Z277,HVACEfficiencies,12,FALSE)),"")</f>
        <v/>
      </c>
      <c r="AS61" s="43" t="str">
        <f t="shared" si="48"/>
        <v/>
      </c>
      <c r="AT61" s="43"/>
      <c r="AU61" s="43"/>
      <c r="AV61" s="43"/>
      <c r="AW61" s="894" t="str">
        <f t="shared" si="49"/>
        <v/>
      </c>
      <c r="AX61" s="894"/>
      <c r="AY61" s="55" t="str">
        <f>IFERROR(IF(D61="","",VLOOKUP('HVAC Efficiency Tables'!X277&amp;'HVAC Efficiency Tables'!Y277&amp;'HVAC Efficiency Tables'!Z277,HVACEfficiencies,5,FALSE)),"")</f>
        <v/>
      </c>
      <c r="AZ61" s="43" t="str">
        <f t="shared" si="50"/>
        <v/>
      </c>
      <c r="BA61" s="310" t="str">
        <f>IFERROR(IF(D61="","",VLOOKUP('HVAC Efficiency Tables'!X277&amp;'HVAC Efficiency Tables'!Y277&amp;'HVAC Efficiency Tables'!Z277,HVACEfficiencies,13,FALSE)),"")</f>
        <v/>
      </c>
      <c r="BB61" s="43" t="str">
        <f t="shared" si="51"/>
        <v/>
      </c>
      <c r="BC61" s="43"/>
      <c r="BD61" s="43"/>
      <c r="BE61" s="894" t="str">
        <f t="shared" si="52"/>
        <v/>
      </c>
      <c r="BF61" s="894"/>
      <c r="BG61" s="157" t="s">
        <v>142</v>
      </c>
      <c r="BH61" s="895" t="str">
        <f t="shared" si="53"/>
        <v/>
      </c>
      <c r="BI61" s="895"/>
      <c r="BJ61" s="582"/>
      <c r="BQ61" s="298" t="b">
        <f t="shared" si="54"/>
        <v>0</v>
      </c>
      <c r="BR61" s="298" t="b">
        <f t="shared" si="55"/>
        <v>0</v>
      </c>
      <c r="BS61" s="298">
        <f t="shared" si="56"/>
        <v>0</v>
      </c>
      <c r="BT61" s="298" t="b">
        <f t="shared" si="57"/>
        <v>0</v>
      </c>
      <c r="BU61" s="298" t="b">
        <f t="shared" si="58"/>
        <v>0</v>
      </c>
      <c r="BV61" s="617">
        <f t="shared" si="59"/>
        <v>0</v>
      </c>
      <c r="BW61" s="301">
        <f t="shared" si="60"/>
        <v>0</v>
      </c>
      <c r="BY61" s="94"/>
      <c r="BZ61" s="94"/>
      <c r="CA61" s="94"/>
      <c r="CB61" s="94"/>
      <c r="CC61" s="94"/>
      <c r="CD61" s="94"/>
      <c r="CE61" s="94"/>
      <c r="CF61" s="94"/>
      <c r="CG61" s="94"/>
      <c r="CH61" s="94"/>
      <c r="CI61" s="94"/>
      <c r="CJ61" s="94"/>
      <c r="CK61" s="94"/>
      <c r="CL61" s="94"/>
      <c r="CM61" s="94"/>
      <c r="CN61" s="94"/>
      <c r="CO61" s="94"/>
      <c r="CP61" s="94"/>
      <c r="CQ61" s="94"/>
      <c r="CR61" s="94"/>
      <c r="CS61" s="94"/>
      <c r="CT61" s="94"/>
      <c r="CU61" s="94"/>
      <c r="CV61" s="94"/>
      <c r="CW61" s="94"/>
      <c r="CX61" s="94"/>
      <c r="CY61" s="94"/>
      <c r="CZ61" s="94"/>
    </row>
    <row r="62" spans="1:178" ht="14.1" customHeight="1">
      <c r="A62" s="54"/>
      <c r="B62" s="64"/>
      <c r="C62" s="333"/>
      <c r="D62" s="64"/>
      <c r="E62" s="231"/>
      <c r="F62" s="890"/>
      <c r="G62" s="890"/>
      <c r="H62" s="890"/>
      <c r="I62" s="890"/>
      <c r="J62" s="890"/>
      <c r="K62" s="890"/>
      <c r="L62" s="890"/>
      <c r="M62" s="890"/>
      <c r="N62" s="890"/>
      <c r="O62" s="890"/>
      <c r="P62" s="890"/>
      <c r="Q62" s="890"/>
      <c r="R62" s="890"/>
      <c r="S62" s="890"/>
      <c r="T62" s="890"/>
      <c r="U62" s="890"/>
      <c r="V62" s="890"/>
      <c r="W62" s="890"/>
      <c r="X62" s="890"/>
      <c r="Y62" s="890"/>
      <c r="Z62" s="890"/>
      <c r="AA62" s="890"/>
      <c r="AB62" s="208"/>
      <c r="AC62" s="204"/>
      <c r="AD62" s="891"/>
      <c r="AE62" s="892"/>
      <c r="AF62" s="892"/>
      <c r="AG62" s="893"/>
      <c r="AH62" s="333"/>
      <c r="AI62" s="64"/>
      <c r="AJ62" s="43" t="str">
        <f t="shared" ref="AJ62:AJ68" si="61">IF(OR(D62="",AW62="Ineligible"),"","EER")</f>
        <v/>
      </c>
      <c r="AK62" s="720"/>
      <c r="AL62" s="683" t="str">
        <f t="shared" si="46"/>
        <v/>
      </c>
      <c r="AM62" s="677"/>
      <c r="AN62" s="677"/>
      <c r="AO62" s="204"/>
      <c r="AP62" s="55" t="str">
        <f>IFERROR(IF(D62="","",VLOOKUP('HVAC Efficiency Tables'!X278&amp;'HVAC Efficiency Tables'!Y278&amp;'HVAC Efficiency Tables'!Z278,HVACEfficiencies,3,FALSE)),"")</f>
        <v/>
      </c>
      <c r="AQ62" s="43" t="str">
        <f t="shared" si="47"/>
        <v/>
      </c>
      <c r="AR62" s="719" t="str">
        <f>IFERROR(IF(D62="","",VLOOKUP('HVAC Efficiency Tables'!X278&amp;'HVAC Efficiency Tables'!Y278&amp;'HVAC Efficiency Tables'!Z278,HVACEfficiencies,12,FALSE)),"")</f>
        <v/>
      </c>
      <c r="AS62" s="43" t="str">
        <f t="shared" si="48"/>
        <v/>
      </c>
      <c r="AT62" s="43"/>
      <c r="AU62" s="43"/>
      <c r="AV62" s="43"/>
      <c r="AW62" s="894" t="str">
        <f t="shared" si="49"/>
        <v/>
      </c>
      <c r="AX62" s="894"/>
      <c r="AY62" s="55" t="str">
        <f>IFERROR(IF(D62="","",VLOOKUP('HVAC Efficiency Tables'!X278&amp;'HVAC Efficiency Tables'!Y278&amp;'HVAC Efficiency Tables'!Z278,HVACEfficiencies,5,FALSE)),"")</f>
        <v/>
      </c>
      <c r="AZ62" s="43" t="str">
        <f t="shared" si="50"/>
        <v/>
      </c>
      <c r="BA62" s="310" t="str">
        <f>IFERROR(IF(D62="","",VLOOKUP('HVAC Efficiency Tables'!X278&amp;'HVAC Efficiency Tables'!Y278&amp;'HVAC Efficiency Tables'!Z278,HVACEfficiencies,13,FALSE)),"")</f>
        <v/>
      </c>
      <c r="BB62" s="43" t="str">
        <f t="shared" si="51"/>
        <v/>
      </c>
      <c r="BC62" s="43"/>
      <c r="BD62" s="43"/>
      <c r="BE62" s="894" t="str">
        <f t="shared" si="52"/>
        <v/>
      </c>
      <c r="BF62" s="894"/>
      <c r="BG62" s="157" t="s">
        <v>142</v>
      </c>
      <c r="BH62" s="895" t="str">
        <f t="shared" si="53"/>
        <v/>
      </c>
      <c r="BI62" s="895"/>
      <c r="BJ62" s="582"/>
      <c r="BQ62" s="298" t="b">
        <f t="shared" si="54"/>
        <v>0</v>
      </c>
      <c r="BR62" s="298" t="b">
        <f t="shared" si="55"/>
        <v>0</v>
      </c>
      <c r="BS62" s="298">
        <f t="shared" si="56"/>
        <v>0</v>
      </c>
      <c r="BT62" s="298" t="b">
        <f t="shared" si="57"/>
        <v>0</v>
      </c>
      <c r="BU62" s="298" t="b">
        <f t="shared" si="58"/>
        <v>0</v>
      </c>
      <c r="BV62" s="617">
        <f t="shared" si="59"/>
        <v>0</v>
      </c>
      <c r="BW62" s="301">
        <f t="shared" si="60"/>
        <v>0</v>
      </c>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row>
    <row r="63" spans="1:178" ht="14.1" customHeight="1">
      <c r="A63" s="54"/>
      <c r="B63" s="64"/>
      <c r="C63" s="333"/>
      <c r="D63" s="64"/>
      <c r="E63" s="231"/>
      <c r="F63" s="890"/>
      <c r="G63" s="890"/>
      <c r="H63" s="890"/>
      <c r="I63" s="890"/>
      <c r="J63" s="890"/>
      <c r="K63" s="890"/>
      <c r="L63" s="890"/>
      <c r="M63" s="890"/>
      <c r="N63" s="890"/>
      <c r="O63" s="890"/>
      <c r="P63" s="890"/>
      <c r="Q63" s="890"/>
      <c r="R63" s="890"/>
      <c r="S63" s="890"/>
      <c r="T63" s="890"/>
      <c r="U63" s="890"/>
      <c r="V63" s="890"/>
      <c r="W63" s="890"/>
      <c r="X63" s="890"/>
      <c r="Y63" s="890"/>
      <c r="Z63" s="890"/>
      <c r="AA63" s="890"/>
      <c r="AB63" s="208"/>
      <c r="AC63" s="204"/>
      <c r="AD63" s="891"/>
      <c r="AE63" s="892"/>
      <c r="AF63" s="892"/>
      <c r="AG63" s="893"/>
      <c r="AH63" s="333"/>
      <c r="AI63" s="64"/>
      <c r="AJ63" s="43" t="str">
        <f t="shared" si="61"/>
        <v/>
      </c>
      <c r="AK63" s="720"/>
      <c r="AL63" s="683" t="str">
        <f t="shared" si="46"/>
        <v/>
      </c>
      <c r="AM63" s="677"/>
      <c r="AN63" s="677"/>
      <c r="AO63" s="204"/>
      <c r="AP63" s="55" t="str">
        <f>IFERROR(IF(D63="","",VLOOKUP('HVAC Efficiency Tables'!X279&amp;'HVAC Efficiency Tables'!Y279&amp;'HVAC Efficiency Tables'!Z279,HVACEfficiencies,3,FALSE)),"")</f>
        <v/>
      </c>
      <c r="AQ63" s="43" t="str">
        <f t="shared" si="47"/>
        <v/>
      </c>
      <c r="AR63" s="719" t="str">
        <f>IFERROR(IF(D63="","",VLOOKUP('HVAC Efficiency Tables'!X279&amp;'HVAC Efficiency Tables'!Y279&amp;'HVAC Efficiency Tables'!Z279,HVACEfficiencies,12,FALSE)),"")</f>
        <v/>
      </c>
      <c r="AS63" s="43" t="str">
        <f t="shared" si="48"/>
        <v/>
      </c>
      <c r="AT63" s="43"/>
      <c r="AU63" s="43"/>
      <c r="AV63" s="43"/>
      <c r="AW63" s="894" t="str">
        <f t="shared" si="49"/>
        <v/>
      </c>
      <c r="AX63" s="894"/>
      <c r="AY63" s="55" t="str">
        <f>IFERROR(IF(D63="","",VLOOKUP('HVAC Efficiency Tables'!X279&amp;'HVAC Efficiency Tables'!Y279&amp;'HVAC Efficiency Tables'!Z279,HVACEfficiencies,5,FALSE)),"")</f>
        <v/>
      </c>
      <c r="AZ63" s="43" t="str">
        <f t="shared" si="50"/>
        <v/>
      </c>
      <c r="BA63" s="310" t="str">
        <f>IFERROR(IF(D63="","",VLOOKUP('HVAC Efficiency Tables'!X279&amp;'HVAC Efficiency Tables'!Y279&amp;'HVAC Efficiency Tables'!Z279,HVACEfficiencies,13,FALSE)),"")</f>
        <v/>
      </c>
      <c r="BB63" s="43" t="str">
        <f t="shared" si="51"/>
        <v/>
      </c>
      <c r="BC63" s="43"/>
      <c r="BD63" s="43"/>
      <c r="BE63" s="894" t="str">
        <f t="shared" si="52"/>
        <v/>
      </c>
      <c r="BF63" s="894"/>
      <c r="BG63" s="157" t="s">
        <v>142</v>
      </c>
      <c r="BH63" s="895" t="str">
        <f t="shared" si="53"/>
        <v/>
      </c>
      <c r="BI63" s="895"/>
      <c r="BJ63" s="582"/>
      <c r="BQ63" s="298" t="b">
        <f t="shared" si="54"/>
        <v>0</v>
      </c>
      <c r="BR63" s="298" t="b">
        <f t="shared" si="55"/>
        <v>0</v>
      </c>
      <c r="BS63" s="298">
        <f t="shared" si="56"/>
        <v>0</v>
      </c>
      <c r="BT63" s="298" t="b">
        <f t="shared" si="57"/>
        <v>0</v>
      </c>
      <c r="BU63" s="298" t="b">
        <f t="shared" si="58"/>
        <v>0</v>
      </c>
      <c r="BV63" s="617">
        <f t="shared" si="59"/>
        <v>0</v>
      </c>
      <c r="BW63" s="301">
        <f t="shared" si="60"/>
        <v>0</v>
      </c>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row>
    <row r="64" spans="1:178" ht="14.1" customHeight="1">
      <c r="A64" s="54"/>
      <c r="B64" s="64"/>
      <c r="C64" s="333"/>
      <c r="D64" s="64"/>
      <c r="E64" s="231"/>
      <c r="F64" s="890"/>
      <c r="G64" s="890"/>
      <c r="H64" s="890"/>
      <c r="I64" s="890"/>
      <c r="J64" s="890"/>
      <c r="K64" s="890"/>
      <c r="L64" s="890"/>
      <c r="M64" s="890"/>
      <c r="N64" s="890"/>
      <c r="O64" s="890"/>
      <c r="P64" s="890"/>
      <c r="Q64" s="890"/>
      <c r="R64" s="890"/>
      <c r="S64" s="890"/>
      <c r="T64" s="890"/>
      <c r="U64" s="890"/>
      <c r="V64" s="890"/>
      <c r="W64" s="890"/>
      <c r="X64" s="890"/>
      <c r="Y64" s="890"/>
      <c r="Z64" s="890"/>
      <c r="AA64" s="890"/>
      <c r="AB64" s="208"/>
      <c r="AC64" s="204"/>
      <c r="AD64" s="891"/>
      <c r="AE64" s="892"/>
      <c r="AF64" s="892"/>
      <c r="AG64" s="893"/>
      <c r="AH64" s="333"/>
      <c r="AI64" s="64"/>
      <c r="AJ64" s="43" t="str">
        <f t="shared" si="61"/>
        <v/>
      </c>
      <c r="AK64" s="720"/>
      <c r="AL64" s="683" t="str">
        <f t="shared" si="46"/>
        <v/>
      </c>
      <c r="AM64" s="677"/>
      <c r="AN64" s="677"/>
      <c r="AO64" s="204"/>
      <c r="AP64" s="55" t="str">
        <f>IFERROR(IF(D64="","",VLOOKUP('HVAC Efficiency Tables'!X280&amp;'HVAC Efficiency Tables'!Y280&amp;'HVAC Efficiency Tables'!Z280,HVACEfficiencies,3,FALSE)),"")</f>
        <v/>
      </c>
      <c r="AQ64" s="43" t="str">
        <f t="shared" si="47"/>
        <v/>
      </c>
      <c r="AR64" s="719" t="str">
        <f>IFERROR(IF(D64="","",VLOOKUP('HVAC Efficiency Tables'!X280&amp;'HVAC Efficiency Tables'!Y280&amp;'HVAC Efficiency Tables'!Z280,HVACEfficiencies,12,FALSE)),"")</f>
        <v/>
      </c>
      <c r="AS64" s="43" t="str">
        <f t="shared" si="48"/>
        <v/>
      </c>
      <c r="AT64" s="43"/>
      <c r="AU64" s="43"/>
      <c r="AV64" s="43"/>
      <c r="AW64" s="894" t="str">
        <f t="shared" si="49"/>
        <v/>
      </c>
      <c r="AX64" s="894"/>
      <c r="AY64" s="55" t="str">
        <f>IFERROR(IF(D64="","",VLOOKUP('HVAC Efficiency Tables'!X280&amp;'HVAC Efficiency Tables'!Y280&amp;'HVAC Efficiency Tables'!Z280,HVACEfficiencies,5,FALSE)),"")</f>
        <v/>
      </c>
      <c r="AZ64" s="43" t="str">
        <f t="shared" si="50"/>
        <v/>
      </c>
      <c r="BA64" s="310" t="str">
        <f>IFERROR(IF(D64="","",VLOOKUP('HVAC Efficiency Tables'!X280&amp;'HVAC Efficiency Tables'!Y280&amp;'HVAC Efficiency Tables'!Z280,HVACEfficiencies,13,FALSE)),"")</f>
        <v/>
      </c>
      <c r="BB64" s="43" t="str">
        <f t="shared" si="51"/>
        <v/>
      </c>
      <c r="BC64" s="43"/>
      <c r="BD64" s="43"/>
      <c r="BE64" s="894" t="str">
        <f t="shared" si="52"/>
        <v/>
      </c>
      <c r="BF64" s="894"/>
      <c r="BG64" s="157" t="s">
        <v>142</v>
      </c>
      <c r="BH64" s="895" t="str">
        <f t="shared" si="53"/>
        <v/>
      </c>
      <c r="BI64" s="895"/>
      <c r="BJ64" s="582"/>
      <c r="BQ64" s="298" t="b">
        <f t="shared" si="54"/>
        <v>0</v>
      </c>
      <c r="BR64" s="298" t="b">
        <f t="shared" si="55"/>
        <v>0</v>
      </c>
      <c r="BS64" s="298">
        <f t="shared" si="56"/>
        <v>0</v>
      </c>
      <c r="BT64" s="298" t="b">
        <f t="shared" si="57"/>
        <v>0</v>
      </c>
      <c r="BU64" s="298" t="b">
        <f t="shared" si="58"/>
        <v>0</v>
      </c>
      <c r="BV64" s="617">
        <f t="shared" si="59"/>
        <v>0</v>
      </c>
      <c r="BW64" s="301">
        <f t="shared" si="60"/>
        <v>0</v>
      </c>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row>
    <row r="65" spans="1:178" ht="14.1" customHeight="1">
      <c r="A65" s="54"/>
      <c r="B65" s="64"/>
      <c r="C65" s="333"/>
      <c r="D65" s="64"/>
      <c r="E65" s="231"/>
      <c r="F65" s="890"/>
      <c r="G65" s="890"/>
      <c r="H65" s="890"/>
      <c r="I65" s="890"/>
      <c r="J65" s="890"/>
      <c r="K65" s="890"/>
      <c r="L65" s="890"/>
      <c r="M65" s="890"/>
      <c r="N65" s="890"/>
      <c r="O65" s="890"/>
      <c r="P65" s="890"/>
      <c r="Q65" s="890"/>
      <c r="R65" s="890"/>
      <c r="S65" s="890"/>
      <c r="T65" s="890"/>
      <c r="U65" s="890"/>
      <c r="V65" s="890"/>
      <c r="W65" s="890"/>
      <c r="X65" s="890"/>
      <c r="Y65" s="890"/>
      <c r="Z65" s="890"/>
      <c r="AA65" s="890"/>
      <c r="AB65" s="208"/>
      <c r="AC65" s="204"/>
      <c r="AD65" s="891"/>
      <c r="AE65" s="892"/>
      <c r="AF65" s="892"/>
      <c r="AG65" s="893"/>
      <c r="AH65" s="333"/>
      <c r="AI65" s="64"/>
      <c r="AJ65" s="43" t="str">
        <f t="shared" si="61"/>
        <v/>
      </c>
      <c r="AK65" s="720"/>
      <c r="AL65" s="683" t="str">
        <f t="shared" si="46"/>
        <v/>
      </c>
      <c r="AM65" s="677"/>
      <c r="AN65" s="677"/>
      <c r="AO65" s="204"/>
      <c r="AP65" s="55" t="str">
        <f>IFERROR(IF(D65="","",VLOOKUP('HVAC Efficiency Tables'!X281&amp;'HVAC Efficiency Tables'!Y281&amp;'HVAC Efficiency Tables'!Z281,HVACEfficiencies,3,FALSE)),"")</f>
        <v/>
      </c>
      <c r="AQ65" s="43" t="str">
        <f t="shared" si="47"/>
        <v/>
      </c>
      <c r="AR65" s="719" t="str">
        <f>IFERROR(IF(D65="","",VLOOKUP('HVAC Efficiency Tables'!X281&amp;'HVAC Efficiency Tables'!Y281&amp;'HVAC Efficiency Tables'!Z281,HVACEfficiencies,12,FALSE)),"")</f>
        <v/>
      </c>
      <c r="AS65" s="43" t="str">
        <f t="shared" si="48"/>
        <v/>
      </c>
      <c r="AT65" s="43"/>
      <c r="AU65" s="43"/>
      <c r="AV65" s="43"/>
      <c r="AW65" s="894" t="str">
        <f t="shared" si="49"/>
        <v/>
      </c>
      <c r="AX65" s="894"/>
      <c r="AY65" s="55" t="str">
        <f>IFERROR(IF(D65="","",VLOOKUP('HVAC Efficiency Tables'!X281&amp;'HVAC Efficiency Tables'!Y281&amp;'HVAC Efficiency Tables'!Z281,HVACEfficiencies,5,FALSE)),"")</f>
        <v/>
      </c>
      <c r="AZ65" s="43" t="str">
        <f t="shared" si="50"/>
        <v/>
      </c>
      <c r="BA65" s="310" t="str">
        <f>IFERROR(IF(D65="","",VLOOKUP('HVAC Efficiency Tables'!X281&amp;'HVAC Efficiency Tables'!Y281&amp;'HVAC Efficiency Tables'!Z281,HVACEfficiencies,13,FALSE)),"")</f>
        <v/>
      </c>
      <c r="BB65" s="43" t="str">
        <f t="shared" si="51"/>
        <v/>
      </c>
      <c r="BC65" s="43"/>
      <c r="BD65" s="43"/>
      <c r="BE65" s="894" t="str">
        <f t="shared" si="52"/>
        <v/>
      </c>
      <c r="BF65" s="894"/>
      <c r="BG65" s="157" t="s">
        <v>142</v>
      </c>
      <c r="BH65" s="895" t="str">
        <f t="shared" si="53"/>
        <v/>
      </c>
      <c r="BI65" s="895"/>
      <c r="BJ65" s="582"/>
      <c r="BQ65" s="298" t="b">
        <f t="shared" si="54"/>
        <v>0</v>
      </c>
      <c r="BR65" s="298" t="b">
        <f t="shared" si="55"/>
        <v>0</v>
      </c>
      <c r="BS65" s="298">
        <f t="shared" si="56"/>
        <v>0</v>
      </c>
      <c r="BT65" s="298" t="b">
        <f t="shared" si="57"/>
        <v>0</v>
      </c>
      <c r="BU65" s="298" t="b">
        <f t="shared" si="58"/>
        <v>0</v>
      </c>
      <c r="BV65" s="617">
        <f t="shared" si="59"/>
        <v>0</v>
      </c>
      <c r="BW65" s="301">
        <f t="shared" si="60"/>
        <v>0</v>
      </c>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row>
    <row r="66" spans="1:178" ht="14.1" customHeight="1">
      <c r="A66" s="54"/>
      <c r="B66" s="64"/>
      <c r="C66" s="333"/>
      <c r="D66" s="64"/>
      <c r="E66" s="231"/>
      <c r="F66" s="890"/>
      <c r="G66" s="890"/>
      <c r="H66" s="890"/>
      <c r="I66" s="890"/>
      <c r="J66" s="890"/>
      <c r="K66" s="890"/>
      <c r="L66" s="890"/>
      <c r="M66" s="890"/>
      <c r="N66" s="890"/>
      <c r="O66" s="890"/>
      <c r="P66" s="890"/>
      <c r="Q66" s="890"/>
      <c r="R66" s="890"/>
      <c r="S66" s="890"/>
      <c r="T66" s="890"/>
      <c r="U66" s="890"/>
      <c r="V66" s="890"/>
      <c r="W66" s="890"/>
      <c r="X66" s="890"/>
      <c r="Y66" s="890"/>
      <c r="Z66" s="890"/>
      <c r="AA66" s="890"/>
      <c r="AB66" s="208"/>
      <c r="AC66" s="204"/>
      <c r="AD66" s="891"/>
      <c r="AE66" s="892"/>
      <c r="AF66" s="892"/>
      <c r="AG66" s="893"/>
      <c r="AH66" s="333"/>
      <c r="AI66" s="64"/>
      <c r="AJ66" s="43" t="str">
        <f t="shared" si="61"/>
        <v/>
      </c>
      <c r="AK66" s="720"/>
      <c r="AL66" s="683" t="str">
        <f t="shared" si="46"/>
        <v/>
      </c>
      <c r="AM66" s="677"/>
      <c r="AN66" s="677"/>
      <c r="AO66" s="204"/>
      <c r="AP66" s="55" t="str">
        <f>IFERROR(IF(D66="","",VLOOKUP('HVAC Efficiency Tables'!X282&amp;'HVAC Efficiency Tables'!Y282&amp;'HVAC Efficiency Tables'!Z282,HVACEfficiencies,3,FALSE)),"")</f>
        <v/>
      </c>
      <c r="AQ66" s="43" t="str">
        <f t="shared" si="47"/>
        <v/>
      </c>
      <c r="AR66" s="719" t="str">
        <f>IFERROR(IF(D66="","",VLOOKUP('HVAC Efficiency Tables'!X282&amp;'HVAC Efficiency Tables'!Y282&amp;'HVAC Efficiency Tables'!Z282,HVACEfficiencies,12,FALSE)),"")</f>
        <v/>
      </c>
      <c r="AS66" s="43" t="str">
        <f t="shared" si="48"/>
        <v/>
      </c>
      <c r="AT66" s="43"/>
      <c r="AU66" s="43"/>
      <c r="AV66" s="43"/>
      <c r="AW66" s="894" t="str">
        <f t="shared" si="49"/>
        <v/>
      </c>
      <c r="AX66" s="894"/>
      <c r="AY66" s="55" t="str">
        <f>IFERROR(IF(D66="","",VLOOKUP('HVAC Efficiency Tables'!X282&amp;'HVAC Efficiency Tables'!Y282&amp;'HVAC Efficiency Tables'!Z282,HVACEfficiencies,5,FALSE)),"")</f>
        <v/>
      </c>
      <c r="AZ66" s="43" t="str">
        <f t="shared" si="50"/>
        <v/>
      </c>
      <c r="BA66" s="310" t="str">
        <f>IFERROR(IF(D66="","",VLOOKUP('HVAC Efficiency Tables'!X282&amp;'HVAC Efficiency Tables'!Y282&amp;'HVAC Efficiency Tables'!Z282,HVACEfficiencies,13,FALSE)),"")</f>
        <v/>
      </c>
      <c r="BB66" s="43" t="str">
        <f t="shared" si="51"/>
        <v/>
      </c>
      <c r="BC66" s="43"/>
      <c r="BD66" s="43"/>
      <c r="BE66" s="894" t="str">
        <f t="shared" si="52"/>
        <v/>
      </c>
      <c r="BF66" s="894"/>
      <c r="BG66" s="157" t="s">
        <v>142</v>
      </c>
      <c r="BH66" s="895" t="str">
        <f t="shared" si="53"/>
        <v/>
      </c>
      <c r="BI66" s="895"/>
      <c r="BJ66" s="582"/>
      <c r="BQ66" s="298" t="b">
        <f t="shared" si="54"/>
        <v>0</v>
      </c>
      <c r="BR66" s="298" t="b">
        <f t="shared" si="55"/>
        <v>0</v>
      </c>
      <c r="BS66" s="298">
        <f t="shared" si="56"/>
        <v>0</v>
      </c>
      <c r="BT66" s="298" t="b">
        <f t="shared" si="57"/>
        <v>0</v>
      </c>
      <c r="BU66" s="298" t="b">
        <f t="shared" si="58"/>
        <v>0</v>
      </c>
      <c r="BV66" s="617">
        <f t="shared" si="59"/>
        <v>0</v>
      </c>
      <c r="BW66" s="301">
        <f t="shared" si="60"/>
        <v>0</v>
      </c>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row>
    <row r="67" spans="1:178" ht="14.1" customHeight="1">
      <c r="A67" s="54"/>
      <c r="B67" s="64"/>
      <c r="C67" s="333"/>
      <c r="D67" s="64"/>
      <c r="E67" s="231"/>
      <c r="F67" s="890"/>
      <c r="G67" s="890"/>
      <c r="H67" s="890"/>
      <c r="I67" s="890"/>
      <c r="J67" s="890"/>
      <c r="K67" s="890"/>
      <c r="L67" s="890"/>
      <c r="M67" s="890"/>
      <c r="N67" s="890"/>
      <c r="O67" s="890"/>
      <c r="P67" s="890"/>
      <c r="Q67" s="890"/>
      <c r="R67" s="890"/>
      <c r="S67" s="890"/>
      <c r="T67" s="890"/>
      <c r="U67" s="890"/>
      <c r="V67" s="890"/>
      <c r="W67" s="890"/>
      <c r="X67" s="890"/>
      <c r="Y67" s="890"/>
      <c r="Z67" s="890"/>
      <c r="AA67" s="890"/>
      <c r="AB67" s="208"/>
      <c r="AC67" s="204"/>
      <c r="AD67" s="891"/>
      <c r="AE67" s="892"/>
      <c r="AF67" s="892"/>
      <c r="AG67" s="893"/>
      <c r="AH67" s="333"/>
      <c r="AI67" s="64"/>
      <c r="AJ67" s="43" t="str">
        <f t="shared" si="61"/>
        <v/>
      </c>
      <c r="AK67" s="720"/>
      <c r="AL67" s="683" t="str">
        <f t="shared" si="46"/>
        <v/>
      </c>
      <c r="AM67" s="677"/>
      <c r="AN67" s="677"/>
      <c r="AO67" s="204"/>
      <c r="AP67" s="55" t="str">
        <f>IFERROR(IF(D67="","",VLOOKUP('HVAC Efficiency Tables'!X283&amp;'HVAC Efficiency Tables'!Y283&amp;'HVAC Efficiency Tables'!Z283,HVACEfficiencies,3,FALSE)),"")</f>
        <v/>
      </c>
      <c r="AQ67" s="43" t="str">
        <f t="shared" si="47"/>
        <v/>
      </c>
      <c r="AR67" s="719" t="str">
        <f>IFERROR(IF(D67="","",VLOOKUP('HVAC Efficiency Tables'!X283&amp;'HVAC Efficiency Tables'!Y283&amp;'HVAC Efficiency Tables'!Z283,HVACEfficiencies,12,FALSE)),"")</f>
        <v/>
      </c>
      <c r="AS67" s="43" t="str">
        <f t="shared" si="48"/>
        <v/>
      </c>
      <c r="AT67" s="43"/>
      <c r="AU67" s="43"/>
      <c r="AV67" s="43"/>
      <c r="AW67" s="894" t="str">
        <f t="shared" si="49"/>
        <v/>
      </c>
      <c r="AX67" s="894"/>
      <c r="AY67" s="55" t="str">
        <f>IFERROR(IF(D67="","",VLOOKUP('HVAC Efficiency Tables'!X283&amp;'HVAC Efficiency Tables'!Y283&amp;'HVAC Efficiency Tables'!Z283,HVACEfficiencies,5,FALSE)),"")</f>
        <v/>
      </c>
      <c r="AZ67" s="43" t="str">
        <f t="shared" si="50"/>
        <v/>
      </c>
      <c r="BA67" s="310" t="str">
        <f>IFERROR(IF(D67="","",VLOOKUP('HVAC Efficiency Tables'!X283&amp;'HVAC Efficiency Tables'!Y283&amp;'HVAC Efficiency Tables'!Z283,HVACEfficiencies,13,FALSE)),"")</f>
        <v/>
      </c>
      <c r="BB67" s="43" t="str">
        <f t="shared" si="51"/>
        <v/>
      </c>
      <c r="BC67" s="43"/>
      <c r="BD67" s="43"/>
      <c r="BE67" s="894" t="str">
        <f t="shared" si="52"/>
        <v/>
      </c>
      <c r="BF67" s="894"/>
      <c r="BG67" s="157" t="s">
        <v>142</v>
      </c>
      <c r="BH67" s="895" t="str">
        <f t="shared" si="53"/>
        <v/>
      </c>
      <c r="BI67" s="895"/>
      <c r="BJ67" s="582"/>
      <c r="BQ67" s="298" t="b">
        <f t="shared" si="54"/>
        <v>0</v>
      </c>
      <c r="BR67" s="298" t="b">
        <f t="shared" si="55"/>
        <v>0</v>
      </c>
      <c r="BS67" s="298">
        <f t="shared" si="56"/>
        <v>0</v>
      </c>
      <c r="BT67" s="298" t="b">
        <f t="shared" si="57"/>
        <v>0</v>
      </c>
      <c r="BU67" s="298" t="b">
        <f t="shared" si="58"/>
        <v>0</v>
      </c>
      <c r="BV67" s="617">
        <f t="shared" si="59"/>
        <v>0</v>
      </c>
      <c r="BW67" s="301">
        <f t="shared" si="60"/>
        <v>0</v>
      </c>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row>
    <row r="68" spans="1:178" ht="14.1" customHeight="1">
      <c r="A68" s="54"/>
      <c r="B68" s="64"/>
      <c r="C68" s="333"/>
      <c r="D68" s="64"/>
      <c r="E68" s="231"/>
      <c r="F68" s="890"/>
      <c r="G68" s="890"/>
      <c r="H68" s="890"/>
      <c r="I68" s="890"/>
      <c r="J68" s="890"/>
      <c r="K68" s="890"/>
      <c r="L68" s="890"/>
      <c r="M68" s="890"/>
      <c r="N68" s="890"/>
      <c r="O68" s="890"/>
      <c r="P68" s="890"/>
      <c r="Q68" s="890"/>
      <c r="R68" s="890"/>
      <c r="S68" s="890"/>
      <c r="T68" s="890"/>
      <c r="U68" s="890"/>
      <c r="V68" s="890"/>
      <c r="W68" s="890"/>
      <c r="X68" s="890"/>
      <c r="Y68" s="890"/>
      <c r="Z68" s="890"/>
      <c r="AA68" s="890"/>
      <c r="AB68" s="208"/>
      <c r="AC68" s="204"/>
      <c r="AD68" s="891"/>
      <c r="AE68" s="892"/>
      <c r="AF68" s="892"/>
      <c r="AG68" s="893"/>
      <c r="AH68" s="333"/>
      <c r="AI68" s="64"/>
      <c r="AJ68" s="43" t="str">
        <f t="shared" si="61"/>
        <v/>
      </c>
      <c r="AK68" s="720"/>
      <c r="AL68" s="683" t="str">
        <f t="shared" si="46"/>
        <v/>
      </c>
      <c r="AM68" s="677"/>
      <c r="AN68" s="677"/>
      <c r="AO68" s="204"/>
      <c r="AP68" s="55" t="str">
        <f>IFERROR(IF(D68="","",VLOOKUP('HVAC Efficiency Tables'!X284&amp;'HVAC Efficiency Tables'!Y284&amp;'HVAC Efficiency Tables'!Z284,HVACEfficiencies,3,FALSE)),"")</f>
        <v/>
      </c>
      <c r="AQ68" s="43" t="str">
        <f t="shared" si="47"/>
        <v/>
      </c>
      <c r="AR68" s="719" t="str">
        <f>IFERROR(IF(D68="","",VLOOKUP('HVAC Efficiency Tables'!X284&amp;'HVAC Efficiency Tables'!Y284&amp;'HVAC Efficiency Tables'!Z284,HVACEfficiencies,12,FALSE)),"")</f>
        <v/>
      </c>
      <c r="AS68" s="43" t="str">
        <f t="shared" si="48"/>
        <v/>
      </c>
      <c r="AT68" s="43"/>
      <c r="AU68" s="43"/>
      <c r="AV68" s="43"/>
      <c r="AW68" s="894" t="str">
        <f t="shared" si="49"/>
        <v/>
      </c>
      <c r="AX68" s="894"/>
      <c r="AY68" s="55" t="str">
        <f>IFERROR(IF(D68="","",VLOOKUP('HVAC Efficiency Tables'!X284&amp;'HVAC Efficiency Tables'!Y284&amp;'HVAC Efficiency Tables'!Z284,HVACEfficiencies,5,FALSE)),"")</f>
        <v/>
      </c>
      <c r="AZ68" s="43" t="str">
        <f t="shared" si="50"/>
        <v/>
      </c>
      <c r="BA68" s="310" t="str">
        <f>IFERROR(IF(D68="","",VLOOKUP('HVAC Efficiency Tables'!X284&amp;'HVAC Efficiency Tables'!Y284&amp;'HVAC Efficiency Tables'!Z284,HVACEfficiencies,13,FALSE)),"")</f>
        <v/>
      </c>
      <c r="BB68" s="43" t="str">
        <f t="shared" si="51"/>
        <v/>
      </c>
      <c r="BC68" s="43"/>
      <c r="BD68" s="43"/>
      <c r="BE68" s="894" t="str">
        <f t="shared" si="52"/>
        <v/>
      </c>
      <c r="BF68" s="894"/>
      <c r="BG68" s="157" t="s">
        <v>142</v>
      </c>
      <c r="BH68" s="895" t="str">
        <f t="shared" si="53"/>
        <v/>
      </c>
      <c r="BI68" s="895"/>
      <c r="BJ68" s="582"/>
      <c r="BQ68" s="298" t="b">
        <f t="shared" si="54"/>
        <v>0</v>
      </c>
      <c r="BR68" s="298" t="b">
        <f t="shared" si="55"/>
        <v>0</v>
      </c>
      <c r="BS68" s="298">
        <f t="shared" si="56"/>
        <v>0</v>
      </c>
      <c r="BT68" s="298" t="b">
        <f t="shared" si="57"/>
        <v>0</v>
      </c>
      <c r="BU68" s="298" t="b">
        <f t="shared" si="58"/>
        <v>0</v>
      </c>
      <c r="BV68" s="617">
        <f t="shared" si="59"/>
        <v>0</v>
      </c>
      <c r="BW68" s="301">
        <f t="shared" si="60"/>
        <v>0</v>
      </c>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row>
    <row r="69" spans="1:178" s="22" customFormat="1" ht="15.6" customHeight="1" thickBot="1">
      <c r="A69" s="583"/>
      <c r="B69" s="534"/>
      <c r="C69" s="534"/>
      <c r="D69" s="534"/>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4"/>
      <c r="AC69" s="534"/>
      <c r="AD69" s="534"/>
      <c r="AE69" s="534"/>
      <c r="AF69" s="534"/>
      <c r="AG69" s="534"/>
      <c r="AH69" s="534"/>
      <c r="AI69" s="534"/>
      <c r="AJ69" s="534"/>
      <c r="AK69" s="534"/>
      <c r="AL69" s="534"/>
      <c r="AM69" s="534"/>
      <c r="AN69" s="534"/>
      <c r="AO69" s="534"/>
      <c r="AP69" s="534"/>
      <c r="AQ69" s="534"/>
      <c r="AR69" s="534"/>
      <c r="AS69" s="534"/>
      <c r="AT69" s="534"/>
      <c r="AU69" s="534"/>
      <c r="AV69" s="534"/>
      <c r="AW69" s="534"/>
      <c r="AX69" s="534"/>
      <c r="AY69" s="534"/>
      <c r="AZ69" s="534"/>
      <c r="BA69" s="534"/>
      <c r="BB69" s="534"/>
      <c r="BC69" s="534"/>
      <c r="BD69" s="534"/>
      <c r="BE69" s="534"/>
      <c r="BF69" s="534"/>
      <c r="BG69" s="544"/>
      <c r="BH69" s="545"/>
      <c r="BI69" s="545"/>
      <c r="BJ69" s="536"/>
      <c r="BK69" s="1"/>
      <c r="BL69" s="1"/>
      <c r="BM69" s="1"/>
      <c r="BN69" s="1"/>
      <c r="BQ69" s="533"/>
      <c r="BR69" s="533"/>
      <c r="BS69" s="533"/>
      <c r="BT69" s="533"/>
      <c r="BU69" s="533"/>
      <c r="BV69" s="304" t="s">
        <v>2707</v>
      </c>
      <c r="BW69" s="304" t="s">
        <v>2700</v>
      </c>
      <c r="BY69" s="102"/>
      <c r="BZ69" s="102"/>
      <c r="CA69" s="94"/>
      <c r="CB69" s="94"/>
      <c r="CC69" s="94"/>
      <c r="CD69" s="94"/>
      <c r="CE69" s="94"/>
      <c r="CF69" s="94"/>
      <c r="CG69" s="94"/>
      <c r="CH69" s="94"/>
      <c r="CI69" s="94"/>
      <c r="CJ69" s="94"/>
      <c r="CK69" s="94"/>
      <c r="CL69" s="94"/>
      <c r="CM69" s="102"/>
      <c r="CN69" s="102"/>
      <c r="CO69" s="102"/>
      <c r="CP69" s="102"/>
      <c r="CQ69" s="102"/>
      <c r="CR69" s="102"/>
      <c r="CS69" s="102"/>
      <c r="CT69" s="102"/>
      <c r="CU69" s="102"/>
      <c r="CV69" s="102"/>
      <c r="CW69" s="102"/>
      <c r="CX69" s="102"/>
      <c r="CY69" s="102"/>
      <c r="CZ69" s="102"/>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row>
    <row r="70" spans="1:178" s="22" customFormat="1" ht="15.6" customHeight="1">
      <c r="A70" s="381"/>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678"/>
      <c r="AN70" s="678"/>
      <c r="AO70" s="208"/>
      <c r="AP70" s="208"/>
      <c r="AQ70" s="208"/>
      <c r="AR70" s="208"/>
      <c r="AS70" s="208"/>
      <c r="AT70" s="678"/>
      <c r="AU70" s="678"/>
      <c r="AV70" s="208"/>
      <c r="AW70" s="208"/>
      <c r="AX70" s="208"/>
      <c r="AY70" s="208"/>
      <c r="AZ70" s="208"/>
      <c r="BA70" s="208"/>
      <c r="BB70" s="25"/>
      <c r="BC70" s="25"/>
      <c r="BD70" s="25"/>
      <c r="BE70" s="25"/>
      <c r="BF70" s="61" t="s">
        <v>2708</v>
      </c>
      <c r="BG70" s="25"/>
      <c r="BH70" s="896" t="str">
        <f>IF(BM59&gt;=1,SUM(BH59:BH68),"")</f>
        <v/>
      </c>
      <c r="BI70" s="896"/>
      <c r="BJ70" s="537"/>
      <c r="BK70" s="1"/>
      <c r="BL70" s="1"/>
      <c r="BM70" s="1"/>
      <c r="BN70" s="1"/>
      <c r="BQ70" s="533"/>
      <c r="BR70" s="533"/>
      <c r="BS70" s="533"/>
      <c r="BT70" s="533"/>
      <c r="BU70" s="533"/>
      <c r="BV70" s="302">
        <f>SUM(BV59:BV68)</f>
        <v>0</v>
      </c>
      <c r="BW70" s="299">
        <f>SUM(BW59:BW68)</f>
        <v>0</v>
      </c>
      <c r="BY70" s="102"/>
      <c r="BZ70" s="102"/>
      <c r="CA70" s="94"/>
      <c r="CB70" s="94"/>
      <c r="CC70" s="94"/>
      <c r="CD70" s="94"/>
      <c r="CE70" s="94"/>
      <c r="CF70" s="94"/>
      <c r="CG70" s="94"/>
      <c r="CH70" s="94"/>
      <c r="CI70" s="94"/>
      <c r="CJ70" s="94"/>
      <c r="CK70" s="94"/>
      <c r="CL70" s="94"/>
      <c r="CM70" s="102"/>
      <c r="CN70" s="102"/>
      <c r="CO70" s="102"/>
      <c r="CP70" s="102"/>
      <c r="CQ70" s="102"/>
      <c r="CR70" s="102"/>
      <c r="CS70" s="102"/>
      <c r="CT70" s="102"/>
      <c r="CU70" s="102"/>
      <c r="CV70" s="102"/>
      <c r="CW70" s="102"/>
      <c r="CX70" s="102"/>
      <c r="CY70" s="102"/>
      <c r="CZ70" s="102"/>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row>
    <row r="71" spans="1:178" s="22" customFormat="1" ht="6" customHeight="1">
      <c r="A71" s="208"/>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678"/>
      <c r="AN71" s="678"/>
      <c r="AO71" s="208"/>
      <c r="AP71" s="208"/>
      <c r="AQ71" s="208"/>
      <c r="AR71" s="208"/>
      <c r="AS71" s="208"/>
      <c r="AT71" s="678"/>
      <c r="AU71" s="678"/>
      <c r="AV71" s="208"/>
      <c r="AW71" s="208"/>
      <c r="AX71" s="208"/>
      <c r="AY71" s="208"/>
      <c r="AZ71" s="208"/>
      <c r="BA71" s="208"/>
      <c r="BB71" s="25"/>
      <c r="BC71" s="25"/>
      <c r="BD71" s="25"/>
      <c r="BE71" s="25"/>
      <c r="BF71" s="61"/>
      <c r="BG71" s="25"/>
      <c r="BH71" s="607"/>
      <c r="BI71" s="607"/>
      <c r="BJ71" s="538"/>
      <c r="BK71" s="1"/>
      <c r="BL71" s="1"/>
      <c r="BM71" s="1"/>
      <c r="BN71" s="1"/>
      <c r="BQ71" s="533"/>
      <c r="BR71" s="533"/>
      <c r="BS71" s="533"/>
      <c r="BT71" s="533"/>
      <c r="BU71" s="533"/>
      <c r="BV71" s="608"/>
      <c r="BW71" s="608"/>
      <c r="BY71" s="102"/>
      <c r="BZ71" s="102"/>
      <c r="CA71" s="94"/>
      <c r="CB71" s="94"/>
      <c r="CC71" s="94"/>
      <c r="CD71" s="94"/>
      <c r="CE71" s="94"/>
      <c r="CF71" s="94"/>
      <c r="CG71" s="94"/>
      <c r="CH71" s="94"/>
      <c r="CI71" s="94"/>
      <c r="CJ71" s="94"/>
      <c r="CK71" s="94"/>
      <c r="CL71" s="94"/>
      <c r="CM71" s="102"/>
      <c r="CN71" s="102"/>
      <c r="CO71" s="102"/>
      <c r="CP71" s="102"/>
      <c r="CQ71" s="102"/>
      <c r="CR71" s="102"/>
      <c r="CS71" s="102"/>
      <c r="CT71" s="102"/>
      <c r="CU71" s="102"/>
      <c r="CV71" s="102"/>
      <c r="CW71" s="102"/>
      <c r="CX71" s="102"/>
      <c r="CY71" s="102"/>
      <c r="CZ71" s="102"/>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row>
    <row r="72" spans="1:178" ht="6.75" customHeight="1">
      <c r="A72" s="35"/>
      <c r="B72" s="65"/>
      <c r="C72" s="65"/>
      <c r="D72" s="65"/>
      <c r="E72" s="65"/>
      <c r="F72" s="65"/>
      <c r="G72" s="65"/>
      <c r="H72" s="65"/>
      <c r="I72" s="65"/>
      <c r="J72" s="65"/>
      <c r="K72" s="65"/>
      <c r="L72" s="65"/>
      <c r="M72" s="65"/>
      <c r="N72" s="65"/>
      <c r="O72" s="65"/>
      <c r="P72" s="65"/>
      <c r="Q72" s="65"/>
      <c r="R72" s="35"/>
      <c r="S72" s="35"/>
      <c r="T72" s="35"/>
      <c r="U72" s="35"/>
      <c r="V72" s="35"/>
      <c r="W72" s="35"/>
      <c r="X72" s="35"/>
      <c r="Y72" s="35"/>
      <c r="Z72" s="35"/>
      <c r="AA72" s="35"/>
      <c r="AB72" s="35"/>
      <c r="AC72" s="35"/>
      <c r="AD72" s="35"/>
      <c r="AE72" s="35"/>
      <c r="AF72" s="35"/>
      <c r="AG72" s="35"/>
      <c r="AH72" s="3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N72" s="2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row>
    <row r="73" spans="1:178" ht="15.75">
      <c r="A73" s="153" t="s">
        <v>2709</v>
      </c>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34"/>
      <c r="BH73" s="34"/>
      <c r="BI73" s="25"/>
      <c r="BJ73" s="25"/>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row>
    <row r="74" spans="1:178" ht="16.5" thickBot="1">
      <c r="A74" s="622" t="s">
        <v>2710</v>
      </c>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34"/>
      <c r="BH74" s="34"/>
      <c r="BI74" s="25"/>
      <c r="BJ74" s="25"/>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row>
    <row r="75" spans="1:178" s="22" customFormat="1" ht="15.6" customHeight="1">
      <c r="A75" s="581"/>
      <c r="B75" s="381"/>
      <c r="C75" s="381"/>
      <c r="D75" s="381"/>
      <c r="E75" s="381"/>
      <c r="F75" s="381"/>
      <c r="G75" s="381"/>
      <c r="H75" s="381"/>
      <c r="I75" s="381"/>
      <c r="J75" s="381"/>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381"/>
      <c r="AL75" s="381"/>
      <c r="AM75" s="676"/>
      <c r="AN75" s="676"/>
      <c r="AO75" s="381"/>
      <c r="AP75" s="905" t="s">
        <v>2655</v>
      </c>
      <c r="AQ75" s="905"/>
      <c r="AR75" s="905"/>
      <c r="AS75" s="905"/>
      <c r="AT75" s="905"/>
      <c r="AU75" s="905"/>
      <c r="AV75" s="905"/>
      <c r="AW75" s="905"/>
      <c r="AX75" s="905"/>
      <c r="AY75" s="905"/>
      <c r="AZ75" s="905"/>
      <c r="BA75" s="905"/>
      <c r="BB75" s="905"/>
      <c r="BC75" s="905"/>
      <c r="BD75" s="905"/>
      <c r="BE75" s="905"/>
      <c r="BF75" s="905"/>
      <c r="BG75" s="881" t="s">
        <v>2711</v>
      </c>
      <c r="BH75" s="881"/>
      <c r="BI75" s="881"/>
      <c r="BJ75" s="225"/>
      <c r="BK75" s="1"/>
      <c r="BL75" s="1"/>
      <c r="BM75" s="1"/>
      <c r="BN75" s="1"/>
      <c r="BQ75" s="928" t="s">
        <v>2712</v>
      </c>
      <c r="BR75" s="928"/>
      <c r="BS75" s="928"/>
      <c r="BT75" s="928"/>
      <c r="BU75" s="928"/>
      <c r="BV75" s="928"/>
      <c r="BW75" s="928"/>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row>
    <row r="76" spans="1:178" s="22" customFormat="1" ht="22.5">
      <c r="A76" s="519" t="s">
        <v>2713</v>
      </c>
      <c r="B76" s="208"/>
      <c r="C76" s="49"/>
      <c r="D76" s="208"/>
      <c r="E76" s="208"/>
      <c r="F76" s="50"/>
      <c r="G76" s="50"/>
      <c r="H76" s="50"/>
      <c r="I76" s="50"/>
      <c r="J76" s="50"/>
      <c r="K76" s="50"/>
      <c r="L76" s="50"/>
      <c r="M76" s="50"/>
      <c r="N76" s="50"/>
      <c r="O76" s="50"/>
      <c r="P76" s="50"/>
      <c r="Q76" s="208"/>
      <c r="R76" s="909" t="s">
        <v>2714</v>
      </c>
      <c r="S76" s="909"/>
      <c r="T76" s="909"/>
      <c r="U76" s="909"/>
      <c r="V76" s="204"/>
      <c r="W76" s="909" t="s">
        <v>2680</v>
      </c>
      <c r="X76" s="909"/>
      <c r="Y76" s="909"/>
      <c r="Z76" s="909"/>
      <c r="AA76" s="909"/>
      <c r="AB76" s="909"/>
      <c r="AC76" s="204"/>
      <c r="AD76" s="204"/>
      <c r="AE76" s="204"/>
      <c r="AF76" s="204"/>
      <c r="AG76" s="204"/>
      <c r="AH76" s="51"/>
      <c r="AI76" s="51" t="s">
        <v>2715</v>
      </c>
      <c r="AJ76" s="204"/>
      <c r="AK76" s="52" t="s">
        <v>2716</v>
      </c>
      <c r="AL76" s="204"/>
      <c r="AM76" s="677"/>
      <c r="AN76" s="677"/>
      <c r="AO76" s="204"/>
      <c r="AP76" s="910" t="s">
        <v>2683</v>
      </c>
      <c r="AQ76" s="910"/>
      <c r="AR76" s="910"/>
      <c r="AS76" s="910"/>
      <c r="AT76" s="910"/>
      <c r="AU76" s="910"/>
      <c r="AV76" s="910"/>
      <c r="AW76" s="910"/>
      <c r="AX76" s="910"/>
      <c r="AY76" s="910" t="s">
        <v>2684</v>
      </c>
      <c r="AZ76" s="910"/>
      <c r="BA76" s="910"/>
      <c r="BB76" s="910"/>
      <c r="BC76" s="910"/>
      <c r="BD76" s="910"/>
      <c r="BE76" s="910"/>
      <c r="BF76" s="910"/>
      <c r="BG76" s="882"/>
      <c r="BH76" s="882"/>
      <c r="BI76" s="882"/>
      <c r="BJ76" s="53"/>
      <c r="BK76" s="1"/>
      <c r="BL76" s="1"/>
      <c r="BM76" s="1"/>
      <c r="BN76" s="1"/>
      <c r="BQ76" s="84"/>
      <c r="BR76" s="84"/>
      <c r="BS76" s="84"/>
      <c r="BT76" s="84"/>
      <c r="BU76" s="84"/>
      <c r="BV76" s="84"/>
      <c r="BW76" s="84"/>
      <c r="BY76" s="102"/>
      <c r="BZ76" s="102"/>
      <c r="CA76" s="102"/>
      <c r="CB76" s="909" t="s">
        <v>2714</v>
      </c>
      <c r="CC76" s="909"/>
      <c r="CD76" s="909"/>
      <c r="CE76" s="909"/>
      <c r="CF76" s="204"/>
      <c r="CG76" s="909" t="s">
        <v>2680</v>
      </c>
      <c r="CH76" s="909"/>
      <c r="CI76" s="909"/>
      <c r="CJ76" s="909"/>
      <c r="CK76" s="909"/>
      <c r="CL76" s="909"/>
      <c r="CM76" s="102"/>
      <c r="CN76" s="102"/>
      <c r="CO76" s="102"/>
      <c r="CP76" s="102"/>
      <c r="CQ76" s="102"/>
      <c r="CR76" s="102"/>
      <c r="CS76" s="102"/>
      <c r="CT76" s="102"/>
      <c r="CU76" s="102"/>
      <c r="CV76" s="102"/>
      <c r="CW76" s="102"/>
      <c r="CX76" s="102"/>
      <c r="CY76" s="102"/>
      <c r="CZ76" s="102"/>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row>
    <row r="77" spans="1:178" s="22" customFormat="1" ht="26.25">
      <c r="A77" s="48"/>
      <c r="B77" s="159" t="s">
        <v>2661</v>
      </c>
      <c r="C77" s="411"/>
      <c r="D77" s="159" t="s">
        <v>2662</v>
      </c>
      <c r="E77" s="159"/>
      <c r="F77" s="159" t="s">
        <v>2717</v>
      </c>
      <c r="G77" s="50"/>
      <c r="H77" s="50"/>
      <c r="I77" s="50"/>
      <c r="J77" s="50"/>
      <c r="K77" s="50"/>
      <c r="L77" s="50"/>
      <c r="M77" s="50"/>
      <c r="N77" s="50"/>
      <c r="O77" s="50"/>
      <c r="P77" s="50"/>
      <c r="Q77" s="208"/>
      <c r="R77" s="909"/>
      <c r="S77" s="909"/>
      <c r="T77" s="909"/>
      <c r="U77" s="909"/>
      <c r="V77" s="204"/>
      <c r="W77" s="909"/>
      <c r="X77" s="909"/>
      <c r="Y77" s="909"/>
      <c r="Z77" s="909"/>
      <c r="AA77" s="909"/>
      <c r="AB77" s="909"/>
      <c r="AC77" s="204"/>
      <c r="AD77" s="159" t="s">
        <v>2664</v>
      </c>
      <c r="AE77" s="197"/>
      <c r="AF77" s="159"/>
      <c r="AG77" s="159"/>
      <c r="AH77" s="410"/>
      <c r="AI77" s="159" t="s">
        <v>2665</v>
      </c>
      <c r="AJ77" s="197"/>
      <c r="AK77" s="159" t="s">
        <v>2665</v>
      </c>
      <c r="AL77" s="204"/>
      <c r="AM77" s="677"/>
      <c r="AN77" s="677"/>
      <c r="AO77" s="204"/>
      <c r="AP77" s="911" t="s">
        <v>3329</v>
      </c>
      <c r="AQ77" s="911"/>
      <c r="AR77" s="911"/>
      <c r="AS77" s="911"/>
      <c r="AT77" s="911"/>
      <c r="AU77" s="911"/>
      <c r="AV77" s="911"/>
      <c r="AW77" s="911"/>
      <c r="AX77" s="50"/>
      <c r="AY77" s="911" t="s">
        <v>3330</v>
      </c>
      <c r="AZ77" s="911"/>
      <c r="BA77" s="911"/>
      <c r="BB77" s="911"/>
      <c r="BC77" s="911"/>
      <c r="BD77" s="911"/>
      <c r="BE77" s="911"/>
      <c r="BF77" s="50"/>
      <c r="BG77" s="882"/>
      <c r="BH77" s="882"/>
      <c r="BI77" s="882"/>
      <c r="BJ77" s="53"/>
      <c r="BK77" s="1"/>
      <c r="BL77" s="1"/>
      <c r="BM77" s="1"/>
      <c r="BN77" s="1"/>
      <c r="BQ77" s="297" t="s">
        <v>2718</v>
      </c>
      <c r="BR77" s="306" t="s">
        <v>2719</v>
      </c>
      <c r="BS77" s="306" t="s">
        <v>2720</v>
      </c>
      <c r="BT77" s="306" t="s">
        <v>2721</v>
      </c>
      <c r="BU77" s="306" t="s">
        <v>2722</v>
      </c>
      <c r="BV77" s="306" t="s">
        <v>2687</v>
      </c>
      <c r="BW77" s="307" t="s">
        <v>2688</v>
      </c>
      <c r="BY77" s="102"/>
      <c r="BZ77" s="102"/>
      <c r="CA77" s="102"/>
      <c r="CB77" s="909"/>
      <c r="CC77" s="909"/>
      <c r="CD77" s="909"/>
      <c r="CE77" s="909"/>
      <c r="CF77" s="204"/>
      <c r="CG77" s="909"/>
      <c r="CH77" s="909"/>
      <c r="CI77" s="909"/>
      <c r="CJ77" s="909"/>
      <c r="CK77" s="909"/>
      <c r="CL77" s="909"/>
      <c r="CM77" s="102"/>
      <c r="CN77" s="102"/>
      <c r="CO77" s="102"/>
      <c r="CP77" s="102"/>
      <c r="CQ77" s="102"/>
      <c r="CR77" s="102"/>
      <c r="CS77" s="102"/>
      <c r="CT77" s="102"/>
      <c r="CU77" s="102"/>
      <c r="CV77" s="102"/>
      <c r="CW77" s="102"/>
      <c r="CX77" s="102"/>
      <c r="CY77" s="102"/>
      <c r="CZ77" s="102"/>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row>
    <row r="78" spans="1:178" ht="14.1" customHeight="1">
      <c r="A78" s="54"/>
      <c r="B78" s="64"/>
      <c r="C78" s="333"/>
      <c r="D78" s="64"/>
      <c r="E78" s="231"/>
      <c r="F78" s="903"/>
      <c r="G78" s="903"/>
      <c r="H78" s="903"/>
      <c r="I78" s="903"/>
      <c r="J78" s="903"/>
      <c r="K78" s="903"/>
      <c r="L78" s="903"/>
      <c r="M78" s="903"/>
      <c r="N78" s="903"/>
      <c r="O78" s="903"/>
      <c r="P78" s="903"/>
      <c r="Q78" s="208"/>
      <c r="R78" s="900" t="str">
        <f>'HVAC Efficiency Tables'!$Y107</f>
        <v/>
      </c>
      <c r="S78" s="901"/>
      <c r="T78" s="901"/>
      <c r="U78" s="902"/>
      <c r="V78" s="382"/>
      <c r="W78" s="900" t="str">
        <f>'HVAC Efficiency Tables'!$Z107</f>
        <v/>
      </c>
      <c r="X78" s="901"/>
      <c r="Y78" s="901"/>
      <c r="Z78" s="901"/>
      <c r="AA78" s="901"/>
      <c r="AB78" s="902"/>
      <c r="AC78" s="204"/>
      <c r="AD78" s="890"/>
      <c r="AE78" s="890"/>
      <c r="AF78" s="890"/>
      <c r="AG78" s="890"/>
      <c r="AH78" s="333"/>
      <c r="AI78" s="64"/>
      <c r="AJ78" s="43" t="str">
        <f>IF(OR(D78="",AW78="Ineligible"),"",IF(OR(F78=Lists!$I$10,F78=Lists!$I$11,F78=Lists!$I$16,F78=Lists!$J$12),"EER",IF(OR(F78=Lists!$I$17,F78=Lists!$I$18),"kW/ton",IF(D78*12000&lt;65000,"SEER","EER"))))</f>
        <v/>
      </c>
      <c r="AK78" s="64"/>
      <c r="AL78" s="43" t="str">
        <f>IF(OR(B78="",F78=Lists!$I$10,F78=Lists!$I$11,AW78="Ineligible",AR78="N/A"),"",IF(OR(F78=Lists!$I$16,F78=Lists!$I$17,F78=Lists!$I$18),"",IF(D78&lt;=5,"EER","IEER")))</f>
        <v/>
      </c>
      <c r="AM78" s="43"/>
      <c r="AN78" s="43"/>
      <c r="AO78" s="204"/>
      <c r="AP78" s="55" t="str">
        <f>IFERROR(IF(OR(D78="",F78="",W78="",R78="",W78="Please Select",R78="Please Select"),"",VLOOKUP('HVAC Efficiency Tables'!X107&amp;R78&amp;W78,HVACEfficiencies,3,FALSE)),"")</f>
        <v/>
      </c>
      <c r="AQ78" s="43" t="str">
        <f>IF(OR(AP78="N/A",AP78=""),"",IF(OR(F78=Lists!$I$10,F78=Lists!$I$11,F78=Lists!$I$16,F78=Lists!$J$12),"EER",IF(OR(F78=Lists!$I$17,F78=Lists!$I$18),"kW/ton",IF(D78*12000&lt;65000,"SEER","EER"))))</f>
        <v/>
      </c>
      <c r="AR78" s="55" t="str">
        <f>IFERROR(IF(OR(D78="",F78="",W78="",R78="",W78="Please Select",R78="Please Select"),"",VLOOKUP('HVAC Efficiency Tables'!X107&amp;R78&amp;W78,HVACEfficiencies,8,FALSE)),"")</f>
        <v/>
      </c>
      <c r="AS78" s="43" t="str">
        <f>IF(OR(AR78="N/A",AR78=""),"",IF(OR(F78=Lists!$I$10,F78=Lists!$I$11,F78=Lists!$I$16,F78=Lists!$I$17,F78=Lists!$I$18),"",IF(D78&lt;=5,"EER","IEER")))</f>
        <v/>
      </c>
      <c r="AT78" s="43"/>
      <c r="AU78" s="43"/>
      <c r="AV78" s="43"/>
      <c r="AW78" s="894" t="str">
        <f>IF(AND($BR$1="OR",OR(F78="Unitary Commercial Air Conditioners, Air-Cooled",F78="Package Terminal Air Conditioners (PTAC)",F78="Package Terminal Heat Pump (PTHP)")),"ID Only*",
IF(AND(F78="Heat Pumps, Air-Cooled",(D78*12000)&gt;760000),"Ineligible",
IF(AND(AY78&lt;=AI78,BA78&lt;=AR78),"",
IF(OR(AI78="",$AP78="",AP78="N/A"),"",
IF(AND(OR(F78="Unitary Commercial Air Conditioners, Air-Cooled",F78="Heat Pumps, Air-Cooled"),OR(AK78="",$AR78="",AR78="N/A")),"",
IF(AND($AY78&lt;=AI78,$BA78&lt;=AK78),"",IF(AND($AP78&lt;=AI78,OR($AR78&lt;=AK78,$AR78="N/A")),"Qualified","Not Qualified")))))))</f>
        <v/>
      </c>
      <c r="AX78" s="894"/>
      <c r="AY78" s="55" t="str">
        <f>IFERROR(IF(OR(D78="",F78="",W78="",R78="",W78="Please Select",R78="Please Select"),"",VLOOKUP('HVAC Efficiency Tables'!X107&amp;R78&amp;W78,HVACEfficiencies,5,FALSE)),"")</f>
        <v/>
      </c>
      <c r="AZ78" s="43" t="str">
        <f>IF(OR(AY78="N/A",AY78=""),"",IF(OR(F78=Lists!$I$10,F78=Lists!$I$11,F78=Lists!$I$16,F78=Lists!$J$12),"EER",IF(OR(F78=Lists!$I$17,F78=Lists!$I$18),"kW/ton",IF(D78*12000&lt;65000,"SEER","EER"))))</f>
        <v/>
      </c>
      <c r="BA78" s="55" t="str">
        <f>IFERROR(IF(OR(D78="",F78="",W78="",R78="",W78="Please Select",R78="Please Select"),"",VLOOKUP('HVAC Efficiency Tables'!X107&amp;R78&amp;W78,HVACEfficiencies,9,FALSE)),"")</f>
        <v/>
      </c>
      <c r="BB78" s="43" t="str">
        <f>IF(OR(BA78="N/A",BA78=""),"",IF(OR(F78=Lists!$I$10,F78=Lists!$I$11,F78=Lists!$I$16,F78=Lists!$I$17,F78=Lists!$I$18),"",IF(D78&lt;=5,"EER","IEER")))</f>
        <v/>
      </c>
      <c r="BC78" s="43"/>
      <c r="BD78" s="43"/>
      <c r="BE78" s="894" t="str">
        <f>IF(AND($BR$1="OR",OR($F78="Unitary Commercial Air Conditioners, Air-Cooled",$F78="Package Terminal Air Conditioners (PTAC)",$F78="Package Terminal Heat Pump (PTHP)")),"ID Only*",IF(OR(AI78="",$AY78="",$AY78="N/A"),"",IF(AND($AY78&lt;=AI78,OR($BA78&lt;=AK78,$BA78="N/A")),"Qualified","Not Qualified")))</f>
        <v/>
      </c>
      <c r="BF78" s="894"/>
      <c r="BG78" s="157" t="s">
        <v>142</v>
      </c>
      <c r="BH78" s="895" t="str">
        <f>IF(AW78="ID Only*","ID Only*",IF(AND(OR($F78="Unitary Commercial Air Conditioners, Air-Cooled",$F78="Package Terminal Air Conditioners (PTAC)",$F78="Package Terminal Heat Pump (PTHP)"),AW78="Qualified"),D78*B78*25,IF(AND(F78="Heat Pumps, Air-Cooled",AW78="Qualified"),D78*B78*50,IF(AND(OR($F78="Unitary Commercial Air Conditioners, Air-Cooled",$F78="Package Terminal Air Conditioners (PTAC)",$F78="Package Terminal Heat Pump (PTHP)"),BE78="Qualified"),B78*D78*50,IF(AND(F78="Heat Pumps, Air-Cooled",BE78="Qualified"),B78*D78*70,"")))))</f>
        <v/>
      </c>
      <c r="BI78" s="895"/>
      <c r="BJ78" s="582"/>
      <c r="BM78" s="296">
        <f>COUNTIF(AW77:AW106,"Qualified")+COUNTIF(BE77:BE106,"Qualified")</f>
        <v>0</v>
      </c>
      <c r="BQ78" s="298" t="e">
        <f>VLOOKUP('HVAC Efficiency Tables'!X107&amp;R78&amp;W78,HVACEfficiencies,7,FALSE)</f>
        <v>#N/A</v>
      </c>
      <c r="BR78" s="298">
        <f t="shared" ref="BR78:BR92" si="62">IF($BX$1="",0,VLOOKUP($BX$1,CoolingHours,3,FALSE))</f>
        <v>599</v>
      </c>
      <c r="BS78" s="298" t="e">
        <f>B78*D78*(1/BQ78-1/AI78)*12000/1000*BR78</f>
        <v>#N/A</v>
      </c>
      <c r="BT78" s="298" t="e">
        <f t="shared" ref="BT78:BT92" si="63">B78*D78*(1/(BQ78*0.857)-1/(AI78*0.857))*12000/1000*BR78</f>
        <v>#N/A</v>
      </c>
      <c r="BU78" s="298" t="e">
        <f t="shared" ref="BU78:BU92" si="64">B78*D78*(BQ78-AI78)*BR78</f>
        <v>#N/A</v>
      </c>
      <c r="BV78" s="617">
        <f>IF(OR(BE78="Qualified",AW78="Qualified"),IF(AJ78="EER",BS78,IF(AJ78="SEER",BT78,IF(AJ78="kW/ton",BU78,0))),0)</f>
        <v>0</v>
      </c>
      <c r="BW78" s="301">
        <f>IF(BR78=0,"Select Bldg Type",BV78/BR78)</f>
        <v>0</v>
      </c>
      <c r="BY78" s="94"/>
      <c r="BZ78" s="94"/>
      <c r="CA78" s="94"/>
      <c r="CB78" s="900" t="str">
        <f>'HVAC Efficiency Tables'!$Y107</f>
        <v/>
      </c>
      <c r="CC78" s="901"/>
      <c r="CD78" s="901"/>
      <c r="CE78" s="902"/>
      <c r="CF78" s="382"/>
      <c r="CG78" s="900" t="str">
        <f>'HVAC Efficiency Tables'!$Z107</f>
        <v/>
      </c>
      <c r="CH78" s="901"/>
      <c r="CI78" s="901"/>
      <c r="CJ78" s="901"/>
      <c r="CK78" s="901"/>
      <c r="CL78" s="902"/>
      <c r="CM78" s="94"/>
      <c r="CN78" s="94"/>
      <c r="CO78" s="94"/>
      <c r="CP78" s="94"/>
      <c r="CQ78" s="94"/>
      <c r="CR78" s="94"/>
      <c r="CS78" s="94"/>
      <c r="CT78" s="94"/>
      <c r="CU78" s="94"/>
      <c r="CV78" s="94"/>
      <c r="CW78" s="94"/>
      <c r="CX78" s="94"/>
      <c r="CY78" s="94"/>
      <c r="CZ78" s="94"/>
    </row>
    <row r="79" spans="1:178" ht="14.1" customHeight="1">
      <c r="A79" s="54"/>
      <c r="B79" s="64"/>
      <c r="C79" s="333"/>
      <c r="D79" s="64"/>
      <c r="E79" s="231"/>
      <c r="F79" s="903"/>
      <c r="G79" s="903"/>
      <c r="H79" s="903"/>
      <c r="I79" s="903"/>
      <c r="J79" s="903"/>
      <c r="K79" s="903"/>
      <c r="L79" s="903"/>
      <c r="M79" s="903"/>
      <c r="N79" s="903"/>
      <c r="O79" s="903"/>
      <c r="P79" s="903"/>
      <c r="Q79" s="208"/>
      <c r="R79" s="900" t="str">
        <f>'HVAC Efficiency Tables'!$Y108</f>
        <v/>
      </c>
      <c r="S79" s="901"/>
      <c r="T79" s="901"/>
      <c r="U79" s="902"/>
      <c r="V79" s="382"/>
      <c r="W79" s="900" t="str">
        <f>'HVAC Efficiency Tables'!$Z108</f>
        <v/>
      </c>
      <c r="X79" s="901"/>
      <c r="Y79" s="901"/>
      <c r="Z79" s="901"/>
      <c r="AA79" s="901"/>
      <c r="AB79" s="902"/>
      <c r="AC79" s="204"/>
      <c r="AD79" s="890"/>
      <c r="AE79" s="890"/>
      <c r="AF79" s="890"/>
      <c r="AG79" s="890"/>
      <c r="AH79" s="333"/>
      <c r="AI79" s="64"/>
      <c r="AJ79" s="43" t="str">
        <f>IF(OR(D79="",AW79="Ineligible"),"",IF(OR(F79=Lists!$I$10,F79=Lists!$I$11,F79=Lists!$I$16,F79=Lists!$J$12),"EER",IF(OR(F79=Lists!$I$17,F79=Lists!$I$18),"kW/ton",IF(D79*12000&lt;65000,"SEER","EER"))))</f>
        <v/>
      </c>
      <c r="AK79" s="64"/>
      <c r="AL79" s="43" t="str">
        <f>IF(OR(B79="",F79=Lists!$I$10,F79=Lists!$I$11,AW79="Ineligible",AR79="N/A"),"",IF(OR(F79=Lists!$I$16,F79=Lists!$I$17,F79=Lists!$I$18),"",IF(D79&lt;=5,"EER","IEER")))</f>
        <v/>
      </c>
      <c r="AM79" s="43"/>
      <c r="AN79" s="43"/>
      <c r="AO79" s="204"/>
      <c r="AP79" s="55" t="str">
        <f>IFERROR(IF(OR(D79="",F79="",W79="",R79="",W79="Please Select",R79="Please Select"),"",VLOOKUP('HVAC Efficiency Tables'!X108&amp;R79&amp;W79,HVACEfficiencies,3,FALSE)),"")</f>
        <v/>
      </c>
      <c r="AQ79" s="43" t="str">
        <f>IF(OR(AP79="N/A",AP79=""),"",IF(OR(F79=Lists!$I$10,F79=Lists!$I$11,F79=Lists!$I$16,F79=Lists!$J$12),"EER",IF(OR(F79=Lists!$I$17,F79=Lists!$I$18),"kW/ton",IF(D79*12000&lt;65000,"SEER","EER"))))</f>
        <v/>
      </c>
      <c r="AR79" s="55" t="str">
        <f>IFERROR(IF(OR(D79="",F79="",W79="",R79="",W79="Please Select",R79="Please Select"),"",VLOOKUP('HVAC Efficiency Tables'!X108&amp;R79&amp;W79,HVACEfficiencies,8,FALSE)),"")</f>
        <v/>
      </c>
      <c r="AS79" s="43" t="str">
        <f>IF(OR(AR79="N/A",AR79=""),"",IF(OR(F79=Lists!$I$10,F79=Lists!$I$11,F79=Lists!$I$16,F79=Lists!$I$17,F79=Lists!$I$18),"",IF(D79&lt;=5,"EER","IEER")))</f>
        <v/>
      </c>
      <c r="AT79" s="43"/>
      <c r="AU79" s="43"/>
      <c r="AV79" s="43"/>
      <c r="AW79" s="894" t="str">
        <f>IF(AND($BR$1="OR",OR(F79="Unitary Commercial Air Conditioners, Air-Cooled",F79="Package Terminal Air Conditioners (PTAC)",F79="Package Terminal Heat Pump (PTHP)")),"ID Only*",
IF(AND(F79="Heat Pumps, Air-Cooled",(D79*12000)&gt;760000),"Ineligible",
IF(AND(AY79&lt;=AI79,BA79&lt;=AR79),"",
IF(OR(AI79="",$AP79="",AP79="N/A"),"",
IF(AND(OR(F79="Unitary Commercial Air Conditioners, Air-Cooled",F79="Heat Pumps, Air-Cooled"),OR(AK79="",$AR79="",AR79="N/A")),"",
IF(AND($AY79&lt;=AI79,$BA79&lt;=AK79),"",IF(AND($AP79&lt;=AI79,OR($AR79&lt;=AK79,$AR79="N/A")),"Qualified","Not Qualified")))))))</f>
        <v/>
      </c>
      <c r="AX79" s="894"/>
      <c r="AY79" s="55" t="str">
        <f>IFERROR(IF(OR(D79="",F79="",W79="",R79="",W79="Please Select",R79="Please Select"),"",VLOOKUP('HVAC Efficiency Tables'!X108&amp;R79&amp;W79,HVACEfficiencies,5,FALSE)),"")</f>
        <v/>
      </c>
      <c r="AZ79" s="43" t="str">
        <f>IF(OR(AY79="N/A",AY79=""),"",IF(OR(F79=Lists!$I$10,F79=Lists!$I$11,F79=Lists!$I$16,F79=Lists!$J$12),"EER",IF(OR(F79=Lists!$I$17,F79=Lists!$I$18),"kW/ton",IF(D79*12000&lt;65000,"SEER","EER"))))</f>
        <v/>
      </c>
      <c r="BA79" s="55" t="str">
        <f>IFERROR(IF(OR(D79="",F79="",W79="",R79="",W79="Please Select",R79="Please Select"),"",VLOOKUP('HVAC Efficiency Tables'!X108&amp;R79&amp;W79,HVACEfficiencies,9,FALSE)),"")</f>
        <v/>
      </c>
      <c r="BB79" s="43" t="str">
        <f>IF(OR(BA79="N/A",BA79=""),"",IF(OR(F79=Lists!$I$10,F79=Lists!$I$11,F79=Lists!$I$16,F79=Lists!$I$17,F79=Lists!$I$18),"",IF(D79&lt;=5,"EER","IEER")))</f>
        <v/>
      </c>
      <c r="BC79" s="43"/>
      <c r="BD79" s="43"/>
      <c r="BE79" s="894" t="str">
        <f>IF(AND($BR$1="OR",OR($F79="Unitary Commercial Air Conditioners, Air-Cooled",$F79="Package Terminal Air Conditioners (PTAC)",$F79="Package Terminal Heat Pump (PTHP)")),"ID Only*",IF(OR(AI79="",$AY79="",$AY79="N/A"),"",IF(AND($AY79&lt;=AI79,OR($BA79&lt;=AK79,$BA79="N/A")),"Qualified","Not Qualified")))</f>
        <v/>
      </c>
      <c r="BF79" s="894"/>
      <c r="BG79" s="157" t="s">
        <v>142</v>
      </c>
      <c r="BH79" s="895" t="str">
        <f>IF(AW79="ID Only*","ID Only*",IF(AND(OR($F79="Unitary Commercial Air Conditioners, Air-Cooled",$F79="Package Terminal Air Conditioners (PTAC)",$F79="Package Terminal Heat Pump (PTHP)"),AW79="Qualified"),D79*B79*25,IF(AND(F79="Heat Pumps, Air-Cooled",AW79="Qualified"),D79*B79*50,IF(AND(OR($F79="Unitary Commercial Air Conditioners, Air-Cooled",$F79="Package Terminal Air Conditioners (PTAC)",$F79="Package Terminal Heat Pump (PTHP)"),BE79="Qualified"),B79*D79*50,IF(AND(F79="Heat Pumps, Air-Cooled",BE79="Qualified"),B79*D79*70,"")))))</f>
        <v/>
      </c>
      <c r="BI79" s="895"/>
      <c r="BJ79" s="582"/>
      <c r="BQ79" s="298" t="e">
        <f>VLOOKUP('HVAC Efficiency Tables'!X108&amp;R79&amp;W79,HVACEfficiencies,7,FALSE)</f>
        <v>#N/A</v>
      </c>
      <c r="BR79" s="298">
        <f t="shared" si="62"/>
        <v>599</v>
      </c>
      <c r="BS79" s="298" t="e">
        <f t="shared" ref="BS79:BS92" si="65">B79*D79*(1/BQ79-1/AI79)*12000/1000*BR79</f>
        <v>#N/A</v>
      </c>
      <c r="BT79" s="298" t="e">
        <f t="shared" si="63"/>
        <v>#N/A</v>
      </c>
      <c r="BU79" s="298" t="e">
        <f t="shared" si="64"/>
        <v>#N/A</v>
      </c>
      <c r="BV79" s="617">
        <f>IF(OR(BE79="Qualified",AW79="Qualified"),IF(AJ79="EER",BS79,IF(AJ79="SEER",BT79,IF(AJ79="kW/ton",BU79,0))),0)</f>
        <v>0</v>
      </c>
      <c r="BW79" s="301">
        <f t="shared" ref="BW79:BW92" si="66">IF(BR79=0,"Select Bldg Type",BV79/BR79)</f>
        <v>0</v>
      </c>
      <c r="BY79" s="94"/>
      <c r="BZ79" s="94"/>
      <c r="CA79" s="94"/>
      <c r="CB79" s="900" t="str">
        <f>'HVAC Efficiency Tables'!$Y108</f>
        <v/>
      </c>
      <c r="CC79" s="901"/>
      <c r="CD79" s="901"/>
      <c r="CE79" s="902"/>
      <c r="CF79" s="382"/>
      <c r="CG79" s="900" t="str">
        <f>'HVAC Efficiency Tables'!$Z108</f>
        <v/>
      </c>
      <c r="CH79" s="901"/>
      <c r="CI79" s="901"/>
      <c r="CJ79" s="901"/>
      <c r="CK79" s="901"/>
      <c r="CL79" s="902"/>
      <c r="CM79" s="94"/>
      <c r="CN79" s="94"/>
      <c r="CO79" s="94"/>
      <c r="CP79" s="94"/>
      <c r="CQ79" s="94"/>
      <c r="CR79" s="94"/>
      <c r="CS79" s="94"/>
      <c r="CT79" s="94"/>
      <c r="CU79" s="94"/>
      <c r="CV79" s="94"/>
      <c r="CW79" s="94"/>
      <c r="CX79" s="94"/>
      <c r="CY79" s="94"/>
      <c r="CZ79" s="94"/>
    </row>
    <row r="80" spans="1:178" ht="14.1" customHeight="1">
      <c r="A80" s="54"/>
      <c r="B80" s="64"/>
      <c r="C80" s="333"/>
      <c r="D80" s="64"/>
      <c r="E80" s="231"/>
      <c r="F80" s="897"/>
      <c r="G80" s="898"/>
      <c r="H80" s="898"/>
      <c r="I80" s="898"/>
      <c r="J80" s="898"/>
      <c r="K80" s="898"/>
      <c r="L80" s="898"/>
      <c r="M80" s="898"/>
      <c r="N80" s="898"/>
      <c r="O80" s="898"/>
      <c r="P80" s="899"/>
      <c r="Q80" s="208"/>
      <c r="R80" s="900" t="str">
        <f>'HVAC Efficiency Tables'!$Y109</f>
        <v/>
      </c>
      <c r="S80" s="901"/>
      <c r="T80" s="901"/>
      <c r="U80" s="902"/>
      <c r="V80" s="382"/>
      <c r="W80" s="900" t="str">
        <f>'HVAC Efficiency Tables'!$Z109</f>
        <v/>
      </c>
      <c r="X80" s="901"/>
      <c r="Y80" s="901"/>
      <c r="Z80" s="901"/>
      <c r="AA80" s="901"/>
      <c r="AB80" s="902"/>
      <c r="AC80" s="204"/>
      <c r="AD80" s="890"/>
      <c r="AE80" s="890"/>
      <c r="AF80" s="890"/>
      <c r="AG80" s="890"/>
      <c r="AH80" s="333"/>
      <c r="AI80" s="64"/>
      <c r="AJ80" s="43" t="str">
        <f>IF(OR(D80="",AW80="Ineligible"),"",IF(OR(F80=Lists!$I$10,F80=Lists!$I$11,F80=Lists!$I$16,F80=Lists!$J$12),"EER",IF(OR(F80=Lists!$I$17,F80=Lists!$I$18),"kW/ton",IF(D80*12000&lt;65000,"SEER","EER"))))</f>
        <v/>
      </c>
      <c r="AK80" s="64"/>
      <c r="AL80" s="43" t="str">
        <f>IF(OR(B80="",F80=Lists!$I$10,F80=Lists!$I$11,AW80="Ineligible",AR80="N/A"),"",IF(OR(F80=Lists!$I$16,F80=Lists!$I$17,F80=Lists!$I$18),"",IF(D80&lt;=5,"EER","IEER")))</f>
        <v/>
      </c>
      <c r="AM80" s="43"/>
      <c r="AN80" s="43"/>
      <c r="AO80" s="204"/>
      <c r="AP80" s="55" t="str">
        <f>IFERROR(IF(OR(D80="",F80="",W80="",R80="",W80="Please Select",R80="Please Select"),"",VLOOKUP('HVAC Efficiency Tables'!X109&amp;R80&amp;W80,HVACEfficiencies,3,FALSE)),"")</f>
        <v/>
      </c>
      <c r="AQ80" s="43" t="str">
        <f>IF(OR(AP80="N/A",AP80=""),"",IF(OR(F80=Lists!$I$10,F80=Lists!$I$11,F80=Lists!$I$16,F80=Lists!$J$12),"EER",IF(OR(F80=Lists!$I$17,F80=Lists!$I$18),"kW/ton",IF(D80*12000&lt;65000,"SEER","EER"))))</f>
        <v/>
      </c>
      <c r="AR80" s="55" t="str">
        <f>IFERROR(IF(OR(D80="",F80="",W80="",R80="",W80="Please Select",R80="Please Select"),"",VLOOKUP('HVAC Efficiency Tables'!X109&amp;R80&amp;W80,HVACEfficiencies,8,FALSE)),"")</f>
        <v/>
      </c>
      <c r="AS80" s="43" t="str">
        <f>IF(OR(AR80="N/A",AR80=""),"",IF(OR(F80=Lists!$I$10,F80=Lists!$I$11,F80=Lists!$I$16,F80=Lists!$I$17,F80=Lists!$I$18),"",IF(D80&lt;=5,"EER","IEER")))</f>
        <v/>
      </c>
      <c r="AT80" s="43"/>
      <c r="AU80" s="43"/>
      <c r="AV80" s="43"/>
      <c r="AW80" s="894" t="str">
        <f>IF(AND($BR$1="OR",OR(F80="Unitary Commercial Air Conditioners, Air-Cooled",F80="Package Terminal Air Conditioners (PTAC)",F80="Package Terminal Heat Pump (PTHP)")),"ID Only*",
IF(AND(F80="Heat Pumps, Air-Cooled",(D80*12000)&gt;760000),"Ineligible",
IF(AND(AY80&lt;=AI80,BA80&lt;=AR80),"",
IF(OR(AI80="",$AP80="",AP80="N/A"),"",
IF(AND(OR(F80="Unitary Commercial Air Conditioners, Air-Cooled",F80="Heat Pumps, Air-Cooled"),OR(AK80="",$AR80="",AR80="N/A")),"",
IF(AND($AY80&lt;=AI80,$BA80&lt;=AK80),"",IF(AND($AP80&lt;=AI80,OR($AR80&lt;=AK80,$AR80="N/A")),"Qualified","Not Qualified")))))))</f>
        <v/>
      </c>
      <c r="AX80" s="894"/>
      <c r="AY80" s="55" t="str">
        <f>IFERROR(IF(OR(D80="",F80="",W80="",R80="",W80="Please Select",R80="Please Select"),"",VLOOKUP('HVAC Efficiency Tables'!X109&amp;R80&amp;W80,HVACEfficiencies,5,FALSE)),"")</f>
        <v/>
      </c>
      <c r="AZ80" s="43" t="str">
        <f>IF(OR(AY80="N/A",AY80=""),"",IF(OR(F80=Lists!$I$10,F80=Lists!$I$11,F80=Lists!$I$16,F80=Lists!$J$12),"EER",IF(OR(F80=Lists!$I$17,F80=Lists!$I$18),"kW/ton",IF(D80*12000&lt;65000,"SEER","EER"))))</f>
        <v/>
      </c>
      <c r="BA80" s="55" t="str">
        <f>IFERROR(IF(OR(D80="",F80="",W80="",R80="",W80="Please Select",R80="Please Select"),"",VLOOKUP('HVAC Efficiency Tables'!X109&amp;R80&amp;W80,HVACEfficiencies,9,FALSE)),"")</f>
        <v/>
      </c>
      <c r="BB80" s="43" t="str">
        <f>IF(OR(BA80="N/A",BA80=""),"",IF(OR(F80=Lists!$I$10,F80=Lists!$I$11,F80=Lists!$I$16,F80=Lists!$I$17,F80=Lists!$I$18),"",IF(D80&lt;=5,"EER","IEER")))</f>
        <v/>
      </c>
      <c r="BC80" s="43"/>
      <c r="BD80" s="43"/>
      <c r="BE80" s="894" t="str">
        <f>IF(AND($BR$1="OR",OR($F80="Unitary Commercial Air Conditioners, Air-Cooled",$F80="Package Terminal Air Conditioners (PTAC)",$F80="Package Terminal Heat Pump (PTHP)")),"ID Only*",IF(OR(AI80="",$AY80="",$AY80="N/A"),"",IF(AND($AY80&lt;=AI80,OR($BA80&lt;=AK80,$BA80="N/A")),"Qualified","Not Qualified")))</f>
        <v/>
      </c>
      <c r="BF80" s="894"/>
      <c r="BG80" s="157" t="s">
        <v>142</v>
      </c>
      <c r="BH80" s="895" t="str">
        <f>IF(AW80="ID Only*","ID Only*",IF(AND(OR($F80="Unitary Commercial Air Conditioners, Air-Cooled",$F80="Package Terminal Air Conditioners (PTAC)",$F80="Package Terminal Heat Pump (PTHP)"),AW80="Qualified"),D80*B80*25,IF(AND(F80="Heat Pumps, Air-Cooled",AW80="Qualified"),D80*B80*50,IF(AND(OR($F80="Unitary Commercial Air Conditioners, Air-Cooled",$F80="Package Terminal Air Conditioners (PTAC)",$F80="Package Terminal Heat Pump (PTHP)"),BE80="Qualified"),B80*D80*50,IF(AND(F80="Heat Pumps, Air-Cooled",BE80="Qualified"),B80*D80*70,"")))))</f>
        <v/>
      </c>
      <c r="BI80" s="895"/>
      <c r="BJ80" s="582"/>
      <c r="BQ80" s="298" t="e">
        <f>VLOOKUP('HVAC Efficiency Tables'!X109&amp;R80&amp;W80,HVACEfficiencies,7,FALSE)</f>
        <v>#N/A</v>
      </c>
      <c r="BR80" s="298">
        <f t="shared" si="62"/>
        <v>599</v>
      </c>
      <c r="BS80" s="298" t="e">
        <f t="shared" si="65"/>
        <v>#N/A</v>
      </c>
      <c r="BT80" s="298" t="e">
        <f t="shared" si="63"/>
        <v>#N/A</v>
      </c>
      <c r="BU80" s="298" t="e">
        <f t="shared" si="64"/>
        <v>#N/A</v>
      </c>
      <c r="BV80" s="617">
        <f t="shared" ref="BV80:BV92" si="67">IF(OR(BE80="Qualified",AW80="Qualified"),IF(AJ80="EER",BS80,IF(AJ80="SEER",BT80,IF(AJ80="kW/ton",BU80,0))),0)</f>
        <v>0</v>
      </c>
      <c r="BW80" s="301">
        <f t="shared" si="66"/>
        <v>0</v>
      </c>
      <c r="BY80" s="94"/>
      <c r="BZ80" s="94"/>
      <c r="CA80" s="94"/>
      <c r="CB80" s="900" t="str">
        <f>'HVAC Efficiency Tables'!$Y109</f>
        <v/>
      </c>
      <c r="CC80" s="901"/>
      <c r="CD80" s="901"/>
      <c r="CE80" s="902"/>
      <c r="CF80" s="382"/>
      <c r="CG80" s="900" t="str">
        <f>'HVAC Efficiency Tables'!$Z109</f>
        <v/>
      </c>
      <c r="CH80" s="901"/>
      <c r="CI80" s="901"/>
      <c r="CJ80" s="901"/>
      <c r="CK80" s="901"/>
      <c r="CL80" s="902"/>
      <c r="CM80" s="94"/>
      <c r="CN80" s="94"/>
      <c r="CO80" s="94"/>
      <c r="CP80" s="94"/>
      <c r="CQ80" s="94"/>
      <c r="CR80" s="94"/>
      <c r="CS80" s="94"/>
      <c r="CT80" s="94"/>
      <c r="CU80" s="94"/>
      <c r="CV80" s="94"/>
      <c r="CW80" s="94"/>
      <c r="CX80" s="94"/>
      <c r="CY80" s="94"/>
      <c r="CZ80" s="94"/>
    </row>
    <row r="81" spans="1:178" ht="14.1" customHeight="1">
      <c r="A81" s="54"/>
      <c r="B81" s="64"/>
      <c r="C81" s="333"/>
      <c r="D81" s="64"/>
      <c r="E81" s="231"/>
      <c r="F81" s="903"/>
      <c r="G81" s="903"/>
      <c r="H81" s="903"/>
      <c r="I81" s="903"/>
      <c r="J81" s="903"/>
      <c r="K81" s="903"/>
      <c r="L81" s="903"/>
      <c r="M81" s="903"/>
      <c r="N81" s="903"/>
      <c r="O81" s="903"/>
      <c r="P81" s="903"/>
      <c r="Q81" s="208"/>
      <c r="R81" s="900" t="str">
        <f>'HVAC Efficiency Tables'!$Y110</f>
        <v/>
      </c>
      <c r="S81" s="901"/>
      <c r="T81" s="901"/>
      <c r="U81" s="902"/>
      <c r="V81" s="382"/>
      <c r="W81" s="900" t="str">
        <f>'HVAC Efficiency Tables'!$Z110</f>
        <v/>
      </c>
      <c r="X81" s="901"/>
      <c r="Y81" s="901"/>
      <c r="Z81" s="901"/>
      <c r="AA81" s="901"/>
      <c r="AB81" s="902"/>
      <c r="AC81" s="204"/>
      <c r="AD81" s="890"/>
      <c r="AE81" s="890"/>
      <c r="AF81" s="890"/>
      <c r="AG81" s="890"/>
      <c r="AH81" s="333"/>
      <c r="AI81" s="64"/>
      <c r="AJ81" s="43" t="str">
        <f>IF(OR(D81="",AW81="Ineligible"),"",IF(OR(F81=Lists!$I$10,F81=Lists!$I$11,F81=Lists!$I$16,F81=Lists!$J$12),"EER",IF(OR(F81=Lists!$I$17,F81=Lists!$I$18),"kW/ton",IF(D81*12000&lt;65000,"SEER","EER"))))</f>
        <v/>
      </c>
      <c r="AK81" s="64"/>
      <c r="AL81" s="43" t="str">
        <f>IF(OR(B81="",F81=Lists!$I$10,F81=Lists!$I$11,AW81="Ineligible",AR81="N/A"),"",IF(OR(F81=Lists!$I$16,F81=Lists!$I$17,F81=Lists!$I$18),"",IF(D81&lt;=5,"EER","IEER")))</f>
        <v/>
      </c>
      <c r="AM81" s="43"/>
      <c r="AN81" s="43"/>
      <c r="AO81" s="204"/>
      <c r="AP81" s="55" t="str">
        <f>IFERROR(IF(OR(D81="",F81="",W81="",R81="",W81="Please Select",R81="Please Select"),"",VLOOKUP('HVAC Efficiency Tables'!X110&amp;R81&amp;W81,HVACEfficiencies,3,FALSE)),"")</f>
        <v/>
      </c>
      <c r="AQ81" s="43" t="str">
        <f>IF(OR(AP81="N/A",AP81=""),"",IF(OR(F81=Lists!$I$10,F81=Lists!$I$11,F81=Lists!$I$16,F81=Lists!$J$12),"EER",IF(OR(F81=Lists!$I$17,F81=Lists!$I$18),"kW/ton",IF(D81*12000&lt;65000,"SEER","EER"))))</f>
        <v/>
      </c>
      <c r="AR81" s="55" t="str">
        <f>IFERROR(IF(OR(D81="",F81="",W81="",R81="",W81="Please Select",R81="Please Select"),"",VLOOKUP('HVAC Efficiency Tables'!X110&amp;R81&amp;W81,HVACEfficiencies,8,FALSE)),"")</f>
        <v/>
      </c>
      <c r="AS81" s="43" t="str">
        <f>IF(OR(AR81="N/A",AR81=""),"",IF(OR(F81=Lists!$I$10,F81=Lists!$I$11,F81=Lists!$I$16,F81=Lists!$I$17,F81=Lists!$I$18),"",IF(D81&lt;=5,"EER","IEER")))</f>
        <v/>
      </c>
      <c r="AT81" s="43"/>
      <c r="AU81" s="43"/>
      <c r="AV81" s="43"/>
      <c r="AW81" s="894" t="str">
        <f>IF(AND($BR$1="OR",OR(F81="Unitary Commercial Air Conditioners, Air-Cooled",F81="Package Terminal Air Conditioners (PTAC)",F81="Package Terminal Heat Pump (PTHP)")),"ID Only*",
IF(AND(F81="Heat Pumps, Air-Cooled",(D81*12000)&gt;760000),"Ineligible",
IF(AND(AY81&lt;=AI81,BA81&lt;=AR81),"",
IF(OR(AI81="",$AP81="",AP81="N/A"),"",
IF(AND(OR(F81="Unitary Commercial Air Conditioners, Air-Cooled",F81="Heat Pumps, Air-Cooled"),OR(AK81="",$AR81="",AR81="N/A")),"",
IF(AND($AY81&lt;=AI81,$BA81&lt;=AK81),"",IF(AND($AP81&lt;=AI81,OR($AR81&lt;=AK81,$AR81="N/A")),"Qualified","Not Qualified")))))))</f>
        <v/>
      </c>
      <c r="AX81" s="894"/>
      <c r="AY81" s="55" t="str">
        <f>IFERROR(IF(OR(D81="",F81="",W81="",R81="",W81="Please Select",R81="Please Select"),"",VLOOKUP('HVAC Efficiency Tables'!X110&amp;R81&amp;W81,HVACEfficiencies,5,FALSE)),"")</f>
        <v/>
      </c>
      <c r="AZ81" s="43" t="str">
        <f>IF(OR(AY81="N/A",AY81=""),"",IF(OR(F81=Lists!$I$10,F81=Lists!$I$11,F81=Lists!$I$16,F81=Lists!$J$12),"EER",IF(OR(F81=Lists!$I$17,F81=Lists!$I$18),"kW/ton",IF(D81*12000&lt;65000,"SEER","EER"))))</f>
        <v/>
      </c>
      <c r="BA81" s="55" t="str">
        <f>IFERROR(IF(OR(D81="",F81="",W81="",R81="",W81="Please Select",R81="Please Select"),"",VLOOKUP('HVAC Efficiency Tables'!X110&amp;R81&amp;W81,HVACEfficiencies,9,FALSE)),"")</f>
        <v/>
      </c>
      <c r="BB81" s="43" t="str">
        <f>IF(OR(BA81="N/A",BA81=""),"",IF(OR(F81=Lists!$I$10,F81=Lists!$I$11,F81=Lists!$I$16,F81=Lists!$I$17,F81=Lists!$I$18),"",IF(D81&lt;=5,"EER","IEER")))</f>
        <v/>
      </c>
      <c r="BC81" s="43"/>
      <c r="BD81" s="43"/>
      <c r="BE81" s="894" t="str">
        <f>IF(AND($BR$1="OR",OR($F81="Unitary Commercial Air Conditioners, Air-Cooled",$F81="Package Terminal Air Conditioners (PTAC)",$F81="Package Terminal Heat Pump (PTHP)")),"ID Only*",IF(OR(AI81="",$AY81="",$AY81="N/A"),"",IF(AND($AY81&lt;=AI81,OR($BA81&lt;=AK81,$BA81="N/A")),"Qualified","Not Qualified")))</f>
        <v/>
      </c>
      <c r="BF81" s="894"/>
      <c r="BG81" s="157" t="s">
        <v>142</v>
      </c>
      <c r="BH81" s="895" t="str">
        <f>IF(AW81="ID Only*","ID Only*",IF(AND(OR($F81="Unitary Commercial Air Conditioners, Air-Cooled",$F81="Package Terminal Air Conditioners (PTAC)",$F81="Package Terminal Heat Pump (PTHP)"),AW81="Qualified"),D81*B81*25,IF(AND(F81="Heat Pumps, Air-Cooled",AW81="Qualified"),D81*B81*50,IF(AND(OR($F81="Unitary Commercial Air Conditioners, Air-Cooled",$F81="Package Terminal Air Conditioners (PTAC)",$F81="Package Terminal Heat Pump (PTHP)"),BE81="Qualified"),B81*D81*50,IF(AND(F81="Heat Pumps, Air-Cooled",BE81="Qualified"),B81*D81*70,"")))))</f>
        <v/>
      </c>
      <c r="BI81" s="895"/>
      <c r="BJ81" s="582"/>
      <c r="BQ81" s="298" t="e">
        <f>VLOOKUP('HVAC Efficiency Tables'!X110&amp;R81&amp;W81,HVACEfficiencies,7,FALSE)</f>
        <v>#N/A</v>
      </c>
      <c r="BR81" s="298">
        <f t="shared" si="62"/>
        <v>599</v>
      </c>
      <c r="BS81" s="298" t="e">
        <f t="shared" si="65"/>
        <v>#N/A</v>
      </c>
      <c r="BT81" s="298" t="e">
        <f t="shared" si="63"/>
        <v>#N/A</v>
      </c>
      <c r="BU81" s="298" t="e">
        <f t="shared" si="64"/>
        <v>#N/A</v>
      </c>
      <c r="BV81" s="617">
        <f t="shared" si="67"/>
        <v>0</v>
      </c>
      <c r="BW81" s="301">
        <f t="shared" si="66"/>
        <v>0</v>
      </c>
      <c r="BY81" s="94"/>
      <c r="BZ81" s="94"/>
      <c r="CA81" s="94"/>
      <c r="CB81" s="900" t="str">
        <f>'HVAC Efficiency Tables'!$Y110</f>
        <v/>
      </c>
      <c r="CC81" s="901"/>
      <c r="CD81" s="901"/>
      <c r="CE81" s="902"/>
      <c r="CF81" s="382"/>
      <c r="CG81" s="900" t="str">
        <f>'HVAC Efficiency Tables'!$Z110</f>
        <v/>
      </c>
      <c r="CH81" s="901"/>
      <c r="CI81" s="901"/>
      <c r="CJ81" s="901"/>
      <c r="CK81" s="901"/>
      <c r="CL81" s="902"/>
      <c r="CM81" s="94"/>
      <c r="CN81" s="94"/>
      <c r="CO81" s="94"/>
      <c r="CP81" s="94"/>
      <c r="CQ81" s="94"/>
      <c r="CR81" s="94"/>
      <c r="CS81" s="94"/>
      <c r="CT81" s="94"/>
      <c r="CU81" s="94"/>
      <c r="CV81" s="94"/>
      <c r="CW81" s="94"/>
      <c r="CX81" s="94"/>
      <c r="CY81" s="94"/>
      <c r="CZ81" s="94"/>
    </row>
    <row r="82" spans="1:178" ht="14.1" customHeight="1">
      <c r="A82" s="54"/>
      <c r="B82" s="64"/>
      <c r="C82" s="333"/>
      <c r="D82" s="64"/>
      <c r="E82" s="231"/>
      <c r="F82" s="897"/>
      <c r="G82" s="898"/>
      <c r="H82" s="898"/>
      <c r="I82" s="898"/>
      <c r="J82" s="898"/>
      <c r="K82" s="898"/>
      <c r="L82" s="898"/>
      <c r="M82" s="898"/>
      <c r="N82" s="898"/>
      <c r="O82" s="898"/>
      <c r="P82" s="899"/>
      <c r="Q82" s="208"/>
      <c r="R82" s="900" t="str">
        <f>'HVAC Efficiency Tables'!$Y111</f>
        <v/>
      </c>
      <c r="S82" s="901"/>
      <c r="T82" s="901"/>
      <c r="U82" s="902"/>
      <c r="V82" s="382"/>
      <c r="W82" s="900" t="str">
        <f>'HVAC Efficiency Tables'!$Z111</f>
        <v/>
      </c>
      <c r="X82" s="901"/>
      <c r="Y82" s="901"/>
      <c r="Z82" s="901"/>
      <c r="AA82" s="901"/>
      <c r="AB82" s="902"/>
      <c r="AC82" s="204"/>
      <c r="AD82" s="890"/>
      <c r="AE82" s="890"/>
      <c r="AF82" s="890"/>
      <c r="AG82" s="890"/>
      <c r="AH82" s="333"/>
      <c r="AI82" s="64"/>
      <c r="AJ82" s="43" t="str">
        <f>IF(OR(D82="",AW82="Ineligible"),"",IF(OR(F82=Lists!$I$10,F82=Lists!$I$11,F82=Lists!$I$16,F82=Lists!$J$12),"EER",IF(OR(F82=Lists!$I$17,F82=Lists!$I$18),"kW/ton",IF(D82*12000&lt;65000,"SEER","EER"))))</f>
        <v/>
      </c>
      <c r="AK82" s="64"/>
      <c r="AL82" s="43" t="str">
        <f>IF(OR(B82="",F82=Lists!$I$10,F82=Lists!$I$11,AW82="Ineligible",AR82="N/A"),"",IF(OR(F82=Lists!$I$16,F82=Lists!$I$17,F82=Lists!$I$18),"",IF(D82&lt;=5,"EER","IEER")))</f>
        <v/>
      </c>
      <c r="AM82" s="43"/>
      <c r="AN82" s="43"/>
      <c r="AO82" s="204"/>
      <c r="AP82" s="55" t="str">
        <f>IFERROR(IF(OR(D82="",F82="",W82="",R82="",W82="Please Select",R82="Please Select"),"",VLOOKUP('HVAC Efficiency Tables'!X111&amp;R82&amp;W82,HVACEfficiencies,3,FALSE)),"")</f>
        <v/>
      </c>
      <c r="AQ82" s="43" t="str">
        <f>IF(OR(AP82="N/A",AP82=""),"",IF(OR(F82=Lists!$I$10,F82=Lists!$I$11,F82=Lists!$I$16,F82=Lists!$J$12),"EER",IF(OR(F82=Lists!$I$17,F82=Lists!$I$18),"kW/ton",IF(D82*12000&lt;65000,"SEER","EER"))))</f>
        <v/>
      </c>
      <c r="AR82" s="55" t="str">
        <f>IFERROR(IF(OR(D82="",F82="",W82="",R82="",W82="Please Select",R82="Please Select"),"",VLOOKUP('HVAC Efficiency Tables'!X111&amp;R82&amp;W82,HVACEfficiencies,8,FALSE)),"")</f>
        <v/>
      </c>
      <c r="AS82" s="43" t="str">
        <f>IF(OR(AR82="N/A",AR82=""),"",IF(OR(F82=Lists!$I$10,F82=Lists!$I$11,F82=Lists!$I$16,F82=Lists!$I$17,F82=Lists!$I$18),"",IF(D82&lt;=5,"EER","IEER")))</f>
        <v/>
      </c>
      <c r="AT82" s="43"/>
      <c r="AU82" s="43"/>
      <c r="AV82" s="43"/>
      <c r="AW82" s="894" t="str">
        <f>IF(AND($BR$1="OR",OR(F82="Unitary Commercial Air Conditioners, Air-Cooled",F82="Package Terminal Air Conditioners (PTAC)",F82="Package Terminal Heat Pump (PTHP)")),"ID Only*",
IF(AND(F82="Heat Pumps, Air-Cooled",(D82*12000)&gt;760000),"Ineligible",
IF(AND(AY82&lt;=AI82,BA82&lt;=AR82),"",
IF(OR(AI82="",$AP82="",AP82="N/A"),"",
IF(AND(OR(F82="Unitary Commercial Air Conditioners, Air-Cooled",F82="Heat Pumps, Air-Cooled"),OR(AK82="",$AR82="",AR82="N/A")),"",
IF(AND($AY82&lt;=AI82,$BA82&lt;=AK82),"",IF(AND($AP82&lt;=AI82,OR($AR82&lt;=AK82,$AR82="N/A")),"Qualified","Not Qualified")))))))</f>
        <v/>
      </c>
      <c r="AX82" s="894"/>
      <c r="AY82" s="55" t="str">
        <f>IFERROR(IF(OR(D82="",F82="",W82="",R82="",W82="Please Select",R82="Please Select"),"",VLOOKUP('HVAC Efficiency Tables'!X111&amp;R82&amp;W82,HVACEfficiencies,5,FALSE)),"")</f>
        <v/>
      </c>
      <c r="AZ82" s="43" t="str">
        <f>IF(OR(AY82="N/A",AY82=""),"",IF(OR(F82=Lists!$I$10,F82=Lists!$I$11,F82=Lists!$I$16,F82=Lists!$J$12),"EER",IF(OR(F82=Lists!$I$17,F82=Lists!$I$18),"kW/ton",IF(D82*12000&lt;65000,"SEER","EER"))))</f>
        <v/>
      </c>
      <c r="BA82" s="55" t="str">
        <f>IFERROR(IF(OR(D82="",F82="",W82="",R82="",W82="Please Select",R82="Please Select"),"",VLOOKUP('HVAC Efficiency Tables'!X111&amp;R82&amp;W82,HVACEfficiencies,9,FALSE)),"")</f>
        <v/>
      </c>
      <c r="BB82" s="43" t="str">
        <f>IF(OR(BA82="N/A",BA82=""),"",IF(OR(F82=Lists!$I$10,F82=Lists!$I$11,F82=Lists!$I$16,F82=Lists!$I$17,F82=Lists!$I$18),"",IF(D82&lt;=5,"EER","IEER")))</f>
        <v/>
      </c>
      <c r="BC82" s="43"/>
      <c r="BD82" s="43"/>
      <c r="BE82" s="894" t="str">
        <f>IF(AND($BR$1="OR",OR($F82="Unitary Commercial Air Conditioners, Air-Cooled",$F82="Package Terminal Air Conditioners (PTAC)",$F82="Package Terminal Heat Pump (PTHP)")),"ID Only*",IF(OR(AI82="",$AY82="",$AY82="N/A"),"",IF(AND($AY82&lt;=AI82,OR($BA82&lt;=AK82,$BA82="N/A")),"Qualified","Not Qualified")))</f>
        <v/>
      </c>
      <c r="BF82" s="894"/>
      <c r="BG82" s="157" t="s">
        <v>142</v>
      </c>
      <c r="BH82" s="895" t="str">
        <f>IF(AW82="ID Only*","ID Only*",IF(AND(OR($F82="Unitary Commercial Air Conditioners, Air-Cooled",$F82="Package Terminal Air Conditioners (PTAC)",$F82="Package Terminal Heat Pump (PTHP)"),AW82="Qualified"),D82*B82*25,IF(AND(F82="Heat Pumps, Air-Cooled",AW82="Qualified"),D82*B82*50,IF(AND(OR($F82="Unitary Commercial Air Conditioners, Air-Cooled",$F82="Package Terminal Air Conditioners (PTAC)",$F82="Package Terminal Heat Pump (PTHP)"),BE82="Qualified"),B82*D82*50,IF(AND(F82="Heat Pumps, Air-Cooled",BE82="Qualified"),B82*D82*70,"")))))</f>
        <v/>
      </c>
      <c r="BI82" s="895"/>
      <c r="BJ82" s="582"/>
      <c r="BQ82" s="298" t="e">
        <f>VLOOKUP('HVAC Efficiency Tables'!X111&amp;R82&amp;W82,HVACEfficiencies,7,FALSE)</f>
        <v>#N/A</v>
      </c>
      <c r="BR82" s="298">
        <f t="shared" si="62"/>
        <v>599</v>
      </c>
      <c r="BS82" s="298" t="e">
        <f t="shared" si="65"/>
        <v>#N/A</v>
      </c>
      <c r="BT82" s="298" t="e">
        <f t="shared" si="63"/>
        <v>#N/A</v>
      </c>
      <c r="BU82" s="298" t="e">
        <f t="shared" si="64"/>
        <v>#N/A</v>
      </c>
      <c r="BV82" s="617">
        <f t="shared" si="67"/>
        <v>0</v>
      </c>
      <c r="BW82" s="301">
        <f t="shared" si="66"/>
        <v>0</v>
      </c>
      <c r="BY82" s="94"/>
      <c r="BZ82" s="94"/>
      <c r="CA82" s="94"/>
      <c r="CB82" s="900" t="str">
        <f>'HVAC Efficiency Tables'!$Y111</f>
        <v/>
      </c>
      <c r="CC82" s="901"/>
      <c r="CD82" s="901"/>
      <c r="CE82" s="902"/>
      <c r="CF82" s="382"/>
      <c r="CG82" s="900" t="str">
        <f>'HVAC Efficiency Tables'!$Z111</f>
        <v/>
      </c>
      <c r="CH82" s="901"/>
      <c r="CI82" s="901"/>
      <c r="CJ82" s="901"/>
      <c r="CK82" s="901"/>
      <c r="CL82" s="902"/>
      <c r="CM82" s="94"/>
      <c r="CN82" s="94"/>
      <c r="CO82" s="94"/>
      <c r="CP82" s="94"/>
      <c r="CQ82" s="94"/>
      <c r="CR82" s="94"/>
      <c r="CS82" s="94"/>
      <c r="CT82" s="94"/>
      <c r="CU82" s="94"/>
      <c r="CV82" s="94"/>
      <c r="CW82" s="94"/>
      <c r="CX82" s="94"/>
      <c r="CY82" s="94"/>
      <c r="CZ82" s="94"/>
    </row>
    <row r="83" spans="1:178" ht="14.1" hidden="1" customHeight="1">
      <c r="A83" s="54"/>
      <c r="B83" s="64"/>
      <c r="C83" s="333"/>
      <c r="D83" s="64"/>
      <c r="E83" s="231"/>
      <c r="F83" s="903"/>
      <c r="G83" s="903"/>
      <c r="H83" s="903"/>
      <c r="I83" s="903"/>
      <c r="J83" s="903"/>
      <c r="K83" s="903"/>
      <c r="L83" s="903"/>
      <c r="M83" s="903"/>
      <c r="N83" s="903"/>
      <c r="O83" s="903"/>
      <c r="P83" s="903"/>
      <c r="Q83" s="208"/>
      <c r="R83" s="900" t="str">
        <f>'HVAC Efficiency Tables'!$Y112</f>
        <v/>
      </c>
      <c r="S83" s="901"/>
      <c r="T83" s="901"/>
      <c r="U83" s="902"/>
      <c r="V83" s="382"/>
      <c r="W83" s="900" t="str">
        <f>'HVAC Efficiency Tables'!$Z112</f>
        <v/>
      </c>
      <c r="X83" s="901"/>
      <c r="Y83" s="901"/>
      <c r="Z83" s="901"/>
      <c r="AA83" s="901"/>
      <c r="AB83" s="902"/>
      <c r="AC83" s="204"/>
      <c r="AD83" s="890"/>
      <c r="AE83" s="890"/>
      <c r="AF83" s="890"/>
      <c r="AG83" s="890"/>
      <c r="AH83" s="333"/>
      <c r="AI83" s="64"/>
      <c r="AJ83" s="43" t="str">
        <f>IF(OR(D83="",AW83="Ineligible"),"",IF(OR(F83=Lists!$I$10,F83=Lists!$I$11,F83=Lists!$I$16,F83=Lists!$J$12),"EER",IF(OR(F83=Lists!$I$17,F83=Lists!$I$18),"kW/ton",IF(D83*12000&lt;65000,"SEER","EER"))))</f>
        <v/>
      </c>
      <c r="AK83" s="64"/>
      <c r="AL83" s="43" t="str">
        <f>IF(OR(B83="",F83=Lists!$I$10,F83=Lists!$I$11,AW83="Ineligible",AR83="N/A"),"",IF(OR(F83=Lists!$I$16,F83=Lists!$I$17,F83=Lists!$I$18),"",IF(D83&lt;=5,"EER","IEER")))</f>
        <v/>
      </c>
      <c r="AM83" s="43"/>
      <c r="AN83" s="43"/>
      <c r="AO83" s="204"/>
      <c r="AP83" s="55" t="str">
        <f>IFERROR(IF(OR(D83="",F83="",W83="",R83="",W83="Please Select",R83="Please Select"),"",VLOOKUP('HVAC Efficiency Tables'!X112&amp;R83&amp;W83,HVACEfficiencies,3,FALSE)),"")</f>
        <v/>
      </c>
      <c r="AQ83" s="43" t="str">
        <f>IF(OR(AP83="N/A",AP83=""),"",IF(OR(F83=Lists!$I$10,F83=Lists!$I$11,F83=Lists!$I$16,F83=Lists!$J$12),"EER",IF(OR(F83=Lists!$I$17,F83=Lists!$I$18),"kW/ton",IF(D83*12000&lt;65000,"SEER","EER"))))</f>
        <v/>
      </c>
      <c r="AR83" s="55" t="str">
        <f>IFERROR(IF(OR(D83="",F83="",W83="",R83="",W83="Please Select",R83="Please Select"),"",VLOOKUP('HVAC Efficiency Tables'!X112&amp;R83&amp;W83,HVACEfficiencies,8,FALSE)),"")</f>
        <v/>
      </c>
      <c r="AS83" s="43" t="str">
        <f>IF(OR(AR83="N/A",AR83=""),"",IF(OR(F83=Lists!$I$10,F83=Lists!$I$11,F83=Lists!$I$16,F83=Lists!$I$17,F83=Lists!$I$18),"",IF(D83&lt;=5,"EER","IEER")))</f>
        <v/>
      </c>
      <c r="AT83" s="43"/>
      <c r="AU83" s="43"/>
      <c r="AV83" s="43"/>
      <c r="AW83" s="894" t="str">
        <f t="shared" ref="AW83:AW92" si="68">IF(AND($BR$1="OR",OR(F83="Unitary Commercial Air Conditioners, Air-Cooled",F83="Package Terminal Air Conditioners (PTAC)",F83="Package Terminal Heat Pump (PTHP)")),"ID Only*",
IF(AND(F83="Heat Pumps, Air-Cooled",(D83*12000)&gt;760000),"Ineligible",
IF(AND(AY83&lt;=AI83,BA83&lt;=AR83),"",
IF(OR(AI83="",$AP83="",AP83="N/A"),"",
IF(AND(OR(F83="Unitary Commercial Air Conditioners, Air-Cooled",F83="Heat Pumps, Air-Cooled"),OR(AK83="",$AR83="",AR83="N/A")),"",
IF(AND($AY83&lt;=AI83,$BA83&lt;=AK83),"",IF(AND($AP83&lt;=AI83,OR($AR83&lt;=AK83,$AR83="N/A")),"Qualified","Not Qualified")))))))</f>
        <v/>
      </c>
      <c r="AX83" s="894"/>
      <c r="AY83" s="55" t="str">
        <f>IFERROR(IF(OR(D83="",F83="",W83="",R83="",W83="Please Select",R83="Please Select"),"",VLOOKUP('HVAC Efficiency Tables'!X112&amp;R83&amp;W83,HVACEfficiencies,5,FALSE)),"")</f>
        <v/>
      </c>
      <c r="AZ83" s="43" t="str">
        <f>IF(OR(AY83="N/A",AY83=""),"",IF(OR(F83=Lists!$I$10,F83=Lists!$I$11,F83=Lists!$I$16,F83=Lists!$J$12),"EER",IF(OR(F83=Lists!$I$17,F83=Lists!$I$18),"kW/ton",IF(D83*12000&lt;65000,"SEER","EER"))))</f>
        <v/>
      </c>
      <c r="BA83" s="55" t="str">
        <f>IFERROR(IF(OR(D83="",F83="",W83="",R83="",W83="Please Select",R83="Please Select"),"",VLOOKUP('HVAC Efficiency Tables'!X112&amp;R83&amp;W83,HVACEfficiencies,9,FALSE)),"")</f>
        <v/>
      </c>
      <c r="BB83" s="43" t="str">
        <f>IF(OR(BA83="N/A",BA83=""),"",IF(OR(F83=Lists!$I$10,F83=Lists!$I$11,F83=Lists!$I$16,F83=Lists!$I$17,F83=Lists!$I$18),"",IF(D83&lt;=5,"EER","IEER")))</f>
        <v/>
      </c>
      <c r="BC83" s="43"/>
      <c r="BD83" s="43"/>
      <c r="BE83" s="894" t="str">
        <f t="shared" ref="BE83:BE92" si="69">IF(AND($BR$1="OR",OR($F83="Unitary Commercial Air Conditioners, Air-Cooled",$F83="Package Terminal Air Conditioners (PTAC)",$F83="Package Terminal Heat Pump (PTHP)")),"ID Only*",IF(OR(AI83="",$AY83="",$AY83="N/A"),"",IF(AND($AY83&lt;=AI83,OR($BA83&lt;=AK83,$BA83="N/A")),"Qualified","Not Qualified")))</f>
        <v/>
      </c>
      <c r="BF83" s="894"/>
      <c r="BG83" s="157" t="s">
        <v>142</v>
      </c>
      <c r="BH83" s="895" t="str">
        <f t="shared" ref="BH83:BH92" si="70">IF(AW83="ID Only*","ID Only*",IF(AND(OR($F83="Unitary Commercial Air Conditioners, Air-Cooled",$F83="Package Terminal Air Conditioners (PTAC)",$F83="Package Terminal Heat Pump (PTHP)"),AW83="Qualified"),D83*B83*25,IF(AND(F83="Heat Pumps, Air-Cooled",AW83="Qualified"),D83*B83*50,IF(AND(OR($F83="Unitary Commercial Air Conditioners, Air-Cooled",$F83="Package Terminal Air Conditioners (PTAC)",$F83="Package Terminal Heat Pump (PTHP)"),BE83="Qualified"),B83*D83*50,IF(AND(F83="Heat Pumps, Air-Cooled",BE83="Qualified"),B83*D83*70,"")))))</f>
        <v/>
      </c>
      <c r="BI83" s="895"/>
      <c r="BJ83" s="582"/>
      <c r="BQ83" s="298" t="e">
        <f>VLOOKUP('HVAC Efficiency Tables'!X112&amp;R83&amp;W83,HVACEfficiencies,7,FALSE)</f>
        <v>#N/A</v>
      </c>
      <c r="BR83" s="298">
        <f t="shared" si="62"/>
        <v>599</v>
      </c>
      <c r="BS83" s="298" t="e">
        <f t="shared" si="65"/>
        <v>#N/A</v>
      </c>
      <c r="BT83" s="298" t="e">
        <f t="shared" si="63"/>
        <v>#N/A</v>
      </c>
      <c r="BU83" s="298" t="e">
        <f t="shared" si="64"/>
        <v>#N/A</v>
      </c>
      <c r="BV83" s="300">
        <f t="shared" si="67"/>
        <v>0</v>
      </c>
      <c r="BW83" s="301">
        <f t="shared" si="66"/>
        <v>0</v>
      </c>
      <c r="BY83" s="94"/>
      <c r="BZ83" s="94"/>
      <c r="CA83" s="94"/>
      <c r="CB83" s="900" t="str">
        <f>'HVAC Efficiency Tables'!$Y112</f>
        <v/>
      </c>
      <c r="CC83" s="901"/>
      <c r="CD83" s="901"/>
      <c r="CE83" s="902"/>
      <c r="CF83" s="382"/>
      <c r="CG83" s="900" t="str">
        <f>'HVAC Efficiency Tables'!$Z112</f>
        <v/>
      </c>
      <c r="CH83" s="901"/>
      <c r="CI83" s="901"/>
      <c r="CJ83" s="901"/>
      <c r="CK83" s="901"/>
      <c r="CL83" s="902"/>
      <c r="CM83" s="94"/>
      <c r="CN83" s="94"/>
      <c r="CO83" s="94"/>
      <c r="CP83" s="94"/>
      <c r="CQ83" s="94"/>
      <c r="CR83" s="94"/>
      <c r="CS83" s="94"/>
      <c r="CT83" s="94"/>
      <c r="CU83" s="94"/>
      <c r="CV83" s="94"/>
      <c r="CW83" s="94"/>
      <c r="CX83" s="94"/>
      <c r="CY83" s="94"/>
      <c r="CZ83" s="94"/>
    </row>
    <row r="84" spans="1:178" ht="14.1" hidden="1" customHeight="1">
      <c r="A84" s="54"/>
      <c r="B84" s="64"/>
      <c r="C84" s="333"/>
      <c r="D84" s="64"/>
      <c r="E84" s="231"/>
      <c r="F84" s="903"/>
      <c r="G84" s="903"/>
      <c r="H84" s="903"/>
      <c r="I84" s="903"/>
      <c r="J84" s="903"/>
      <c r="K84" s="903"/>
      <c r="L84" s="903"/>
      <c r="M84" s="903"/>
      <c r="N84" s="903"/>
      <c r="O84" s="903"/>
      <c r="P84" s="903"/>
      <c r="Q84" s="208"/>
      <c r="R84" s="900" t="str">
        <f>'HVAC Efficiency Tables'!$Y113</f>
        <v/>
      </c>
      <c r="S84" s="901"/>
      <c r="T84" s="901"/>
      <c r="U84" s="902"/>
      <c r="V84" s="382"/>
      <c r="W84" s="900" t="str">
        <f>'HVAC Efficiency Tables'!$Z113</f>
        <v/>
      </c>
      <c r="X84" s="901"/>
      <c r="Y84" s="901"/>
      <c r="Z84" s="901"/>
      <c r="AA84" s="901"/>
      <c r="AB84" s="902"/>
      <c r="AC84" s="204"/>
      <c r="AD84" s="890"/>
      <c r="AE84" s="890"/>
      <c r="AF84" s="890"/>
      <c r="AG84" s="890"/>
      <c r="AH84" s="333"/>
      <c r="AI84" s="64"/>
      <c r="AJ84" s="43" t="str">
        <f>IF(OR(D84="",AW84="Ineligible"),"",IF(OR(F84=Lists!$I$10,F84=Lists!$I$11,F84=Lists!$I$16,F84=Lists!$J$12),"EER",IF(OR(F84=Lists!$I$17,F84=Lists!$I$18),"kW/ton",IF(D84*12000&lt;65000,"SEER","EER"))))</f>
        <v/>
      </c>
      <c r="AK84" s="64"/>
      <c r="AL84" s="43" t="str">
        <f>IF(OR(B84="",F84=Lists!$I$10,F84=Lists!$I$11,AW84="Ineligible",AR84="N/A"),"",IF(OR(F84=Lists!$I$16,F84=Lists!$I$17,F84=Lists!$I$18),"",IF(D84&lt;=5,"EER","IEER")))</f>
        <v/>
      </c>
      <c r="AM84" s="43"/>
      <c r="AN84" s="43"/>
      <c r="AO84" s="204"/>
      <c r="AP84" s="55" t="str">
        <f>IFERROR(IF(OR(D84="",F84="",W84="",R84="",W84="Please Select",R84="Please Select"),"",VLOOKUP('HVAC Efficiency Tables'!X113&amp;R84&amp;W84,HVACEfficiencies,3,FALSE)),"")</f>
        <v/>
      </c>
      <c r="AQ84" s="43" t="str">
        <f>IF(OR(AP84="N/A",AP84=""),"",IF(OR(F84=Lists!$I$10,F84=Lists!$I$11,F84=Lists!$I$16,F84=Lists!$J$12),"EER",IF(OR(F84=Lists!$I$17,F84=Lists!$I$18),"kW/ton",IF(D84*12000&lt;65000,"SEER","EER"))))</f>
        <v/>
      </c>
      <c r="AR84" s="55" t="str">
        <f>IFERROR(IF(OR(D84="",F84="",W84="",R84="",W84="Please Select",R84="Please Select"),"",VLOOKUP('HVAC Efficiency Tables'!X113&amp;R84&amp;W84,HVACEfficiencies,8,FALSE)),"")</f>
        <v/>
      </c>
      <c r="AS84" s="43" t="str">
        <f>IF(OR(AR84="N/A",AR84=""),"",IF(OR(F84=Lists!$I$10,F84=Lists!$I$11,F84=Lists!$I$16,F84=Lists!$I$17,F84=Lists!$I$18),"",IF(D84&lt;=5,"EER","IEER")))</f>
        <v/>
      </c>
      <c r="AT84" s="43"/>
      <c r="AU84" s="43"/>
      <c r="AV84" s="43"/>
      <c r="AW84" s="894" t="str">
        <f t="shared" si="68"/>
        <v/>
      </c>
      <c r="AX84" s="894"/>
      <c r="AY84" s="55" t="str">
        <f>IFERROR(IF(OR(D84="",F84="",W84="",R84="",W84="Please Select",R84="Please Select"),"",VLOOKUP('HVAC Efficiency Tables'!X113&amp;R84&amp;W84,HVACEfficiencies,5,FALSE)),"")</f>
        <v/>
      </c>
      <c r="AZ84" s="43" t="str">
        <f>IF(OR(AY84="N/A",AY84=""),"",IF(OR(F84=Lists!$I$10,F84=Lists!$I$11,F84=Lists!$I$16,F84=Lists!$J$12),"EER",IF(OR(F84=Lists!$I$17,F84=Lists!$I$18),"kW/ton",IF(D84*12000&lt;65000,"SEER","EER"))))</f>
        <v/>
      </c>
      <c r="BA84" s="55" t="str">
        <f>IFERROR(IF(OR(D84="",F84="",W84="",R84="",W84="Please Select",R84="Please Select"),"",VLOOKUP('HVAC Efficiency Tables'!X113&amp;R84&amp;W84,HVACEfficiencies,9,FALSE)),"")</f>
        <v/>
      </c>
      <c r="BB84" s="43" t="str">
        <f>IF(OR(BA84="N/A",BA84=""),"",IF(OR(F84=Lists!$I$10,F84=Lists!$I$11,F84=Lists!$I$16,F84=Lists!$I$17,F84=Lists!$I$18),"",IF(D84&lt;=5,"EER","IEER")))</f>
        <v/>
      </c>
      <c r="BC84" s="43"/>
      <c r="BD84" s="43"/>
      <c r="BE84" s="894" t="str">
        <f t="shared" si="69"/>
        <v/>
      </c>
      <c r="BF84" s="894"/>
      <c r="BG84" s="157" t="s">
        <v>142</v>
      </c>
      <c r="BH84" s="895" t="str">
        <f t="shared" si="70"/>
        <v/>
      </c>
      <c r="BI84" s="895"/>
      <c r="BJ84" s="582"/>
      <c r="BQ84" s="298" t="e">
        <f>VLOOKUP('HVAC Efficiency Tables'!X113&amp;R84&amp;W84,HVACEfficiencies,7,FALSE)</f>
        <v>#N/A</v>
      </c>
      <c r="BR84" s="298">
        <f t="shared" si="62"/>
        <v>599</v>
      </c>
      <c r="BS84" s="298" t="e">
        <f t="shared" si="65"/>
        <v>#N/A</v>
      </c>
      <c r="BT84" s="298" t="e">
        <f t="shared" si="63"/>
        <v>#N/A</v>
      </c>
      <c r="BU84" s="298" t="e">
        <f t="shared" si="64"/>
        <v>#N/A</v>
      </c>
      <c r="BV84" s="300">
        <f t="shared" si="67"/>
        <v>0</v>
      </c>
      <c r="BW84" s="301">
        <f t="shared" si="66"/>
        <v>0</v>
      </c>
      <c r="BY84" s="94"/>
      <c r="BZ84" s="94"/>
      <c r="CA84" s="94"/>
      <c r="CB84" s="900" t="str">
        <f>'HVAC Efficiency Tables'!$Y113</f>
        <v/>
      </c>
      <c r="CC84" s="901"/>
      <c r="CD84" s="901"/>
      <c r="CE84" s="902"/>
      <c r="CF84" s="382"/>
      <c r="CG84" s="900" t="str">
        <f>'HVAC Efficiency Tables'!$Z113</f>
        <v/>
      </c>
      <c r="CH84" s="901"/>
      <c r="CI84" s="901"/>
      <c r="CJ84" s="901"/>
      <c r="CK84" s="901"/>
      <c r="CL84" s="902"/>
      <c r="CM84" s="94"/>
      <c r="CN84" s="94"/>
      <c r="CO84" s="94"/>
      <c r="CP84" s="94"/>
      <c r="CQ84" s="94"/>
      <c r="CR84" s="94"/>
      <c r="CS84" s="94"/>
      <c r="CT84" s="94"/>
      <c r="CU84" s="94"/>
      <c r="CV84" s="94"/>
      <c r="CW84" s="94"/>
      <c r="CX84" s="94"/>
      <c r="CY84" s="94"/>
      <c r="CZ84" s="94"/>
    </row>
    <row r="85" spans="1:178" ht="14.1" hidden="1" customHeight="1">
      <c r="A85" s="54"/>
      <c r="B85" s="64"/>
      <c r="C85" s="333"/>
      <c r="D85" s="64"/>
      <c r="E85" s="231"/>
      <c r="F85" s="903"/>
      <c r="G85" s="903"/>
      <c r="H85" s="903"/>
      <c r="I85" s="903"/>
      <c r="J85" s="903"/>
      <c r="K85" s="903"/>
      <c r="L85" s="903"/>
      <c r="M85" s="903"/>
      <c r="N85" s="903"/>
      <c r="O85" s="903"/>
      <c r="P85" s="903"/>
      <c r="Q85" s="208"/>
      <c r="R85" s="900" t="str">
        <f>'HVAC Efficiency Tables'!$Y114</f>
        <v/>
      </c>
      <c r="S85" s="901"/>
      <c r="T85" s="901"/>
      <c r="U85" s="902"/>
      <c r="V85" s="382"/>
      <c r="W85" s="900" t="str">
        <f>'HVAC Efficiency Tables'!$Z114</f>
        <v/>
      </c>
      <c r="X85" s="901"/>
      <c r="Y85" s="901"/>
      <c r="Z85" s="901"/>
      <c r="AA85" s="901"/>
      <c r="AB85" s="902"/>
      <c r="AC85" s="204"/>
      <c r="AD85" s="890"/>
      <c r="AE85" s="890"/>
      <c r="AF85" s="890"/>
      <c r="AG85" s="890"/>
      <c r="AH85" s="333"/>
      <c r="AI85" s="64"/>
      <c r="AJ85" s="43" t="str">
        <f>IF(OR(D85="",AW85="Ineligible"),"",IF(OR(F85=Lists!$I$10,F85=Lists!$I$11,F85=Lists!$I$16,F85=Lists!$J$12),"EER",IF(OR(F85=Lists!$I$17,F85=Lists!$I$18),"kW/ton",IF(D85*12000&lt;65000,"SEER","EER"))))</f>
        <v/>
      </c>
      <c r="AK85" s="64"/>
      <c r="AL85" s="43" t="str">
        <f>IF(OR(B85="",F85=Lists!$I$10,F85=Lists!$I$11,AW85="Ineligible",AR85="N/A"),"",IF(OR(F85=Lists!$I$16,F85=Lists!$I$17,F85=Lists!$I$18),"",IF(D85&lt;=5,"EER","IEER")))</f>
        <v/>
      </c>
      <c r="AM85" s="43"/>
      <c r="AN85" s="43"/>
      <c r="AO85" s="204"/>
      <c r="AP85" s="55" t="str">
        <f>IFERROR(IF(OR(D85="",F85="",W85="",R85="",W85="Please Select",R85="Please Select"),"",VLOOKUP('HVAC Efficiency Tables'!X114&amp;R85&amp;W85,HVACEfficiencies,3,FALSE)),"")</f>
        <v/>
      </c>
      <c r="AQ85" s="43" t="str">
        <f>IF(OR(AP85="N/A",AP85=""),"",IF(OR(F85=Lists!$I$10,F85=Lists!$I$11,F85=Lists!$I$16,F85=Lists!$J$12),"EER",IF(OR(F85=Lists!$I$17,F85=Lists!$I$18),"kW/ton",IF(D85*12000&lt;65000,"SEER","EER"))))</f>
        <v/>
      </c>
      <c r="AR85" s="55" t="str">
        <f>IFERROR(IF(OR(D85="",F85="",W85="",R85="",W85="Please Select",R85="Please Select"),"",VLOOKUP('HVAC Efficiency Tables'!X114&amp;R85&amp;W85,HVACEfficiencies,8,FALSE)),"")</f>
        <v/>
      </c>
      <c r="AS85" s="43" t="str">
        <f>IF(OR(AR85="N/A",AR85=""),"",IF(OR(F85=Lists!$I$10,F85=Lists!$I$11,F85=Lists!$I$16,F85=Lists!$I$17,F85=Lists!$I$18),"",IF(D85&lt;=5,"EER","IEER")))</f>
        <v/>
      </c>
      <c r="AT85" s="43"/>
      <c r="AU85" s="43"/>
      <c r="AV85" s="43"/>
      <c r="AW85" s="894" t="str">
        <f t="shared" si="68"/>
        <v/>
      </c>
      <c r="AX85" s="894"/>
      <c r="AY85" s="55" t="str">
        <f>IFERROR(IF(OR(D85="",F85="",W85="",R85="",W85="Please Select",R85="Please Select"),"",VLOOKUP('HVAC Efficiency Tables'!X114&amp;R85&amp;W85,HVACEfficiencies,5,FALSE)),"")</f>
        <v/>
      </c>
      <c r="AZ85" s="43" t="str">
        <f>IF(OR(AY85="N/A",AY85=""),"",IF(OR(F85=Lists!$I$10,F85=Lists!$I$11,F85=Lists!$I$16,F85=Lists!$J$12),"EER",IF(OR(F85=Lists!$I$17,F85=Lists!$I$18),"kW/ton",IF(D85*12000&lt;65000,"SEER","EER"))))</f>
        <v/>
      </c>
      <c r="BA85" s="55" t="str">
        <f>IFERROR(IF(OR(D85="",F85="",W85="",R85="",W85="Please Select",R85="Please Select"),"",VLOOKUP('HVAC Efficiency Tables'!X114&amp;R85&amp;W85,HVACEfficiencies,9,FALSE)),"")</f>
        <v/>
      </c>
      <c r="BB85" s="43" t="str">
        <f>IF(OR(BA85="N/A",BA85=""),"",IF(OR(F85=Lists!$I$10,F85=Lists!$I$11,F85=Lists!$I$16,F85=Lists!$I$17,F85=Lists!$I$18),"",IF(D85&lt;=5,"EER","IEER")))</f>
        <v/>
      </c>
      <c r="BC85" s="43"/>
      <c r="BD85" s="43"/>
      <c r="BE85" s="894" t="str">
        <f t="shared" si="69"/>
        <v/>
      </c>
      <c r="BF85" s="894"/>
      <c r="BG85" s="157" t="s">
        <v>142</v>
      </c>
      <c r="BH85" s="895" t="str">
        <f t="shared" si="70"/>
        <v/>
      </c>
      <c r="BI85" s="895"/>
      <c r="BJ85" s="582"/>
      <c r="BQ85" s="298" t="e">
        <f>VLOOKUP('HVAC Efficiency Tables'!X114&amp;R85&amp;W85,HVACEfficiencies,7,FALSE)</f>
        <v>#N/A</v>
      </c>
      <c r="BR85" s="298">
        <f t="shared" si="62"/>
        <v>599</v>
      </c>
      <c r="BS85" s="298" t="e">
        <f t="shared" si="65"/>
        <v>#N/A</v>
      </c>
      <c r="BT85" s="298" t="e">
        <f t="shared" si="63"/>
        <v>#N/A</v>
      </c>
      <c r="BU85" s="298" t="e">
        <f t="shared" si="64"/>
        <v>#N/A</v>
      </c>
      <c r="BV85" s="300">
        <f t="shared" si="67"/>
        <v>0</v>
      </c>
      <c r="BW85" s="301">
        <f t="shared" si="66"/>
        <v>0</v>
      </c>
      <c r="BY85" s="94"/>
      <c r="BZ85" s="94"/>
      <c r="CA85" s="94"/>
      <c r="CB85" s="900" t="str">
        <f>'HVAC Efficiency Tables'!$Y114</f>
        <v/>
      </c>
      <c r="CC85" s="901"/>
      <c r="CD85" s="901"/>
      <c r="CE85" s="902"/>
      <c r="CF85" s="382"/>
      <c r="CG85" s="900" t="str">
        <f>'HVAC Efficiency Tables'!$Z114</f>
        <v/>
      </c>
      <c r="CH85" s="901"/>
      <c r="CI85" s="901"/>
      <c r="CJ85" s="901"/>
      <c r="CK85" s="901"/>
      <c r="CL85" s="902"/>
      <c r="CM85" s="94"/>
      <c r="CN85" s="94"/>
      <c r="CO85" s="94"/>
      <c r="CP85" s="94"/>
      <c r="CQ85" s="94"/>
      <c r="CR85" s="94"/>
      <c r="CS85" s="94"/>
      <c r="CT85" s="94"/>
      <c r="CU85" s="94"/>
      <c r="CV85" s="94"/>
      <c r="CW85" s="94"/>
      <c r="CX85" s="94"/>
      <c r="CY85" s="94"/>
      <c r="CZ85" s="94"/>
    </row>
    <row r="86" spans="1:178" ht="14.1" hidden="1" customHeight="1">
      <c r="A86" s="54"/>
      <c r="B86" s="64"/>
      <c r="C86" s="333"/>
      <c r="D86" s="64"/>
      <c r="E86" s="231"/>
      <c r="F86" s="897"/>
      <c r="G86" s="898"/>
      <c r="H86" s="898"/>
      <c r="I86" s="898"/>
      <c r="J86" s="898"/>
      <c r="K86" s="898"/>
      <c r="L86" s="898"/>
      <c r="M86" s="898"/>
      <c r="N86" s="898"/>
      <c r="O86" s="898"/>
      <c r="P86" s="899"/>
      <c r="Q86" s="208"/>
      <c r="R86" s="900" t="str">
        <f>'HVAC Efficiency Tables'!$Y115</f>
        <v/>
      </c>
      <c r="S86" s="901"/>
      <c r="T86" s="901"/>
      <c r="U86" s="902"/>
      <c r="V86" s="382"/>
      <c r="W86" s="900" t="str">
        <f>'HVAC Efficiency Tables'!$Z115</f>
        <v/>
      </c>
      <c r="X86" s="901"/>
      <c r="Y86" s="901"/>
      <c r="Z86" s="901"/>
      <c r="AA86" s="901"/>
      <c r="AB86" s="902"/>
      <c r="AC86" s="204"/>
      <c r="AD86" s="890"/>
      <c r="AE86" s="890"/>
      <c r="AF86" s="890"/>
      <c r="AG86" s="890"/>
      <c r="AH86" s="333"/>
      <c r="AI86" s="64"/>
      <c r="AJ86" s="43" t="str">
        <f>IF(OR(D86="",AW86="Ineligible"),"",IF(OR(F86=Lists!$I$10,F86=Lists!$I$11,F86=Lists!$I$16,F86=Lists!$J$12),"EER",IF(OR(F86=Lists!$I$17,F86=Lists!$I$18),"kW/ton",IF(D86*12000&lt;65000,"SEER","EER"))))</f>
        <v/>
      </c>
      <c r="AK86" s="64"/>
      <c r="AL86" s="43" t="str">
        <f>IF(OR(B86="",F86=Lists!$I$10,F86=Lists!$I$11,AW86="Ineligible",AR86="N/A"),"",IF(OR(F86=Lists!$I$16,F86=Lists!$I$17,F86=Lists!$I$18),"",IF(D86&lt;=5,"EER","IEER")))</f>
        <v/>
      </c>
      <c r="AM86" s="43"/>
      <c r="AN86" s="43"/>
      <c r="AO86" s="204"/>
      <c r="AP86" s="55" t="str">
        <f>IFERROR(IF(OR(D86="",F86="",W86="",R86="",W86="Please Select",R86="Please Select"),"",VLOOKUP('HVAC Efficiency Tables'!X115&amp;R86&amp;W86,HVACEfficiencies,3,FALSE)),"")</f>
        <v/>
      </c>
      <c r="AQ86" s="43" t="str">
        <f>IF(OR(AP86="N/A",AP86=""),"",IF(OR(F86=Lists!$I$10,F86=Lists!$I$11,F86=Lists!$I$16,F86=Lists!$J$12),"EER",IF(OR(F86=Lists!$I$17,F86=Lists!$I$18),"kW/ton",IF(D86*12000&lt;65000,"SEER","EER"))))</f>
        <v/>
      </c>
      <c r="AR86" s="55" t="str">
        <f>IFERROR(IF(OR(D86="",F86="",W86="",R86="",W86="Please Select",R86="Please Select"),"",VLOOKUP('HVAC Efficiency Tables'!X115&amp;R86&amp;W86,HVACEfficiencies,8,FALSE)),"")</f>
        <v/>
      </c>
      <c r="AS86" s="43" t="str">
        <f>IF(OR(AR86="N/A",AR86=""),"",IF(OR(F86=Lists!$I$10,F86=Lists!$I$11,F86=Lists!$I$16,F86=Lists!$I$17,F86=Lists!$I$18),"",IF(D86&lt;=5,"EER","IEER")))</f>
        <v/>
      </c>
      <c r="AT86" s="43"/>
      <c r="AU86" s="43"/>
      <c r="AV86" s="43"/>
      <c r="AW86" s="894" t="str">
        <f t="shared" si="68"/>
        <v/>
      </c>
      <c r="AX86" s="894"/>
      <c r="AY86" s="55" t="str">
        <f>IFERROR(IF(OR(D86="",F86="",W86="",R86="",W86="Please Select",R86="Please Select"),"",VLOOKUP('HVAC Efficiency Tables'!X115&amp;R86&amp;W86,HVACEfficiencies,5,FALSE)),"")</f>
        <v/>
      </c>
      <c r="AZ86" s="43" t="str">
        <f>IF(OR(AY86="N/A",AY86=""),"",IF(OR(F86=Lists!$I$10,F86=Lists!$I$11,F86=Lists!$I$16,F86=Lists!$J$12),"EER",IF(OR(F86=Lists!$I$17,F86=Lists!$I$18),"kW/ton",IF(D86*12000&lt;65000,"SEER","EER"))))</f>
        <v/>
      </c>
      <c r="BA86" s="55" t="str">
        <f>IFERROR(IF(OR(D86="",F86="",W86="",R86="",W86="Please Select",R86="Please Select"),"",VLOOKUP('HVAC Efficiency Tables'!X115&amp;R86&amp;W86,HVACEfficiencies,9,FALSE)),"")</f>
        <v/>
      </c>
      <c r="BB86" s="43" t="str">
        <f>IF(OR(BA86="N/A",BA86=""),"",IF(OR(F86=Lists!$I$10,F86=Lists!$I$11,F86=Lists!$I$16,F86=Lists!$I$17,F86=Lists!$I$18),"",IF(D86&lt;=5,"EER","IEER")))</f>
        <v/>
      </c>
      <c r="BC86" s="43"/>
      <c r="BD86" s="43"/>
      <c r="BE86" s="894" t="str">
        <f t="shared" si="69"/>
        <v/>
      </c>
      <c r="BF86" s="894"/>
      <c r="BG86" s="157" t="s">
        <v>142</v>
      </c>
      <c r="BH86" s="895" t="str">
        <f t="shared" si="70"/>
        <v/>
      </c>
      <c r="BI86" s="895"/>
      <c r="BJ86" s="582"/>
      <c r="BQ86" s="298" t="e">
        <f>VLOOKUP('HVAC Efficiency Tables'!X115&amp;R86&amp;W86,HVACEfficiencies,7,FALSE)</f>
        <v>#N/A</v>
      </c>
      <c r="BR86" s="298">
        <f t="shared" si="62"/>
        <v>599</v>
      </c>
      <c r="BS86" s="298" t="e">
        <f t="shared" si="65"/>
        <v>#N/A</v>
      </c>
      <c r="BT86" s="298" t="e">
        <f t="shared" si="63"/>
        <v>#N/A</v>
      </c>
      <c r="BU86" s="298" t="e">
        <f t="shared" si="64"/>
        <v>#N/A</v>
      </c>
      <c r="BV86" s="300">
        <f t="shared" si="67"/>
        <v>0</v>
      </c>
      <c r="BW86" s="301">
        <f t="shared" si="66"/>
        <v>0</v>
      </c>
      <c r="BY86" s="94"/>
      <c r="BZ86" s="94"/>
      <c r="CA86" s="94"/>
      <c r="CB86" s="900" t="str">
        <f>'HVAC Efficiency Tables'!$Y115</f>
        <v/>
      </c>
      <c r="CC86" s="901"/>
      <c r="CD86" s="901"/>
      <c r="CE86" s="902"/>
      <c r="CF86" s="382"/>
      <c r="CG86" s="900" t="str">
        <f>'HVAC Efficiency Tables'!$Z115</f>
        <v/>
      </c>
      <c r="CH86" s="901"/>
      <c r="CI86" s="901"/>
      <c r="CJ86" s="901"/>
      <c r="CK86" s="901"/>
      <c r="CL86" s="902"/>
      <c r="CM86" s="94"/>
      <c r="CN86" s="94"/>
      <c r="CO86" s="94"/>
      <c r="CP86" s="94"/>
      <c r="CQ86" s="94"/>
      <c r="CR86" s="94"/>
      <c r="CS86" s="94"/>
      <c r="CT86" s="94"/>
      <c r="CU86" s="94"/>
      <c r="CV86" s="94"/>
      <c r="CW86" s="94"/>
      <c r="CX86" s="94"/>
      <c r="CY86" s="94"/>
      <c r="CZ86" s="94"/>
    </row>
    <row r="87" spans="1:178" ht="14.1" hidden="1" customHeight="1">
      <c r="A87" s="54"/>
      <c r="B87" s="64"/>
      <c r="C87" s="333"/>
      <c r="D87" s="64"/>
      <c r="E87" s="231"/>
      <c r="F87" s="897"/>
      <c r="G87" s="898"/>
      <c r="H87" s="898"/>
      <c r="I87" s="898"/>
      <c r="J87" s="898"/>
      <c r="K87" s="898"/>
      <c r="L87" s="898"/>
      <c r="M87" s="898"/>
      <c r="N87" s="898"/>
      <c r="O87" s="898"/>
      <c r="P87" s="899"/>
      <c r="Q87" s="208"/>
      <c r="R87" s="900" t="str">
        <f>'HVAC Efficiency Tables'!$Y116</f>
        <v/>
      </c>
      <c r="S87" s="901"/>
      <c r="T87" s="901"/>
      <c r="U87" s="902"/>
      <c r="V87" s="382"/>
      <c r="W87" s="900" t="str">
        <f>'HVAC Efficiency Tables'!$Z116</f>
        <v/>
      </c>
      <c r="X87" s="901"/>
      <c r="Y87" s="901"/>
      <c r="Z87" s="901"/>
      <c r="AA87" s="901"/>
      <c r="AB87" s="902"/>
      <c r="AC87" s="204"/>
      <c r="AD87" s="890"/>
      <c r="AE87" s="890"/>
      <c r="AF87" s="890"/>
      <c r="AG87" s="890"/>
      <c r="AH87" s="333"/>
      <c r="AI87" s="64"/>
      <c r="AJ87" s="43" t="str">
        <f>IF(OR(D87="",AW87="Ineligible"),"",IF(OR(F87=Lists!$I$10,F87=Lists!$I$11,F87=Lists!$I$16,F87=Lists!$J$12),"EER",IF(OR(F87=Lists!$I$17,F87=Lists!$I$18),"kW/ton",IF(D87*12000&lt;65000,"SEER","EER"))))</f>
        <v/>
      </c>
      <c r="AK87" s="64"/>
      <c r="AL87" s="43" t="str">
        <f>IF(OR(B87="",F87=Lists!$I$10,F87=Lists!$I$11,AW87="Ineligible",AR87="N/A"),"",IF(OR(F87=Lists!$I$16,F87=Lists!$I$17,F87=Lists!$I$18),"",IF(D87&lt;=5,"EER","IEER")))</f>
        <v/>
      </c>
      <c r="AM87" s="43"/>
      <c r="AN87" s="43"/>
      <c r="AO87" s="204"/>
      <c r="AP87" s="55" t="str">
        <f>IFERROR(IF(OR(D87="",F87="",W87="",R87="",W87="Please Select",R87="Please Select"),"",VLOOKUP('HVAC Efficiency Tables'!X116&amp;R87&amp;W87,HVACEfficiencies,3,FALSE)),"")</f>
        <v/>
      </c>
      <c r="AQ87" s="43" t="str">
        <f>IF(OR(AP87="N/A",AP87=""),"",IF(OR(F87=Lists!$I$10,F87=Lists!$I$11,F87=Lists!$I$16,F87=Lists!$J$12),"EER",IF(OR(F87=Lists!$I$17,F87=Lists!$I$18),"kW/ton",IF(D87*12000&lt;65000,"SEER","EER"))))</f>
        <v/>
      </c>
      <c r="AR87" s="55" t="str">
        <f>IFERROR(IF(OR(D87="",F87="",W87="",R87="",W87="Please Select",R87="Please Select"),"",VLOOKUP('HVAC Efficiency Tables'!X116&amp;R87&amp;W87,HVACEfficiencies,8,FALSE)),"")</f>
        <v/>
      </c>
      <c r="AS87" s="43" t="str">
        <f>IF(OR(AR87="N/A",AR87=""),"",IF(OR(F87=Lists!$I$10,F87=Lists!$I$11,F87=Lists!$I$16,F87=Lists!$I$17,F87=Lists!$I$18),"",IF(D87&lt;=5,"EER","IEER")))</f>
        <v/>
      </c>
      <c r="AT87" s="43"/>
      <c r="AU87" s="43"/>
      <c r="AV87" s="43"/>
      <c r="AW87" s="894" t="str">
        <f t="shared" si="68"/>
        <v/>
      </c>
      <c r="AX87" s="894"/>
      <c r="AY87" s="55" t="str">
        <f>IFERROR(IF(OR(D87="",F87="",W87="",R87="",W87="Please Select",R87="Please Select"),"",VLOOKUP('HVAC Efficiency Tables'!X116&amp;R87&amp;W87,HVACEfficiencies,5,FALSE)),"")</f>
        <v/>
      </c>
      <c r="AZ87" s="43" t="str">
        <f>IF(OR(AY87="N/A",AY87=""),"",IF(OR(F87=Lists!$I$10,F87=Lists!$I$11,F87=Lists!$I$16,F87=Lists!$J$12),"EER",IF(OR(F87=Lists!$I$17,F87=Lists!$I$18),"kW/ton",IF(D87*12000&lt;65000,"SEER","EER"))))</f>
        <v/>
      </c>
      <c r="BA87" s="55" t="str">
        <f>IFERROR(IF(OR(D87="",F87="",W87="",R87="",W87="Please Select",R87="Please Select"),"",VLOOKUP('HVAC Efficiency Tables'!X116&amp;R87&amp;W87,HVACEfficiencies,9,FALSE)),"")</f>
        <v/>
      </c>
      <c r="BB87" s="43" t="str">
        <f>IF(OR(BA87="N/A",BA87=""),"",IF(OR(F87=Lists!$I$10,F87=Lists!$I$11,F87=Lists!$I$16,F87=Lists!$I$17,F87=Lists!$I$18),"",IF(D87&lt;=5,"EER","IEER")))</f>
        <v/>
      </c>
      <c r="BC87" s="43"/>
      <c r="BD87" s="43"/>
      <c r="BE87" s="894" t="str">
        <f t="shared" si="69"/>
        <v/>
      </c>
      <c r="BF87" s="894"/>
      <c r="BG87" s="157" t="s">
        <v>142</v>
      </c>
      <c r="BH87" s="895" t="str">
        <f t="shared" si="70"/>
        <v/>
      </c>
      <c r="BI87" s="895"/>
      <c r="BJ87" s="582"/>
      <c r="BQ87" s="298" t="e">
        <f>VLOOKUP('HVAC Efficiency Tables'!X116&amp;R87&amp;W87,HVACEfficiencies,7,FALSE)</f>
        <v>#N/A</v>
      </c>
      <c r="BR87" s="298">
        <f t="shared" si="62"/>
        <v>599</v>
      </c>
      <c r="BS87" s="298" t="e">
        <f t="shared" si="65"/>
        <v>#N/A</v>
      </c>
      <c r="BT87" s="298" t="e">
        <f t="shared" si="63"/>
        <v>#N/A</v>
      </c>
      <c r="BU87" s="298" t="e">
        <f t="shared" si="64"/>
        <v>#N/A</v>
      </c>
      <c r="BV87" s="300">
        <f t="shared" si="67"/>
        <v>0</v>
      </c>
      <c r="BW87" s="301">
        <f t="shared" si="66"/>
        <v>0</v>
      </c>
      <c r="BY87" s="94"/>
      <c r="BZ87" s="94"/>
      <c r="CA87" s="94"/>
      <c r="CB87" s="900" t="str">
        <f>'HVAC Efficiency Tables'!$Y116</f>
        <v/>
      </c>
      <c r="CC87" s="901"/>
      <c r="CD87" s="901"/>
      <c r="CE87" s="902"/>
      <c r="CF87" s="382"/>
      <c r="CG87" s="900" t="str">
        <f>'HVAC Efficiency Tables'!$Z116</f>
        <v/>
      </c>
      <c r="CH87" s="901"/>
      <c r="CI87" s="901"/>
      <c r="CJ87" s="901"/>
      <c r="CK87" s="901"/>
      <c r="CL87" s="902"/>
      <c r="CM87" s="94"/>
      <c r="CN87" s="94"/>
      <c r="CO87" s="94"/>
      <c r="CP87" s="94"/>
      <c r="CQ87" s="94"/>
      <c r="CR87" s="94"/>
      <c r="CS87" s="94"/>
      <c r="CT87" s="94"/>
      <c r="CU87" s="94"/>
      <c r="CV87" s="94"/>
      <c r="CW87" s="94"/>
      <c r="CX87" s="94"/>
      <c r="CY87" s="94"/>
      <c r="CZ87" s="94"/>
    </row>
    <row r="88" spans="1:178" ht="14.1" hidden="1" customHeight="1">
      <c r="A88" s="54"/>
      <c r="B88" s="64"/>
      <c r="C88" s="333"/>
      <c r="D88" s="64"/>
      <c r="E88" s="231"/>
      <c r="F88" s="897"/>
      <c r="G88" s="898"/>
      <c r="H88" s="898"/>
      <c r="I88" s="898"/>
      <c r="J88" s="898"/>
      <c r="K88" s="898"/>
      <c r="L88" s="898"/>
      <c r="M88" s="898"/>
      <c r="N88" s="898"/>
      <c r="O88" s="898"/>
      <c r="P88" s="899"/>
      <c r="Q88" s="208"/>
      <c r="R88" s="900" t="str">
        <f>'HVAC Efficiency Tables'!$Y117</f>
        <v/>
      </c>
      <c r="S88" s="901"/>
      <c r="T88" s="901"/>
      <c r="U88" s="902"/>
      <c r="V88" s="382"/>
      <c r="W88" s="900" t="str">
        <f>'HVAC Efficiency Tables'!$Z117</f>
        <v/>
      </c>
      <c r="X88" s="901"/>
      <c r="Y88" s="901"/>
      <c r="Z88" s="901"/>
      <c r="AA88" s="901"/>
      <c r="AB88" s="902"/>
      <c r="AC88" s="204"/>
      <c r="AD88" s="890"/>
      <c r="AE88" s="890"/>
      <c r="AF88" s="890"/>
      <c r="AG88" s="890"/>
      <c r="AH88" s="333"/>
      <c r="AI88" s="64"/>
      <c r="AJ88" s="43" t="str">
        <f>IF(OR(D88="",AW88="Ineligible"),"",IF(OR(F88=Lists!$I$10,F88=Lists!$I$11,F88=Lists!$I$16,F88=Lists!$J$12),"EER",IF(OR(F88=Lists!$I$17,F88=Lists!$I$18),"kW/ton",IF(D88*12000&lt;65000,"SEER","EER"))))</f>
        <v/>
      </c>
      <c r="AK88" s="64"/>
      <c r="AL88" s="43" t="str">
        <f>IF(OR(B88="",F88=Lists!$I$10,F88=Lists!$I$11,AW88="Ineligible",AR88="N/A"),"",IF(OR(F88=Lists!$I$16,F88=Lists!$I$17,F88=Lists!$I$18),"",IF(D88&lt;=5,"EER","IEER")))</f>
        <v/>
      </c>
      <c r="AM88" s="43"/>
      <c r="AN88" s="43"/>
      <c r="AO88" s="204"/>
      <c r="AP88" s="55" t="str">
        <f>IFERROR(IF(OR(D88="",F88="",W88="",R88="",W88="Please Select",R88="Please Select"),"",VLOOKUP('HVAC Efficiency Tables'!X117&amp;R88&amp;W88,HVACEfficiencies,3,FALSE)),"")</f>
        <v/>
      </c>
      <c r="AQ88" s="43" t="str">
        <f>IF(OR(AP88="N/A",AP88=""),"",IF(OR(F88=Lists!$I$10,F88=Lists!$I$11,F88=Lists!$I$16,F88=Lists!$J$12),"EER",IF(OR(F88=Lists!$I$17,F88=Lists!$I$18),"kW/ton",IF(D88*12000&lt;65000,"SEER","EER"))))</f>
        <v/>
      </c>
      <c r="AR88" s="55" t="str">
        <f>IFERROR(IF(OR(D88="",F88="",W88="",R88="",W88="Please Select",R88="Please Select"),"",VLOOKUP('HVAC Efficiency Tables'!X117&amp;R88&amp;W88,HVACEfficiencies,8,FALSE)),"")</f>
        <v/>
      </c>
      <c r="AS88" s="43" t="str">
        <f>IF(OR(AR88="N/A",AR88=""),"",IF(OR(F88=Lists!$I$10,F88=Lists!$I$11,F88=Lists!$I$16,F88=Lists!$I$17,F88=Lists!$I$18),"",IF(D88&lt;=5,"EER","IEER")))</f>
        <v/>
      </c>
      <c r="AT88" s="43"/>
      <c r="AU88" s="43"/>
      <c r="AV88" s="43"/>
      <c r="AW88" s="894" t="str">
        <f t="shared" si="68"/>
        <v/>
      </c>
      <c r="AX88" s="894"/>
      <c r="AY88" s="55" t="str">
        <f>IFERROR(IF(OR(D88="",F88="",W88="",R88="",W88="Please Select",R88="Please Select"),"",VLOOKUP('HVAC Efficiency Tables'!X117&amp;R88&amp;W88,HVACEfficiencies,5,FALSE)),"")</f>
        <v/>
      </c>
      <c r="AZ88" s="43" t="str">
        <f>IF(OR(AY88="N/A",AY88=""),"",IF(OR(F88=Lists!$I$10,F88=Lists!$I$11,F88=Lists!$I$16,F88=Lists!$J$12),"EER",IF(OR(F88=Lists!$I$17,F88=Lists!$I$18),"kW/ton",IF(D88*12000&lt;65000,"SEER","EER"))))</f>
        <v/>
      </c>
      <c r="BA88" s="55" t="str">
        <f>IFERROR(IF(OR(D88="",F88="",W88="",R88="",W88="Please Select",R88="Please Select"),"",VLOOKUP('HVAC Efficiency Tables'!X117&amp;R88&amp;W88,HVACEfficiencies,9,FALSE)),"")</f>
        <v/>
      </c>
      <c r="BB88" s="43" t="str">
        <f>IF(OR(BA88="N/A",BA88=""),"",IF(OR(F88=Lists!$I$10,F88=Lists!$I$11,F88=Lists!$I$16,F88=Lists!$I$17,F88=Lists!$I$18),"",IF(D88&lt;=5,"EER","IEER")))</f>
        <v/>
      </c>
      <c r="BC88" s="43"/>
      <c r="BD88" s="43"/>
      <c r="BE88" s="894" t="str">
        <f t="shared" si="69"/>
        <v/>
      </c>
      <c r="BF88" s="894"/>
      <c r="BG88" s="157" t="s">
        <v>142</v>
      </c>
      <c r="BH88" s="895" t="str">
        <f t="shared" si="70"/>
        <v/>
      </c>
      <c r="BI88" s="895"/>
      <c r="BJ88" s="582"/>
      <c r="BQ88" s="298" t="e">
        <f>VLOOKUP('HVAC Efficiency Tables'!X117&amp;R88&amp;W88,HVACEfficiencies,7,FALSE)</f>
        <v>#N/A</v>
      </c>
      <c r="BR88" s="298">
        <f t="shared" si="62"/>
        <v>599</v>
      </c>
      <c r="BS88" s="298" t="e">
        <f t="shared" si="65"/>
        <v>#N/A</v>
      </c>
      <c r="BT88" s="298" t="e">
        <f t="shared" si="63"/>
        <v>#N/A</v>
      </c>
      <c r="BU88" s="298" t="e">
        <f t="shared" si="64"/>
        <v>#N/A</v>
      </c>
      <c r="BV88" s="300">
        <f t="shared" si="67"/>
        <v>0</v>
      </c>
      <c r="BW88" s="301">
        <f t="shared" si="66"/>
        <v>0</v>
      </c>
      <c r="BY88" s="94"/>
      <c r="BZ88" s="94"/>
      <c r="CA88" s="94"/>
      <c r="CB88" s="900" t="str">
        <f>'HVAC Efficiency Tables'!$Y117</f>
        <v/>
      </c>
      <c r="CC88" s="901"/>
      <c r="CD88" s="901"/>
      <c r="CE88" s="902"/>
      <c r="CF88" s="382"/>
      <c r="CG88" s="900" t="str">
        <f>'HVAC Efficiency Tables'!$Z117</f>
        <v/>
      </c>
      <c r="CH88" s="901"/>
      <c r="CI88" s="901"/>
      <c r="CJ88" s="901"/>
      <c r="CK88" s="901"/>
      <c r="CL88" s="902"/>
      <c r="CM88" s="94"/>
      <c r="CN88" s="94"/>
      <c r="CO88" s="94"/>
      <c r="CP88" s="94"/>
      <c r="CQ88" s="94"/>
      <c r="CR88" s="94"/>
      <c r="CS88" s="94"/>
      <c r="CT88" s="94"/>
      <c r="CU88" s="94"/>
      <c r="CV88" s="94"/>
      <c r="CW88" s="94"/>
      <c r="CX88" s="94"/>
      <c r="CY88" s="94"/>
      <c r="CZ88" s="94"/>
    </row>
    <row r="89" spans="1:178" ht="14.1" hidden="1" customHeight="1">
      <c r="A89" s="54"/>
      <c r="B89" s="64"/>
      <c r="C89" s="333"/>
      <c r="D89" s="64"/>
      <c r="E89" s="231"/>
      <c r="F89" s="897"/>
      <c r="G89" s="898"/>
      <c r="H89" s="898"/>
      <c r="I89" s="898"/>
      <c r="J89" s="898"/>
      <c r="K89" s="898"/>
      <c r="L89" s="898"/>
      <c r="M89" s="898"/>
      <c r="N89" s="898"/>
      <c r="O89" s="898"/>
      <c r="P89" s="899"/>
      <c r="Q89" s="208"/>
      <c r="R89" s="900" t="str">
        <f>'HVAC Efficiency Tables'!$Y118</f>
        <v/>
      </c>
      <c r="S89" s="901"/>
      <c r="T89" s="901"/>
      <c r="U89" s="902"/>
      <c r="V89" s="382"/>
      <c r="W89" s="900" t="str">
        <f>'HVAC Efficiency Tables'!$Z118</f>
        <v/>
      </c>
      <c r="X89" s="901"/>
      <c r="Y89" s="901"/>
      <c r="Z89" s="901"/>
      <c r="AA89" s="901"/>
      <c r="AB89" s="902"/>
      <c r="AC89" s="204"/>
      <c r="AD89" s="890"/>
      <c r="AE89" s="890"/>
      <c r="AF89" s="890"/>
      <c r="AG89" s="890"/>
      <c r="AH89" s="333"/>
      <c r="AI89" s="64"/>
      <c r="AJ89" s="43" t="str">
        <f>IF(OR(D89="",AW89="Ineligible"),"",IF(OR(F89=Lists!$I$10,F89=Lists!$I$11,F89=Lists!$I$16,F89=Lists!$J$12),"EER",IF(OR(F89=Lists!$I$17,F89=Lists!$I$18),"kW/ton",IF(D89*12000&lt;65000,"SEER","EER"))))</f>
        <v/>
      </c>
      <c r="AK89" s="64"/>
      <c r="AL89" s="43" t="str">
        <f>IF(OR(B89="",F89=Lists!$I$10,F89=Lists!$I$11,AW89="Ineligible",AR89="N/A"),"",IF(OR(F89=Lists!$I$16,F89=Lists!$I$17,F89=Lists!$I$18),"",IF(D89&lt;=5,"EER","IEER")))</f>
        <v/>
      </c>
      <c r="AM89" s="43"/>
      <c r="AN89" s="43"/>
      <c r="AO89" s="204"/>
      <c r="AP89" s="55" t="str">
        <f>IFERROR(IF(OR(D89="",F89="",W89="",R89="",W89="Please Select",R89="Please Select"),"",VLOOKUP('HVAC Efficiency Tables'!X118&amp;R89&amp;W89,HVACEfficiencies,3,FALSE)),"")</f>
        <v/>
      </c>
      <c r="AQ89" s="43" t="str">
        <f>IF(OR(AP89="N/A",AP89=""),"",IF(OR(F89=Lists!$I$10,F89=Lists!$I$11,F89=Lists!$I$16,F89=Lists!$J$12),"EER",IF(OR(F89=Lists!$I$17,F89=Lists!$I$18),"kW/ton",IF(D89*12000&lt;65000,"SEER","EER"))))</f>
        <v/>
      </c>
      <c r="AR89" s="55" t="str">
        <f>IFERROR(IF(OR(D89="",F89="",W89="",R89="",W89="Please Select",R89="Please Select"),"",VLOOKUP('HVAC Efficiency Tables'!X118&amp;R89&amp;W89,HVACEfficiencies,8,FALSE)),"")</f>
        <v/>
      </c>
      <c r="AS89" s="43" t="str">
        <f>IF(OR(AR89="N/A",AR89=""),"",IF(OR(F89=Lists!$I$10,F89=Lists!$I$11,F89=Lists!$I$16,F89=Lists!$I$17,F89=Lists!$I$18),"",IF(D89&lt;=5,"EER","IEER")))</f>
        <v/>
      </c>
      <c r="AT89" s="43"/>
      <c r="AU89" s="43"/>
      <c r="AV89" s="43"/>
      <c r="AW89" s="894" t="str">
        <f t="shared" si="68"/>
        <v/>
      </c>
      <c r="AX89" s="894"/>
      <c r="AY89" s="55" t="str">
        <f>IFERROR(IF(OR(D89="",F89="",W89="",R89="",W89="Please Select",R89="Please Select"),"",VLOOKUP('HVAC Efficiency Tables'!X118&amp;R89&amp;W89,HVACEfficiencies,5,FALSE)),"")</f>
        <v/>
      </c>
      <c r="AZ89" s="43" t="str">
        <f>IF(OR(AY89="N/A",AY89=""),"",IF(OR(F89=Lists!$I$10,F89=Lists!$I$11,F89=Lists!$I$16,F89=Lists!$J$12),"EER",IF(OR(F89=Lists!$I$17,F89=Lists!$I$18),"kW/ton",IF(D89*12000&lt;65000,"SEER","EER"))))</f>
        <v/>
      </c>
      <c r="BA89" s="55" t="str">
        <f>IFERROR(IF(OR(D89="",F89="",W89="",R89="",W89="Please Select",R89="Please Select"),"",VLOOKUP('HVAC Efficiency Tables'!X118&amp;R89&amp;W89,HVACEfficiencies,9,FALSE)),"")</f>
        <v/>
      </c>
      <c r="BB89" s="43" t="str">
        <f>IF(OR(BA89="N/A",BA89=""),"",IF(OR(F89=Lists!$I$10,F89=Lists!$I$11,F89=Lists!$I$16,F89=Lists!$I$17,F89=Lists!$I$18),"",IF(D89&lt;=5,"EER","IEER")))</f>
        <v/>
      </c>
      <c r="BC89" s="43"/>
      <c r="BD89" s="43"/>
      <c r="BE89" s="894" t="str">
        <f t="shared" si="69"/>
        <v/>
      </c>
      <c r="BF89" s="894"/>
      <c r="BG89" s="157" t="s">
        <v>142</v>
      </c>
      <c r="BH89" s="895" t="str">
        <f t="shared" si="70"/>
        <v/>
      </c>
      <c r="BI89" s="895"/>
      <c r="BJ89" s="582"/>
      <c r="BQ89" s="298" t="e">
        <f>VLOOKUP('HVAC Efficiency Tables'!X118&amp;R89&amp;W89,HVACEfficiencies,7,FALSE)</f>
        <v>#N/A</v>
      </c>
      <c r="BR89" s="298">
        <f t="shared" si="62"/>
        <v>599</v>
      </c>
      <c r="BS89" s="298" t="e">
        <f t="shared" si="65"/>
        <v>#N/A</v>
      </c>
      <c r="BT89" s="298" t="e">
        <f t="shared" si="63"/>
        <v>#N/A</v>
      </c>
      <c r="BU89" s="298" t="e">
        <f t="shared" si="64"/>
        <v>#N/A</v>
      </c>
      <c r="BV89" s="300">
        <f t="shared" si="67"/>
        <v>0</v>
      </c>
      <c r="BW89" s="301">
        <f t="shared" si="66"/>
        <v>0</v>
      </c>
      <c r="BY89" s="94"/>
      <c r="BZ89" s="94"/>
      <c r="CA89" s="94"/>
      <c r="CB89" s="900" t="str">
        <f>'HVAC Efficiency Tables'!$Y118</f>
        <v/>
      </c>
      <c r="CC89" s="901"/>
      <c r="CD89" s="901"/>
      <c r="CE89" s="902"/>
      <c r="CF89" s="382"/>
      <c r="CG89" s="900" t="str">
        <f>'HVAC Efficiency Tables'!$Z118</f>
        <v/>
      </c>
      <c r="CH89" s="901"/>
      <c r="CI89" s="901"/>
      <c r="CJ89" s="901"/>
      <c r="CK89" s="901"/>
      <c r="CL89" s="902"/>
      <c r="CM89" s="94"/>
      <c r="CN89" s="94"/>
      <c r="CO89" s="94"/>
      <c r="CP89" s="94"/>
      <c r="CQ89" s="94"/>
      <c r="CR89" s="94"/>
      <c r="CS89" s="94"/>
      <c r="CT89" s="94"/>
      <c r="CU89" s="94"/>
      <c r="CV89" s="94"/>
      <c r="CW89" s="94"/>
      <c r="CX89" s="94"/>
      <c r="CY89" s="94"/>
      <c r="CZ89" s="94"/>
    </row>
    <row r="90" spans="1:178" ht="14.1" hidden="1" customHeight="1">
      <c r="A90" s="54"/>
      <c r="B90" s="64"/>
      <c r="C90" s="333"/>
      <c r="D90" s="64"/>
      <c r="E90" s="231"/>
      <c r="F90" s="903"/>
      <c r="G90" s="903"/>
      <c r="H90" s="903"/>
      <c r="I90" s="903"/>
      <c r="J90" s="903"/>
      <c r="K90" s="903"/>
      <c r="L90" s="903"/>
      <c r="M90" s="903"/>
      <c r="N90" s="903"/>
      <c r="O90" s="903"/>
      <c r="P90" s="903"/>
      <c r="Q90" s="208"/>
      <c r="R90" s="900" t="str">
        <f>'HVAC Efficiency Tables'!$Y119</f>
        <v/>
      </c>
      <c r="S90" s="901"/>
      <c r="T90" s="901"/>
      <c r="U90" s="902"/>
      <c r="V90" s="382"/>
      <c r="W90" s="900" t="str">
        <f>'HVAC Efficiency Tables'!$Z119</f>
        <v/>
      </c>
      <c r="X90" s="901"/>
      <c r="Y90" s="901"/>
      <c r="Z90" s="901"/>
      <c r="AA90" s="901"/>
      <c r="AB90" s="902"/>
      <c r="AC90" s="204"/>
      <c r="AD90" s="890"/>
      <c r="AE90" s="890"/>
      <c r="AF90" s="890"/>
      <c r="AG90" s="890"/>
      <c r="AH90" s="333"/>
      <c r="AI90" s="64"/>
      <c r="AJ90" s="43" t="str">
        <f>IF(OR(D90="",AW90="Ineligible"),"",IF(OR(F90=Lists!$I$10,F90=Lists!$I$11,F90=Lists!$I$16,F90=Lists!$J$12),"EER",IF(OR(F90=Lists!$I$17,F90=Lists!$I$18),"kW/ton",IF(D90*12000&lt;65000,"SEER","EER"))))</f>
        <v/>
      </c>
      <c r="AK90" s="64"/>
      <c r="AL90" s="43" t="str">
        <f>IF(OR(B90="",F90=Lists!$I$10,F90=Lists!$I$11,AW90="Ineligible",AR90="N/A"),"",IF(OR(F90=Lists!$I$16,F90=Lists!$I$17,F90=Lists!$I$18),"",IF(D90&lt;=5,"EER","IEER")))</f>
        <v/>
      </c>
      <c r="AM90" s="43"/>
      <c r="AN90" s="43"/>
      <c r="AO90" s="204"/>
      <c r="AP90" s="55" t="str">
        <f>IFERROR(IF(OR(D90="",F90="",W90="",R90="",W90="Please Select",R90="Please Select"),"",VLOOKUP('HVAC Efficiency Tables'!X119&amp;R90&amp;W90,HVACEfficiencies,3,FALSE)),"")</f>
        <v/>
      </c>
      <c r="AQ90" s="43" t="str">
        <f>IF(OR(AP90="N/A",AP90=""),"",IF(OR(F90=Lists!$I$10,F90=Lists!$I$11,F90=Lists!$I$16,F90=Lists!$J$12),"EER",IF(OR(F90=Lists!$I$17,F90=Lists!$I$18),"kW/ton",IF(D90*12000&lt;65000,"SEER","EER"))))</f>
        <v/>
      </c>
      <c r="AR90" s="55" t="str">
        <f>IFERROR(IF(OR(D90="",F90="",W90="",R90="",W90="Please Select",R90="Please Select"),"",VLOOKUP('HVAC Efficiency Tables'!X119&amp;R90&amp;W90,HVACEfficiencies,8,FALSE)),"")</f>
        <v/>
      </c>
      <c r="AS90" s="43" t="str">
        <f>IF(OR(AR90="N/A",AR90=""),"",IF(OR(F90=Lists!$I$10,F90=Lists!$I$11,F90=Lists!$I$16,F90=Lists!$I$17,F90=Lists!$I$18),"",IF(D90&lt;=5,"EER","IEER")))</f>
        <v/>
      </c>
      <c r="AT90" s="43"/>
      <c r="AU90" s="43"/>
      <c r="AV90" s="43"/>
      <c r="AW90" s="894" t="str">
        <f t="shared" si="68"/>
        <v/>
      </c>
      <c r="AX90" s="894"/>
      <c r="AY90" s="55" t="str">
        <f>IFERROR(IF(OR(D90="",F90="",W90="",R90="",W90="Please Select",R90="Please Select"),"",VLOOKUP('HVAC Efficiency Tables'!X119&amp;R90&amp;W90,HVACEfficiencies,5,FALSE)),"")</f>
        <v/>
      </c>
      <c r="AZ90" s="43" t="str">
        <f>IF(OR(AY90="N/A",AY90=""),"",IF(OR(F90=Lists!$I$10,F90=Lists!$I$11,F90=Lists!$I$16,F90=Lists!$J$12),"EER",IF(OR(F90=Lists!$I$17,F90=Lists!$I$18),"kW/ton",IF(D90*12000&lt;65000,"SEER","EER"))))</f>
        <v/>
      </c>
      <c r="BA90" s="55" t="str">
        <f>IFERROR(IF(OR(D90="",F90="",W90="",R90="",W90="Please Select",R90="Please Select"),"",VLOOKUP('HVAC Efficiency Tables'!X119&amp;R90&amp;W90,HVACEfficiencies,9,FALSE)),"")</f>
        <v/>
      </c>
      <c r="BB90" s="43" t="str">
        <f>IF(OR(BA90="N/A",BA90=""),"",IF(OR(F90=Lists!$I$10,F90=Lists!$I$11,F90=Lists!$I$16,F90=Lists!$I$17,F90=Lists!$I$18),"",IF(D90&lt;=5,"EER","IEER")))</f>
        <v/>
      </c>
      <c r="BC90" s="43"/>
      <c r="BD90" s="43"/>
      <c r="BE90" s="894" t="str">
        <f t="shared" si="69"/>
        <v/>
      </c>
      <c r="BF90" s="894"/>
      <c r="BG90" s="157" t="s">
        <v>142</v>
      </c>
      <c r="BH90" s="895" t="str">
        <f t="shared" si="70"/>
        <v/>
      </c>
      <c r="BI90" s="895"/>
      <c r="BJ90" s="582"/>
      <c r="BQ90" s="298" t="e">
        <f>VLOOKUP('HVAC Efficiency Tables'!X119&amp;R90&amp;W90,HVACEfficiencies,7,FALSE)</f>
        <v>#N/A</v>
      </c>
      <c r="BR90" s="298">
        <f t="shared" si="62"/>
        <v>599</v>
      </c>
      <c r="BS90" s="298" t="e">
        <f t="shared" si="65"/>
        <v>#N/A</v>
      </c>
      <c r="BT90" s="298" t="e">
        <f t="shared" si="63"/>
        <v>#N/A</v>
      </c>
      <c r="BU90" s="298" t="e">
        <f t="shared" si="64"/>
        <v>#N/A</v>
      </c>
      <c r="BV90" s="300">
        <f t="shared" si="67"/>
        <v>0</v>
      </c>
      <c r="BW90" s="301">
        <f t="shared" si="66"/>
        <v>0</v>
      </c>
      <c r="BY90" s="94"/>
      <c r="BZ90" s="94"/>
      <c r="CA90" s="94"/>
      <c r="CB90" s="900" t="str">
        <f>'HVAC Efficiency Tables'!$Y119</f>
        <v/>
      </c>
      <c r="CC90" s="901"/>
      <c r="CD90" s="901"/>
      <c r="CE90" s="902"/>
      <c r="CF90" s="382"/>
      <c r="CG90" s="900" t="str">
        <f>'HVAC Efficiency Tables'!$Z119</f>
        <v/>
      </c>
      <c r="CH90" s="901"/>
      <c r="CI90" s="901"/>
      <c r="CJ90" s="901"/>
      <c r="CK90" s="901"/>
      <c r="CL90" s="902"/>
      <c r="CM90" s="94"/>
      <c r="CN90" s="94"/>
      <c r="CO90" s="94"/>
      <c r="CP90" s="94"/>
      <c r="CQ90" s="94"/>
      <c r="CR90" s="94"/>
      <c r="CS90" s="94"/>
      <c r="CT90" s="94"/>
      <c r="CU90" s="94"/>
      <c r="CV90" s="94"/>
      <c r="CW90" s="94"/>
      <c r="CX90" s="94"/>
      <c r="CY90" s="94"/>
      <c r="CZ90" s="94"/>
    </row>
    <row r="91" spans="1:178" ht="14.1" hidden="1" customHeight="1">
      <c r="A91" s="54"/>
      <c r="B91" s="64"/>
      <c r="C91" s="333"/>
      <c r="D91" s="64"/>
      <c r="E91" s="231"/>
      <c r="F91" s="903"/>
      <c r="G91" s="903"/>
      <c r="H91" s="903"/>
      <c r="I91" s="903"/>
      <c r="J91" s="903"/>
      <c r="K91" s="903"/>
      <c r="L91" s="903"/>
      <c r="M91" s="903"/>
      <c r="N91" s="903"/>
      <c r="O91" s="903"/>
      <c r="P91" s="903"/>
      <c r="Q91" s="208"/>
      <c r="R91" s="900" t="str">
        <f>'HVAC Efficiency Tables'!$Y120</f>
        <v/>
      </c>
      <c r="S91" s="901"/>
      <c r="T91" s="901"/>
      <c r="U91" s="902"/>
      <c r="V91" s="382"/>
      <c r="W91" s="900" t="str">
        <f>'HVAC Efficiency Tables'!$Z120</f>
        <v/>
      </c>
      <c r="X91" s="901"/>
      <c r="Y91" s="901"/>
      <c r="Z91" s="901"/>
      <c r="AA91" s="901"/>
      <c r="AB91" s="902"/>
      <c r="AC91" s="204"/>
      <c r="AD91" s="890"/>
      <c r="AE91" s="890"/>
      <c r="AF91" s="890"/>
      <c r="AG91" s="890"/>
      <c r="AH91" s="333"/>
      <c r="AI91" s="64"/>
      <c r="AJ91" s="43" t="str">
        <f>IF(OR(D91="",AW91="Ineligible"),"",IF(OR(F91=Lists!$I$10,F91=Lists!$I$11,F91=Lists!$I$16,F91=Lists!$J$12),"EER",IF(OR(F91=Lists!$I$17,F91=Lists!$I$18),"kW/ton",IF(D91*12000&lt;65000,"SEER","EER"))))</f>
        <v/>
      </c>
      <c r="AK91" s="64"/>
      <c r="AL91" s="43" t="str">
        <f>IF(OR(B91="",F91=Lists!$I$10,F91=Lists!$I$11,AW91="Ineligible",AR91="N/A"),"",IF(OR(F91=Lists!$I$16,F91=Lists!$I$17,F91=Lists!$I$18),"",IF(D91&lt;=5,"EER","IEER")))</f>
        <v/>
      </c>
      <c r="AM91" s="43"/>
      <c r="AN91" s="43"/>
      <c r="AO91" s="204"/>
      <c r="AP91" s="55" t="str">
        <f>IFERROR(IF(OR(D91="",F91="",W91="",R91="",W91="Please Select",R91="Please Select"),"",VLOOKUP('HVAC Efficiency Tables'!X120&amp;R91&amp;W91,HVACEfficiencies,3,FALSE)),"")</f>
        <v/>
      </c>
      <c r="AQ91" s="43" t="str">
        <f>IF(OR(AP91="N/A",AP91=""),"",IF(OR(F91=Lists!$I$10,F91=Lists!$I$11,F91=Lists!$I$16,F91=Lists!$J$12),"EER",IF(OR(F91=Lists!$I$17,F91=Lists!$I$18),"kW/ton",IF(D91*12000&lt;65000,"SEER","EER"))))</f>
        <v/>
      </c>
      <c r="AR91" s="55" t="str">
        <f>IFERROR(IF(OR(D91="",F91="",W91="",R91="",W91="Please Select",R91="Please Select"),"",VLOOKUP('HVAC Efficiency Tables'!X120&amp;R91&amp;W91,HVACEfficiencies,8,FALSE)),"")</f>
        <v/>
      </c>
      <c r="AS91" s="43" t="str">
        <f>IF(OR(AR91="N/A",AR91=""),"",IF(OR(F91=Lists!$I$10,F91=Lists!$I$11,F91=Lists!$I$16,F91=Lists!$I$17,F91=Lists!$I$18),"",IF(D91&lt;=5,"EER","IEER")))</f>
        <v/>
      </c>
      <c r="AT91" s="43"/>
      <c r="AU91" s="43"/>
      <c r="AV91" s="43"/>
      <c r="AW91" s="894" t="str">
        <f t="shared" si="68"/>
        <v/>
      </c>
      <c r="AX91" s="894"/>
      <c r="AY91" s="55" t="str">
        <f>IFERROR(IF(OR(D91="",F91="",W91="",R91="",W91="Please Select",R91="Please Select"),"",VLOOKUP('HVAC Efficiency Tables'!X120&amp;R91&amp;W91,HVACEfficiencies,5,FALSE)),"")</f>
        <v/>
      </c>
      <c r="AZ91" s="43" t="str">
        <f>IF(OR(AY91="N/A",AY91=""),"",IF(OR(F91=Lists!$I$10,F91=Lists!$I$11,F91=Lists!$I$16,F91=Lists!$J$12),"EER",IF(OR(F91=Lists!$I$17,F91=Lists!$I$18),"kW/ton",IF(D91*12000&lt;65000,"SEER","EER"))))</f>
        <v/>
      </c>
      <c r="BA91" s="55" t="str">
        <f>IFERROR(IF(OR(D91="",F91="",W91="",R91="",W91="Please Select",R91="Please Select"),"",VLOOKUP('HVAC Efficiency Tables'!X120&amp;R91&amp;W91,HVACEfficiencies,9,FALSE)),"")</f>
        <v/>
      </c>
      <c r="BB91" s="43" t="str">
        <f>IF(OR(BA91="N/A",BA91=""),"",IF(OR(F91=Lists!$I$10,F91=Lists!$I$11,F91=Lists!$I$16,F91=Lists!$I$17,F91=Lists!$I$18),"",IF(D91&lt;=5,"EER","IEER")))</f>
        <v/>
      </c>
      <c r="BC91" s="43"/>
      <c r="BD91" s="43"/>
      <c r="BE91" s="894" t="str">
        <f t="shared" si="69"/>
        <v/>
      </c>
      <c r="BF91" s="894"/>
      <c r="BG91" s="157" t="s">
        <v>142</v>
      </c>
      <c r="BH91" s="895" t="str">
        <f t="shared" si="70"/>
        <v/>
      </c>
      <c r="BI91" s="895"/>
      <c r="BJ91" s="582"/>
      <c r="BQ91" s="298" t="e">
        <f>VLOOKUP('HVAC Efficiency Tables'!X120&amp;R91&amp;W91,HVACEfficiencies,7,FALSE)</f>
        <v>#N/A</v>
      </c>
      <c r="BR91" s="298">
        <f t="shared" si="62"/>
        <v>599</v>
      </c>
      <c r="BS91" s="298" t="e">
        <f t="shared" si="65"/>
        <v>#N/A</v>
      </c>
      <c r="BT91" s="298" t="e">
        <f t="shared" si="63"/>
        <v>#N/A</v>
      </c>
      <c r="BU91" s="298" t="e">
        <f t="shared" si="64"/>
        <v>#N/A</v>
      </c>
      <c r="BV91" s="300">
        <f t="shared" si="67"/>
        <v>0</v>
      </c>
      <c r="BW91" s="301">
        <f t="shared" si="66"/>
        <v>0</v>
      </c>
      <c r="BY91" s="94"/>
      <c r="BZ91" s="94"/>
      <c r="CA91" s="94"/>
      <c r="CB91" s="900" t="str">
        <f>'HVAC Efficiency Tables'!$Y120</f>
        <v/>
      </c>
      <c r="CC91" s="901"/>
      <c r="CD91" s="901"/>
      <c r="CE91" s="902"/>
      <c r="CF91" s="382"/>
      <c r="CG91" s="900" t="str">
        <f>'HVAC Efficiency Tables'!$Z120</f>
        <v/>
      </c>
      <c r="CH91" s="901"/>
      <c r="CI91" s="901"/>
      <c r="CJ91" s="901"/>
      <c r="CK91" s="901"/>
      <c r="CL91" s="902"/>
      <c r="CM91" s="94"/>
      <c r="CN91" s="94"/>
      <c r="CO91" s="94"/>
      <c r="CP91" s="94"/>
      <c r="CQ91" s="94"/>
      <c r="CR91" s="94"/>
      <c r="CS91" s="94"/>
      <c r="CT91" s="94"/>
      <c r="CU91" s="94"/>
      <c r="CV91" s="94"/>
      <c r="CW91" s="94"/>
      <c r="CX91" s="94"/>
      <c r="CY91" s="94"/>
      <c r="CZ91" s="94"/>
    </row>
    <row r="92" spans="1:178" ht="14.1" hidden="1" customHeight="1">
      <c r="A92" s="54"/>
      <c r="B92" s="64"/>
      <c r="C92" s="333"/>
      <c r="D92" s="64"/>
      <c r="E92" s="231"/>
      <c r="F92" s="903"/>
      <c r="G92" s="903"/>
      <c r="H92" s="903"/>
      <c r="I92" s="903"/>
      <c r="J92" s="903"/>
      <c r="K92" s="903"/>
      <c r="L92" s="903"/>
      <c r="M92" s="903"/>
      <c r="N92" s="903"/>
      <c r="O92" s="903"/>
      <c r="P92" s="903"/>
      <c r="Q92" s="208"/>
      <c r="R92" s="900" t="str">
        <f>'HVAC Efficiency Tables'!$Y121</f>
        <v/>
      </c>
      <c r="S92" s="901"/>
      <c r="T92" s="901"/>
      <c r="U92" s="902"/>
      <c r="V92" s="382"/>
      <c r="W92" s="900" t="str">
        <f>'HVAC Efficiency Tables'!$Z121</f>
        <v/>
      </c>
      <c r="X92" s="901"/>
      <c r="Y92" s="901"/>
      <c r="Z92" s="901"/>
      <c r="AA92" s="901"/>
      <c r="AB92" s="902"/>
      <c r="AC92" s="204"/>
      <c r="AD92" s="890"/>
      <c r="AE92" s="890"/>
      <c r="AF92" s="890"/>
      <c r="AG92" s="890"/>
      <c r="AH92" s="333"/>
      <c r="AI92" s="64"/>
      <c r="AJ92" s="43" t="str">
        <f>IF(OR(D92="",AW92="Ineligible"),"",IF(OR(F92=Lists!$I$10,F92=Lists!$I$11,F92=Lists!$I$16,F92=Lists!$J$12),"EER",IF(OR(F92=Lists!$I$17,F92=Lists!$I$18),"kW/ton",IF(D92*12000&lt;65000,"SEER","EER"))))</f>
        <v/>
      </c>
      <c r="AK92" s="64"/>
      <c r="AL92" s="43" t="str">
        <f>IF(OR(B92="",F92=Lists!$I$10,F92=Lists!$I$11,AW92="Ineligible",AR92="N/A"),"",IF(OR(F92=Lists!$I$16,F92=Lists!$I$17,F92=Lists!$I$18),"",IF(D92&lt;=5,"EER","IEER")))</f>
        <v/>
      </c>
      <c r="AM92" s="43"/>
      <c r="AN92" s="43"/>
      <c r="AO92" s="204"/>
      <c r="AP92" s="55" t="str">
        <f>IFERROR(IF(OR(D92="",F92="",W92="",R92="",W92="Please Select",R92="Please Select"),"",VLOOKUP('HVAC Efficiency Tables'!X121&amp;R92&amp;W92,HVACEfficiencies,3,FALSE)),"")</f>
        <v/>
      </c>
      <c r="AQ92" s="43" t="str">
        <f>IF(OR(AP92="N/A",AP92=""),"",IF(OR(F92=Lists!$I$10,F92=Lists!$I$11,F92=Lists!$I$16,F92=Lists!$J$12),"EER",IF(OR(F92=Lists!$I$17,F92=Lists!$I$18),"kW/ton",IF(D92*12000&lt;65000,"SEER","EER"))))</f>
        <v/>
      </c>
      <c r="AR92" s="55" t="str">
        <f>IFERROR(IF(OR(D92="",F92="",W92="",R92="",W92="Please Select",R92="Please Select"),"",VLOOKUP('HVAC Efficiency Tables'!X121&amp;R92&amp;W92,HVACEfficiencies,8,FALSE)),"")</f>
        <v/>
      </c>
      <c r="AS92" s="43" t="str">
        <f>IF(OR(AR92="N/A",AR92=""),"",IF(OR(F92=Lists!$I$10,F92=Lists!$I$11,F92=Lists!$I$16,F92=Lists!$I$17,F92=Lists!$I$18),"",IF(D92&lt;=5,"EER","IEER")))</f>
        <v/>
      </c>
      <c r="AT92" s="43"/>
      <c r="AU92" s="43"/>
      <c r="AV92" s="43"/>
      <c r="AW92" s="894" t="str">
        <f t="shared" si="68"/>
        <v/>
      </c>
      <c r="AX92" s="894"/>
      <c r="AY92" s="55" t="str">
        <f>IFERROR(IF(OR(D92="",F92="",W92="",R92="",W92="Please Select",R92="Please Select"),"",VLOOKUP('HVAC Efficiency Tables'!X121&amp;R92&amp;W92,HVACEfficiencies,5,FALSE)),"")</f>
        <v/>
      </c>
      <c r="AZ92" s="43" t="str">
        <f>IF(OR(AY92="N/A",AY92=""),"",IF(OR(F92=Lists!$I$10,F92=Lists!$I$11,F92=Lists!$I$16,F92=Lists!$J$12),"EER",IF(OR(F92=Lists!$I$17,F92=Lists!$I$18),"kW/ton",IF(D92*12000&lt;65000,"SEER","EER"))))</f>
        <v/>
      </c>
      <c r="BA92" s="55" t="str">
        <f>IFERROR(IF(OR(D92="",F92="",W92="",R92="",W92="Please Select",R92="Please Select"),"",VLOOKUP('HVAC Efficiency Tables'!X121&amp;R92&amp;W92,HVACEfficiencies,9,FALSE)),"")</f>
        <v/>
      </c>
      <c r="BB92" s="43" t="str">
        <f>IF(OR(BA92="N/A",BA92=""),"",IF(OR(F92=Lists!$I$10,F92=Lists!$I$11,F92=Lists!$I$16,F92=Lists!$I$17,F92=Lists!$I$18),"",IF(D92&lt;=5,"EER","IEER")))</f>
        <v/>
      </c>
      <c r="BC92" s="43"/>
      <c r="BD92" s="43"/>
      <c r="BE92" s="894" t="str">
        <f t="shared" si="69"/>
        <v/>
      </c>
      <c r="BF92" s="894"/>
      <c r="BG92" s="157" t="s">
        <v>142</v>
      </c>
      <c r="BH92" s="895" t="str">
        <f t="shared" si="70"/>
        <v/>
      </c>
      <c r="BI92" s="895"/>
      <c r="BJ92" s="582"/>
      <c r="BQ92" s="298" t="e">
        <f>VLOOKUP('HVAC Efficiency Tables'!X121&amp;R92&amp;W92,HVACEfficiencies,7,FALSE)</f>
        <v>#N/A</v>
      </c>
      <c r="BR92" s="298">
        <f t="shared" si="62"/>
        <v>599</v>
      </c>
      <c r="BS92" s="298" t="e">
        <f t="shared" si="65"/>
        <v>#N/A</v>
      </c>
      <c r="BT92" s="298" t="e">
        <f t="shared" si="63"/>
        <v>#N/A</v>
      </c>
      <c r="BU92" s="298" t="e">
        <f t="shared" si="64"/>
        <v>#N/A</v>
      </c>
      <c r="BV92" s="300">
        <f t="shared" si="67"/>
        <v>0</v>
      </c>
      <c r="BW92" s="301">
        <f t="shared" si="66"/>
        <v>0</v>
      </c>
      <c r="BY92" s="94"/>
      <c r="BZ92" s="94"/>
      <c r="CA92" s="94"/>
      <c r="CB92" s="900" t="str">
        <f>'HVAC Efficiency Tables'!$Y121</f>
        <v/>
      </c>
      <c r="CC92" s="901"/>
      <c r="CD92" s="901"/>
      <c r="CE92" s="902"/>
      <c r="CF92" s="382"/>
      <c r="CG92" s="900" t="str">
        <f>'HVAC Efficiency Tables'!$Z121</f>
        <v/>
      </c>
      <c r="CH92" s="901"/>
      <c r="CI92" s="901"/>
      <c r="CJ92" s="901"/>
      <c r="CK92" s="901"/>
      <c r="CL92" s="902"/>
      <c r="CM92" s="94"/>
      <c r="CN92" s="94"/>
      <c r="CO92" s="94"/>
      <c r="CP92" s="94"/>
      <c r="CQ92" s="94"/>
      <c r="CR92" s="94"/>
      <c r="CS92" s="94"/>
      <c r="CT92" s="94"/>
      <c r="CU92" s="94"/>
      <c r="CV92" s="94"/>
      <c r="CW92" s="94"/>
      <c r="CX92" s="94"/>
      <c r="CY92" s="94"/>
      <c r="CZ92" s="94"/>
    </row>
    <row r="93" spans="1:178" s="22" customFormat="1" ht="15.6" hidden="1" customHeight="1">
      <c r="A93" s="584"/>
      <c r="B93" s="208"/>
      <c r="C93" s="208"/>
      <c r="D93" s="208"/>
      <c r="E93" s="208"/>
      <c r="F93" s="208"/>
      <c r="G93" s="208"/>
      <c r="H93" s="208"/>
      <c r="I93" s="208"/>
      <c r="J93" s="208"/>
      <c r="K93" s="208"/>
      <c r="L93" s="208"/>
      <c r="M93" s="208"/>
      <c r="N93" s="208"/>
      <c r="O93" s="208"/>
      <c r="P93" s="208"/>
      <c r="Q93" s="208"/>
      <c r="R93" s="208"/>
      <c r="S93" s="208"/>
      <c r="T93" s="208"/>
      <c r="U93" s="208"/>
      <c r="V93" s="208"/>
      <c r="W93" s="208"/>
      <c r="X93" s="208"/>
      <c r="Y93" s="208"/>
      <c r="Z93" s="208"/>
      <c r="AA93" s="208"/>
      <c r="AB93" s="208"/>
      <c r="AC93" s="208"/>
      <c r="AD93" s="208"/>
      <c r="AE93" s="208"/>
      <c r="AF93" s="208"/>
      <c r="AG93" s="208"/>
      <c r="AH93" s="208"/>
      <c r="AI93" s="208"/>
      <c r="AJ93" s="208"/>
      <c r="AK93" s="208"/>
      <c r="AL93" s="208"/>
      <c r="AM93" s="678"/>
      <c r="AN93" s="678"/>
      <c r="AO93" s="208"/>
      <c r="AP93" s="208"/>
      <c r="AQ93" s="208"/>
      <c r="AR93" s="208"/>
      <c r="AS93" s="208"/>
      <c r="AT93" s="678"/>
      <c r="AU93" s="678"/>
      <c r="AV93" s="208"/>
      <c r="AW93" s="208"/>
      <c r="AX93" s="208"/>
      <c r="AY93" s="208"/>
      <c r="AZ93" s="208"/>
      <c r="BA93" s="208"/>
      <c r="BB93" s="208"/>
      <c r="BC93" s="678"/>
      <c r="BD93" s="678"/>
      <c r="BE93" s="208"/>
      <c r="BF93" s="208"/>
      <c r="BG93" s="157"/>
      <c r="BH93" s="414"/>
      <c r="BI93" s="414"/>
      <c r="BJ93" s="53"/>
      <c r="BK93" s="1"/>
      <c r="BL93" s="1"/>
      <c r="BM93" s="1"/>
      <c r="BN93" s="1"/>
      <c r="BQ93" s="928"/>
      <c r="BR93" s="928"/>
      <c r="BS93" s="928"/>
      <c r="BT93" s="928"/>
      <c r="BU93" s="928"/>
      <c r="BV93" s="928"/>
      <c r="BW93" s="928"/>
      <c r="BY93" s="102"/>
      <c r="BZ93" s="102"/>
      <c r="CA93" s="102"/>
      <c r="CB93" s="208"/>
      <c r="CC93" s="208"/>
      <c r="CD93" s="208"/>
      <c r="CE93" s="208"/>
      <c r="CF93" s="208"/>
      <c r="CG93" s="208"/>
      <c r="CH93" s="208"/>
      <c r="CI93" s="208"/>
      <c r="CJ93" s="208"/>
      <c r="CK93" s="208"/>
      <c r="CL93" s="208"/>
      <c r="CM93" s="102"/>
      <c r="CN93" s="102"/>
      <c r="CO93" s="102"/>
      <c r="CP93" s="102"/>
      <c r="CQ93" s="102"/>
      <c r="CR93" s="102"/>
      <c r="CS93" s="102"/>
      <c r="CT93" s="102"/>
      <c r="CU93" s="102"/>
      <c r="CV93" s="102"/>
      <c r="CW93" s="102"/>
      <c r="CX93" s="102"/>
      <c r="CY93" s="102"/>
      <c r="CZ93" s="102"/>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row>
    <row r="94" spans="1:178" s="22" customFormat="1" ht="15.6" hidden="1" customHeight="1">
      <c r="A94" s="584"/>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c r="Z94" s="208"/>
      <c r="AA94" s="208"/>
      <c r="AB94" s="208"/>
      <c r="AC94" s="208"/>
      <c r="AD94" s="208"/>
      <c r="AE94" s="208"/>
      <c r="AF94" s="208"/>
      <c r="AG94" s="208"/>
      <c r="AH94" s="208"/>
      <c r="AI94" s="208"/>
      <c r="AJ94" s="208"/>
      <c r="AK94" s="208"/>
      <c r="AL94" s="208"/>
      <c r="AM94" s="678"/>
      <c r="AN94" s="678"/>
      <c r="AO94" s="208"/>
      <c r="AP94" s="921" t="s">
        <v>2655</v>
      </c>
      <c r="AQ94" s="921"/>
      <c r="AR94" s="921"/>
      <c r="AS94" s="921"/>
      <c r="AT94" s="921"/>
      <c r="AU94" s="921"/>
      <c r="AV94" s="921"/>
      <c r="AW94" s="921"/>
      <c r="AX94" s="921"/>
      <c r="AY94" s="921"/>
      <c r="AZ94" s="921"/>
      <c r="BA94" s="921"/>
      <c r="BB94" s="921"/>
      <c r="BC94" s="921"/>
      <c r="BD94" s="921"/>
      <c r="BE94" s="921"/>
      <c r="BF94" s="921"/>
      <c r="BG94" s="882" t="s">
        <v>2723</v>
      </c>
      <c r="BH94" s="882"/>
      <c r="BI94" s="882"/>
      <c r="BJ94" s="53"/>
      <c r="BK94" s="1"/>
      <c r="BL94" s="1"/>
      <c r="BM94" s="1"/>
      <c r="BN94" s="1"/>
      <c r="BQ94" s="928" t="s">
        <v>2724</v>
      </c>
      <c r="BR94" s="928"/>
      <c r="BS94" s="928"/>
      <c r="BT94" s="928"/>
      <c r="BU94" s="928"/>
      <c r="BV94" s="928"/>
      <c r="BW94" s="928"/>
      <c r="BY94" s="102"/>
      <c r="BZ94" s="102"/>
      <c r="CA94" s="102"/>
      <c r="CB94" s="208"/>
      <c r="CC94" s="208"/>
      <c r="CD94" s="208"/>
      <c r="CE94" s="208"/>
      <c r="CF94" s="208"/>
      <c r="CG94" s="208"/>
      <c r="CH94" s="208"/>
      <c r="CI94" s="208"/>
      <c r="CJ94" s="208"/>
      <c r="CK94" s="208"/>
      <c r="CL94" s="208"/>
      <c r="CM94" s="102"/>
      <c r="CN94" s="102"/>
      <c r="CO94" s="102"/>
      <c r="CP94" s="102"/>
      <c r="CQ94" s="102"/>
      <c r="CR94" s="102"/>
      <c r="CS94" s="102"/>
      <c r="CT94" s="102"/>
      <c r="CU94" s="102"/>
      <c r="CV94" s="102"/>
      <c r="CW94" s="102"/>
      <c r="CX94" s="102"/>
      <c r="CY94" s="102"/>
      <c r="CZ94" s="102"/>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row>
    <row r="95" spans="1:178" s="22" customFormat="1" ht="22.5" hidden="1">
      <c r="A95" s="519" t="s">
        <v>2725</v>
      </c>
      <c r="B95" s="208"/>
      <c r="C95" s="49"/>
      <c r="D95" s="208"/>
      <c r="E95" s="208"/>
      <c r="F95" s="50"/>
      <c r="G95" s="50"/>
      <c r="H95" s="50"/>
      <c r="I95" s="50"/>
      <c r="J95" s="50"/>
      <c r="K95" s="50"/>
      <c r="L95" s="50"/>
      <c r="M95" s="50"/>
      <c r="N95" s="50"/>
      <c r="O95" s="50"/>
      <c r="P95" s="50"/>
      <c r="Q95" s="208"/>
      <c r="R95" s="909" t="s">
        <v>2714</v>
      </c>
      <c r="S95" s="909"/>
      <c r="T95" s="909"/>
      <c r="U95" s="909"/>
      <c r="V95" s="204"/>
      <c r="W95" s="909" t="s">
        <v>2680</v>
      </c>
      <c r="X95" s="909"/>
      <c r="Y95" s="909"/>
      <c r="Z95" s="909"/>
      <c r="AA95" s="909"/>
      <c r="AB95" s="909"/>
      <c r="AC95" s="204"/>
      <c r="AD95" s="204"/>
      <c r="AE95" s="204"/>
      <c r="AF95" s="204"/>
      <c r="AG95" s="204"/>
      <c r="AH95" s="51"/>
      <c r="AI95" s="51" t="s">
        <v>2715</v>
      </c>
      <c r="AJ95" s="204"/>
      <c r="AK95" s="52" t="s">
        <v>2716</v>
      </c>
      <c r="AL95" s="204"/>
      <c r="AM95" s="677"/>
      <c r="AN95" s="677"/>
      <c r="AO95" s="204"/>
      <c r="AP95" s="910" t="s">
        <v>2683</v>
      </c>
      <c r="AQ95" s="910"/>
      <c r="AR95" s="910"/>
      <c r="AS95" s="910"/>
      <c r="AT95" s="910"/>
      <c r="AU95" s="910"/>
      <c r="AV95" s="910"/>
      <c r="AW95" s="910"/>
      <c r="AX95" s="910"/>
      <c r="AY95" s="921"/>
      <c r="AZ95" s="921"/>
      <c r="BA95" s="921"/>
      <c r="BB95" s="921"/>
      <c r="BC95" s="921"/>
      <c r="BD95" s="921"/>
      <c r="BE95" s="921"/>
      <c r="BF95" s="921"/>
      <c r="BG95" s="882"/>
      <c r="BH95" s="882"/>
      <c r="BI95" s="882"/>
      <c r="BJ95" s="53"/>
      <c r="BK95" s="1"/>
      <c r="BL95" s="1"/>
      <c r="BM95" s="1"/>
      <c r="BN95" s="1"/>
      <c r="BQ95" s="84"/>
      <c r="BR95" s="84"/>
      <c r="BS95" s="84"/>
      <c r="BT95" s="84"/>
      <c r="BU95" s="84"/>
      <c r="BV95" s="84"/>
      <c r="BW95" s="84"/>
      <c r="BY95" s="102"/>
      <c r="BZ95" s="102"/>
      <c r="CA95" s="102"/>
      <c r="CB95" s="909" t="s">
        <v>2714</v>
      </c>
      <c r="CC95" s="909"/>
      <c r="CD95" s="909"/>
      <c r="CE95" s="909"/>
      <c r="CF95" s="204"/>
      <c r="CG95" s="909" t="s">
        <v>2680</v>
      </c>
      <c r="CH95" s="909"/>
      <c r="CI95" s="909"/>
      <c r="CJ95" s="909"/>
      <c r="CK95" s="909"/>
      <c r="CL95" s="909"/>
      <c r="CM95" s="102"/>
      <c r="CN95" s="102"/>
      <c r="CO95" s="102"/>
      <c r="CP95" s="102"/>
      <c r="CQ95" s="102"/>
      <c r="CR95" s="102"/>
      <c r="CS95" s="102"/>
      <c r="CT95" s="102"/>
      <c r="CU95" s="102"/>
      <c r="CV95" s="102"/>
      <c r="CW95" s="102"/>
      <c r="CX95" s="102"/>
      <c r="CY95" s="102"/>
      <c r="CZ95" s="102"/>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row>
    <row r="96" spans="1:178" s="22" customFormat="1" ht="26.25" hidden="1">
      <c r="A96" s="48"/>
      <c r="B96" s="159" t="s">
        <v>2661</v>
      </c>
      <c r="C96" s="411"/>
      <c r="D96" s="159" t="s">
        <v>2662</v>
      </c>
      <c r="E96" s="159"/>
      <c r="F96" s="159" t="s">
        <v>2717</v>
      </c>
      <c r="G96" s="50"/>
      <c r="H96" s="50"/>
      <c r="I96" s="50"/>
      <c r="J96" s="50"/>
      <c r="K96" s="50"/>
      <c r="L96" s="50"/>
      <c r="M96" s="50"/>
      <c r="N96" s="50"/>
      <c r="O96" s="50"/>
      <c r="P96" s="50"/>
      <c r="Q96" s="208"/>
      <c r="R96" s="909"/>
      <c r="S96" s="909"/>
      <c r="T96" s="909"/>
      <c r="U96" s="909"/>
      <c r="V96" s="204"/>
      <c r="W96" s="909"/>
      <c r="X96" s="909"/>
      <c r="Y96" s="909"/>
      <c r="Z96" s="909"/>
      <c r="AA96" s="909"/>
      <c r="AB96" s="909"/>
      <c r="AC96" s="204"/>
      <c r="AD96" s="159" t="s">
        <v>2664</v>
      </c>
      <c r="AE96" s="197"/>
      <c r="AF96" s="159"/>
      <c r="AG96" s="159"/>
      <c r="AH96" s="410"/>
      <c r="AI96" s="159" t="s">
        <v>2665</v>
      </c>
      <c r="AJ96" s="197"/>
      <c r="AK96" s="159" t="s">
        <v>2665</v>
      </c>
      <c r="AL96" s="204"/>
      <c r="AM96" s="677"/>
      <c r="AN96" s="677"/>
      <c r="AO96" s="204"/>
      <c r="AP96" s="911" t="s">
        <v>2726</v>
      </c>
      <c r="AQ96" s="911"/>
      <c r="AR96" s="911"/>
      <c r="AS96" s="911"/>
      <c r="AT96" s="911"/>
      <c r="AU96" s="911"/>
      <c r="AV96" s="911"/>
      <c r="AW96" s="911"/>
      <c r="AX96" s="50"/>
      <c r="AY96" s="779"/>
      <c r="AZ96" s="779"/>
      <c r="BA96" s="779"/>
      <c r="BB96" s="779"/>
      <c r="BC96" s="779"/>
      <c r="BD96" s="779"/>
      <c r="BE96" s="779"/>
      <c r="BF96" s="50"/>
      <c r="BG96" s="882"/>
      <c r="BH96" s="882"/>
      <c r="BI96" s="882"/>
      <c r="BJ96" s="53"/>
      <c r="BK96" s="1"/>
      <c r="BL96" s="1"/>
      <c r="BM96" s="1"/>
      <c r="BN96" s="1"/>
      <c r="BQ96" s="297" t="s">
        <v>2718</v>
      </c>
      <c r="BR96" s="306" t="s">
        <v>2719</v>
      </c>
      <c r="BS96" s="306" t="s">
        <v>2720</v>
      </c>
      <c r="BT96" s="306" t="s">
        <v>2721</v>
      </c>
      <c r="BU96" s="306" t="s">
        <v>2722</v>
      </c>
      <c r="BV96" s="306" t="s">
        <v>2687</v>
      </c>
      <c r="BW96" s="307" t="s">
        <v>2688</v>
      </c>
      <c r="BY96" s="102"/>
      <c r="BZ96" s="102"/>
      <c r="CA96" s="102"/>
      <c r="CB96" s="909"/>
      <c r="CC96" s="909"/>
      <c r="CD96" s="909"/>
      <c r="CE96" s="909"/>
      <c r="CF96" s="204"/>
      <c r="CG96" s="909"/>
      <c r="CH96" s="909"/>
      <c r="CI96" s="909"/>
      <c r="CJ96" s="909"/>
      <c r="CK96" s="909"/>
      <c r="CL96" s="909"/>
      <c r="CM96" s="102"/>
      <c r="CN96" s="102"/>
      <c r="CO96" s="102"/>
      <c r="CP96" s="102"/>
      <c r="CQ96" s="102"/>
      <c r="CR96" s="102"/>
      <c r="CS96" s="102"/>
      <c r="CT96" s="102"/>
      <c r="CU96" s="102"/>
      <c r="CV96" s="102"/>
      <c r="CW96" s="102"/>
      <c r="CX96" s="102"/>
      <c r="CY96" s="102"/>
      <c r="CZ96" s="102"/>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row>
    <row r="97" spans="1:178" ht="14.1" hidden="1" customHeight="1">
      <c r="A97" s="54"/>
      <c r="B97" s="64"/>
      <c r="C97" s="333"/>
      <c r="D97" s="64"/>
      <c r="E97" s="231"/>
      <c r="F97" s="903"/>
      <c r="G97" s="903"/>
      <c r="H97" s="903"/>
      <c r="I97" s="903"/>
      <c r="J97" s="903"/>
      <c r="K97" s="903"/>
      <c r="L97" s="903"/>
      <c r="M97" s="903"/>
      <c r="N97" s="903"/>
      <c r="O97" s="903"/>
      <c r="P97" s="903"/>
      <c r="Q97" s="208"/>
      <c r="R97" s="900" t="str">
        <f>'HVAC Efficiency Tables'!$Y124</f>
        <v/>
      </c>
      <c r="S97" s="901"/>
      <c r="T97" s="901"/>
      <c r="U97" s="902"/>
      <c r="V97" s="382"/>
      <c r="W97" s="900" t="str">
        <f>'HVAC Efficiency Tables'!$Z124</f>
        <v/>
      </c>
      <c r="X97" s="901"/>
      <c r="Y97" s="901"/>
      <c r="Z97" s="901"/>
      <c r="AA97" s="901"/>
      <c r="AB97" s="902"/>
      <c r="AC97" s="204"/>
      <c r="AD97" s="890"/>
      <c r="AE97" s="890"/>
      <c r="AF97" s="890"/>
      <c r="AG97" s="890"/>
      <c r="AH97" s="333"/>
      <c r="AI97" s="64"/>
      <c r="AJ97" s="43" t="str">
        <f>IF(OR(D97="",AW97="Ineligible"),"",IF(OR(F97=Lists!$I$11,F97=Lists!$I$16,F97=Lists!$J$12,F97=Lists!$I$13,F97=Lists!$I$14),"EER",IF(OR(F97=Lists!$I$17,F97=Lists!$I$18),"kW/ton",IF(D97*12000&lt;65000,"SEER","EER"))))</f>
        <v/>
      </c>
      <c r="AK97" s="64"/>
      <c r="AL97" s="43" t="str">
        <f>IF(OR(B97="",AW97="Ineligible",AR97="N/A"),"",IF(OR(F97=Lists!$I$16,F97=Lists!$I$17,F97=Lists!$I$18),"",IF(D97&lt;=5,"EER","IEER")))</f>
        <v/>
      </c>
      <c r="AM97" s="43"/>
      <c r="AN97" s="43"/>
      <c r="AO97" s="204"/>
      <c r="AP97" s="55" t="str">
        <f>IFERROR(IF(OR(D97="",F97="",W97="",R97="",W97="Please Select",R97="Please Select"),"",VLOOKUP('HVAC Efficiency Tables'!X124&amp;R97&amp;W97,HVACEfficiencies,3,FALSE)),"")</f>
        <v/>
      </c>
      <c r="AQ97" s="43" t="str">
        <f>IF(OR(AP97="N/A",AP97=""),"",IF(OR(F97=Lists!$I$11,F97=Lists!$I$16,F97=Lists!$J$12,F97=Lists!$I$13,F97=Lists!$I$14),"EER",IF(OR(F97=Lists!$I$17,F97=Lists!$I$18),"kW/ton",IF(D97*12000&lt;65000,"SEER","EER"))))</f>
        <v/>
      </c>
      <c r="AR97" s="55" t="str">
        <f>IFERROR(IF(OR(D97="",F97="",W97="",R97="",W97="Please Select",R97="Please Select"),"",VLOOKUP('HVAC Efficiency Tables'!X124&amp;R97&amp;W97,HVACEfficiencies,8,FALSE)),"")</f>
        <v/>
      </c>
      <c r="AS97" s="43" t="str">
        <f>IF(OR(AR97="N/A",AR97=""),"",IF(OR(F97=Lists!$I$16,F97=Lists!$I$17,F97=Lists!$I$18),"",IF(D97&lt;=5,"EER","IEER")))</f>
        <v/>
      </c>
      <c r="AT97" s="43"/>
      <c r="AU97" s="43"/>
      <c r="AV97" s="43"/>
      <c r="AW97" s="894" t="str">
        <f>IF(AND($BR$1="OR",F97&lt;&gt;""),"ID Only*",IF(AND(F97="Heat Pumps, Water-Cooled",(D97*12000)&gt;134999),"Ineligible",IF(AR97="N/A",IF($AP97&lt;=AI97,"Qualified","Not Qualified"),IF(AND($AP97="",$AR97=""),"",IF(AND($AP97&lt;=$AI97,$AR97&lt;=$AK97),"Qualified","Not Qualified")))))</f>
        <v/>
      </c>
      <c r="AX97" s="894"/>
      <c r="AY97" s="463" t="str">
        <f>IFERROR(IF(OR(D97="",F97="",W97="",R97="",W97="Please Select",R97="Please Select"),"",VLOOKUP('HVAC Efficiency Tables'!X124&amp;R97&amp;W97,HVACEfficiencies,5,FALSE)),"")</f>
        <v/>
      </c>
      <c r="AZ97" s="420" t="str">
        <f>IF(OR(AY97="N/A",AY97=""),"",IF(F97=Lists!$I$16,"EER",IF(OR(F97=Lists!$I$17,F97=Lists!$I$18),"kW/ton",IF(D97*12000&lt;65000,"SEER","EER"))))</f>
        <v/>
      </c>
      <c r="BA97" s="463" t="str">
        <f>IFERROR(IF(OR(D97="",F97="",W97="",R97="",W97="Please Select",R97="Please Select"),"",VLOOKUP('HVAC Efficiency Tables'!X124&amp;R97&amp;W97,HVACEfficiencies,9,FALSE)),"")</f>
        <v/>
      </c>
      <c r="BB97" s="420" t="str">
        <f>IF(OR(AY97="N/A",AY97=""),"",IF(OR(F97=Lists!$I$16,F97=Lists!$I$17,F97=Lists!$I$18),"",IF(D97&lt;=5,"EER","IEER")))</f>
        <v/>
      </c>
      <c r="BC97" s="673"/>
      <c r="BD97" s="673"/>
      <c r="BE97" s="904" t="str">
        <f>IF(AND($BR$1="OR",F97&lt;&gt;""),"ID Only*",IF(OR(AI97="",$AY97="",$AY97="N/A"),"",IF(AND($AY97&lt;=AI97,OR($BA97&lt;=AK97,$BA97="N/A")),"Qualified","Not Qualified")))</f>
        <v/>
      </c>
      <c r="BF97" s="904"/>
      <c r="BG97" s="157" t="s">
        <v>142</v>
      </c>
      <c r="BH97" s="895" t="str">
        <f>IF(AW97="ID Only*","ID Only*",IF(AND(F97="Unitary Commercial Air Conditioners, Water-Cooled",AW97="Qualified"),D97*B97*40,IF(AND(F97="Heat Pumps, Water-Cooled",AW97="Qualified"),B97*D97*100,"")))</f>
        <v/>
      </c>
      <c r="BI97" s="895"/>
      <c r="BJ97" s="582"/>
      <c r="BQ97" s="298" t="e">
        <f>VLOOKUP('HVAC Efficiency Tables'!X124&amp;R97&amp;W97,HVACEfficiencies,7,FALSE)</f>
        <v>#N/A</v>
      </c>
      <c r="BR97" s="298">
        <f t="shared" ref="BR97:BR106" si="71">IF($BX$1="",0,VLOOKUP($BX$1,CoolingHours,3,FALSE))</f>
        <v>599</v>
      </c>
      <c r="BS97" s="298" t="e">
        <f t="shared" ref="BS97:BS106" si="72">B97*D97*(1/BQ97-1/AI97)*12000/1000*BR97</f>
        <v>#N/A</v>
      </c>
      <c r="BT97" s="298" t="e">
        <f t="shared" ref="BT97:BT106" si="73">B97*D97*(1/(BQ97*0.857)-1/(AI97*0.857))*12000/1000*BR97</f>
        <v>#N/A</v>
      </c>
      <c r="BU97" s="298" t="e">
        <f t="shared" ref="BU97:BU106" si="74">B97*D97*(BQ97-AI97)*BR97</f>
        <v>#N/A</v>
      </c>
      <c r="BV97" s="617">
        <f>IF(OR(BE97="Qualified",AW97="Qualified"),IF(AJ97="EER",BS97,IF(AJ97="SEER",BT97,IF(AJ97="kW/ton",BU97,0))),0)</f>
        <v>0</v>
      </c>
      <c r="BW97" s="301">
        <f>IF(BR97=0,"Select Bldg Type",BV97/BR97)</f>
        <v>0</v>
      </c>
      <c r="BY97" s="94"/>
      <c r="BZ97" s="94"/>
      <c r="CA97" s="94"/>
      <c r="CB97" s="900" t="str">
        <f>'HVAC Efficiency Tables'!$Y124</f>
        <v/>
      </c>
      <c r="CC97" s="901"/>
      <c r="CD97" s="901"/>
      <c r="CE97" s="902"/>
      <c r="CF97" s="382"/>
      <c r="CG97" s="900" t="str">
        <f>'HVAC Efficiency Tables'!$Z124</f>
        <v/>
      </c>
      <c r="CH97" s="901"/>
      <c r="CI97" s="901"/>
      <c r="CJ97" s="901"/>
      <c r="CK97" s="901"/>
      <c r="CL97" s="902"/>
      <c r="CM97" s="94"/>
      <c r="CN97" s="94"/>
      <c r="CO97" s="94"/>
      <c r="CP97" s="94"/>
      <c r="CQ97" s="94"/>
      <c r="CR97" s="94"/>
      <c r="CS97" s="94"/>
      <c r="CT97" s="94"/>
      <c r="CU97" s="94"/>
      <c r="CV97" s="94"/>
      <c r="CW97" s="94"/>
      <c r="CX97" s="94"/>
      <c r="CY97" s="94"/>
      <c r="CZ97" s="94"/>
    </row>
    <row r="98" spans="1:178" ht="14.1" hidden="1" customHeight="1">
      <c r="A98" s="54"/>
      <c r="B98" s="64"/>
      <c r="C98" s="333"/>
      <c r="D98" s="64"/>
      <c r="E98" s="231"/>
      <c r="F98" s="903"/>
      <c r="G98" s="903"/>
      <c r="H98" s="903"/>
      <c r="I98" s="903"/>
      <c r="J98" s="903"/>
      <c r="K98" s="903"/>
      <c r="L98" s="903"/>
      <c r="M98" s="903"/>
      <c r="N98" s="903"/>
      <c r="O98" s="903"/>
      <c r="P98" s="903"/>
      <c r="Q98" s="208"/>
      <c r="R98" s="900" t="str">
        <f>'HVAC Efficiency Tables'!$Y125</f>
        <v/>
      </c>
      <c r="S98" s="901"/>
      <c r="T98" s="901"/>
      <c r="U98" s="902"/>
      <c r="V98" s="382"/>
      <c r="W98" s="900" t="str">
        <f>'HVAC Efficiency Tables'!$Z125</f>
        <v/>
      </c>
      <c r="X98" s="901"/>
      <c r="Y98" s="901"/>
      <c r="Z98" s="901"/>
      <c r="AA98" s="901"/>
      <c r="AB98" s="902"/>
      <c r="AC98" s="204"/>
      <c r="AD98" s="890"/>
      <c r="AE98" s="890"/>
      <c r="AF98" s="890"/>
      <c r="AG98" s="890"/>
      <c r="AH98" s="333"/>
      <c r="AI98" s="64"/>
      <c r="AJ98" s="43" t="str">
        <f>IF(OR(D98="",AW98="Ineligible"),"",IF(OR(F98=Lists!$I$11,F98=Lists!$I$16,F98=Lists!$J$12,F98=Lists!$I$13,F98=Lists!$I$14),"EER",IF(OR(F98=Lists!$I$17,F98=Lists!$I$18),"kW/ton",IF(D98*12000&lt;65000,"SEER","EER"))))</f>
        <v/>
      </c>
      <c r="AK98" s="64"/>
      <c r="AL98" s="43" t="str">
        <f>IF(OR(B98="",AW98="Ineligible",AR98="N/A"),"",IF(OR(F98=Lists!$I$16,F98=Lists!$I$17,F98=Lists!$I$18),"",IF(D98&lt;=5,"EER","IEER")))</f>
        <v/>
      </c>
      <c r="AM98" s="43"/>
      <c r="AN98" s="43"/>
      <c r="AO98" s="204"/>
      <c r="AP98" s="55" t="str">
        <f>IFERROR(IF(OR(D98="",F98="",W98="",R98="",W98="Please Select",R98="Please Select"),"",VLOOKUP('HVAC Efficiency Tables'!X125&amp;R98&amp;W98,HVACEfficiencies,3,FALSE)),"")</f>
        <v/>
      </c>
      <c r="AQ98" s="43" t="str">
        <f>IF(OR(AP98="N/A",AP98=""),"",IF(OR(F98=Lists!$I$11,F98=Lists!$I$16,F98=Lists!$J$12,F98=Lists!$I$13,F98=Lists!$I$14),"EER",IF(OR(F98=Lists!$I$17,F98=Lists!$I$18),"kW/ton",IF(D98*12000&lt;65000,"SEER","EER"))))</f>
        <v/>
      </c>
      <c r="AR98" s="55" t="str">
        <f>IFERROR(IF(OR(D98="",F98="",W98="",R98="",W98="Please Select",R98="Please Select"),"",VLOOKUP('HVAC Efficiency Tables'!X125&amp;R98&amp;W98,HVACEfficiencies,8,FALSE)),"")</f>
        <v/>
      </c>
      <c r="AS98" s="43" t="str">
        <f>IF(OR(AR98="N/A",AR98=""),"",IF(OR(F98=Lists!$I$16,F98=Lists!$I$17,F98=Lists!$I$18),"",IF(D98&lt;=5,"EER","IEER")))</f>
        <v/>
      </c>
      <c r="AT98" s="43"/>
      <c r="AU98" s="43"/>
      <c r="AV98" s="43"/>
      <c r="AW98" s="894" t="str">
        <f t="shared" ref="AW98:AW106" si="75">IF(AND($BR$1="OR",F98&lt;&gt;""),"ID Only*",IF(AND(F98="Heat Pumps, Water-Cooled",(D98*12000)&gt;134999),"Ineligible",IF(AR98="N/A",IF($AP98&lt;=AI98,"Qualified","Not Qualified"),IF(AND($AP98="",$AR98=""),"",IF(AND($AP98&lt;=$AI98,$AR98&lt;=$AK98),"Qualified","Not Qualified")))))</f>
        <v/>
      </c>
      <c r="AX98" s="894"/>
      <c r="AY98" s="463" t="str">
        <f>IFERROR(IF(OR(D98="",F98="",W98="",R98="",W98="Please Select",R98="Please Select"),"",VLOOKUP('HVAC Efficiency Tables'!X125&amp;R98&amp;W98,HVACEfficiencies,5,FALSE)),"")</f>
        <v/>
      </c>
      <c r="AZ98" s="420" t="str">
        <f>IF(OR(AY98="N/A",AY98=""),"",IF(F98=Lists!$I$16,"EER",IF(OR(F98=Lists!$I$17,F98=Lists!$I$18),"kW/ton",IF(D98*12000&lt;65000,"SEER","EER"))))</f>
        <v/>
      </c>
      <c r="BA98" s="463" t="str">
        <f>IFERROR(IF(OR(D98="",F98="",W98="",R98="",W98="Please Select",R98="Please Select"),"",VLOOKUP('HVAC Efficiency Tables'!X125&amp;R98&amp;W98,HVACEfficiencies,9,FALSE)),"")</f>
        <v/>
      </c>
      <c r="BB98" s="420" t="str">
        <f>IF(OR(AY98="N/A",AY98=""),"",IF(OR(F98=Lists!$I$16,F98=Lists!$I$17,F98=Lists!$I$18),"",IF(D98&lt;=5,"EER","IEER")))</f>
        <v/>
      </c>
      <c r="BC98" s="673"/>
      <c r="BD98" s="673"/>
      <c r="BE98" s="904" t="str">
        <f t="shared" ref="BE98:BE106" si="76">IF(AND($BR$1="OR",F98&lt;&gt;""),"ID Only*",IF(OR(AI98="",$AY98="",$AY98="N/A"),"",IF(AND($AY98&lt;=AI98,OR($BA98&lt;=AK98,$BA98="N/A")),"Qualified","Not Qualified")))</f>
        <v/>
      </c>
      <c r="BF98" s="904"/>
      <c r="BG98" s="157" t="s">
        <v>142</v>
      </c>
      <c r="BH98" s="895" t="str">
        <f t="shared" ref="BH98:BH106" si="77">IF(AW98="ID Only*","ID Only*",IF(AND(F98="Unitary Commercial Air Conditioners, Water-Cooled",AW98="Qualified"),D98*B98*40,IF(AND(F98="Heat Pumps, Water-Cooled",AW98="Qualified"),B98*D98*100,"")))</f>
        <v/>
      </c>
      <c r="BI98" s="895"/>
      <c r="BJ98" s="582"/>
      <c r="BQ98" s="298" t="e">
        <f>VLOOKUP('HVAC Efficiency Tables'!X125&amp;R98&amp;W98,HVACEfficiencies,7,FALSE)</f>
        <v>#N/A</v>
      </c>
      <c r="BR98" s="298">
        <f t="shared" si="71"/>
        <v>599</v>
      </c>
      <c r="BS98" s="298" t="e">
        <f t="shared" si="72"/>
        <v>#N/A</v>
      </c>
      <c r="BT98" s="298" t="e">
        <f t="shared" si="73"/>
        <v>#N/A</v>
      </c>
      <c r="BU98" s="298" t="e">
        <f t="shared" si="74"/>
        <v>#N/A</v>
      </c>
      <c r="BV98" s="617">
        <f>IF(OR(BE98="Qualified",AW98="Qualified"),IF(AJ98="EER",BS98,IF(AJ98="SEER",BT98,IF(AJ98="kW/ton",BU98,0))),0)</f>
        <v>0</v>
      </c>
      <c r="BW98" s="301">
        <f t="shared" ref="BW98:BW106" si="78">IF(BR98=0,"Select Bldg Type",BV98/BR98)</f>
        <v>0</v>
      </c>
      <c r="BY98" s="94"/>
      <c r="BZ98" s="94"/>
      <c r="CA98" s="94"/>
      <c r="CB98" s="900" t="str">
        <f>'HVAC Efficiency Tables'!$Y125</f>
        <v/>
      </c>
      <c r="CC98" s="901"/>
      <c r="CD98" s="901"/>
      <c r="CE98" s="902"/>
      <c r="CF98" s="382"/>
      <c r="CG98" s="900" t="str">
        <f>'HVAC Efficiency Tables'!$Z125</f>
        <v/>
      </c>
      <c r="CH98" s="901"/>
      <c r="CI98" s="901"/>
      <c r="CJ98" s="901"/>
      <c r="CK98" s="901"/>
      <c r="CL98" s="902"/>
      <c r="CM98" s="94"/>
      <c r="CN98" s="94"/>
      <c r="CO98" s="94"/>
      <c r="CP98" s="94"/>
      <c r="CQ98" s="94"/>
      <c r="CR98" s="94"/>
      <c r="CS98" s="94"/>
      <c r="CT98" s="94"/>
      <c r="CU98" s="94"/>
      <c r="CV98" s="94"/>
      <c r="CW98" s="94"/>
      <c r="CX98" s="94"/>
      <c r="CY98" s="94"/>
      <c r="CZ98" s="94"/>
    </row>
    <row r="99" spans="1:178" ht="14.1" hidden="1" customHeight="1">
      <c r="A99" s="54"/>
      <c r="B99" s="64"/>
      <c r="C99" s="333"/>
      <c r="D99" s="64"/>
      <c r="E99" s="231"/>
      <c r="F99" s="903"/>
      <c r="G99" s="903"/>
      <c r="H99" s="903"/>
      <c r="I99" s="903"/>
      <c r="J99" s="903"/>
      <c r="K99" s="903"/>
      <c r="L99" s="903"/>
      <c r="M99" s="903"/>
      <c r="N99" s="903"/>
      <c r="O99" s="903"/>
      <c r="P99" s="903"/>
      <c r="Q99" s="208"/>
      <c r="R99" s="900" t="str">
        <f>'HVAC Efficiency Tables'!$Y126</f>
        <v/>
      </c>
      <c r="S99" s="901"/>
      <c r="T99" s="901"/>
      <c r="U99" s="902"/>
      <c r="V99" s="382"/>
      <c r="W99" s="900" t="str">
        <f>'HVAC Efficiency Tables'!$Z126</f>
        <v/>
      </c>
      <c r="X99" s="901"/>
      <c r="Y99" s="901"/>
      <c r="Z99" s="901"/>
      <c r="AA99" s="901"/>
      <c r="AB99" s="902"/>
      <c r="AC99" s="204"/>
      <c r="AD99" s="890"/>
      <c r="AE99" s="890"/>
      <c r="AF99" s="890"/>
      <c r="AG99" s="890"/>
      <c r="AH99" s="333"/>
      <c r="AI99" s="64"/>
      <c r="AJ99" s="43" t="str">
        <f>IF(OR(D99="",AW99="Ineligible"),"",IF(OR(F99=Lists!$I$11,F99=Lists!$I$16,F99=Lists!$J$12,F99=Lists!$I$13,F99=Lists!$I$14),"EER",IF(OR(F99=Lists!$I$17,F99=Lists!$I$18),"kW/ton",IF(D99*12000&lt;65000,"SEER","EER"))))</f>
        <v/>
      </c>
      <c r="AK99" s="64"/>
      <c r="AL99" s="43" t="str">
        <f>IF(OR(B99="",AW99="Ineligible",AR99="N/A"),"",IF(OR(F99=Lists!$I$16,F99=Lists!$I$17,F99=Lists!$I$18),"",IF(D99&lt;=5,"EER","IEER")))</f>
        <v/>
      </c>
      <c r="AM99" s="43"/>
      <c r="AN99" s="43"/>
      <c r="AO99" s="204"/>
      <c r="AP99" s="55" t="str">
        <f>IFERROR(IF(OR(D99="",F99="",W99="",R99="",W99="Please Select",R99="Please Select"),"",VLOOKUP('HVAC Efficiency Tables'!X126&amp;R99&amp;W99,HVACEfficiencies,3,FALSE)),"")</f>
        <v/>
      </c>
      <c r="AQ99" s="43" t="str">
        <f>IF(OR(AP99="N/A",AP99=""),"",IF(OR(F99=Lists!$I$11,F99=Lists!$I$16,F99=Lists!$J$12,F99=Lists!$I$13,F99=Lists!$I$14),"EER",IF(OR(F99=Lists!$I$17,F99=Lists!$I$18),"kW/ton",IF(D99*12000&lt;65000,"SEER","EER"))))</f>
        <v/>
      </c>
      <c r="AR99" s="55" t="str">
        <f>IFERROR(IF(OR(D99="",F99="",W99="",R99="",W99="Please Select",R99="Please Select"),"",VLOOKUP('HVAC Efficiency Tables'!X126&amp;R99&amp;W99,HVACEfficiencies,8,FALSE)),"")</f>
        <v/>
      </c>
      <c r="AS99" s="43" t="str">
        <f>IF(OR(AR99="N/A",AR99=""),"",IF(OR(F99=Lists!$I$16,F99=Lists!$I$17,F99=Lists!$I$18),"",IF(D99&lt;=5,"EER","IEER")))</f>
        <v/>
      </c>
      <c r="AT99" s="43"/>
      <c r="AU99" s="43"/>
      <c r="AV99" s="43"/>
      <c r="AW99" s="894" t="str">
        <f t="shared" si="75"/>
        <v/>
      </c>
      <c r="AX99" s="894"/>
      <c r="AY99" s="463" t="str">
        <f>IFERROR(IF(OR(D99="",F99="",W99="",R99="",W99="Please Select",R99="Please Select"),"",VLOOKUP('HVAC Efficiency Tables'!X126&amp;R99&amp;W99,HVACEfficiencies,5,FALSE)),"")</f>
        <v/>
      </c>
      <c r="AZ99" s="420" t="str">
        <f>IF(OR(AY99="N/A",AY99=""),"",IF(F99=Lists!$I$16,"EER",IF(OR(F99=Lists!$I$17,F99=Lists!$I$18),"kW/ton",IF(D99*12000&lt;65000,"SEER","EER"))))</f>
        <v/>
      </c>
      <c r="BA99" s="463" t="str">
        <f>IFERROR(IF(OR(D99="",F99="",W99="",R99="",W99="Please Select",R99="Please Select"),"",VLOOKUP('HVAC Efficiency Tables'!X126&amp;R99&amp;W99,HVACEfficiencies,9,FALSE)),"")</f>
        <v/>
      </c>
      <c r="BB99" s="420" t="str">
        <f>IF(OR(AY99="N/A",AY99=""),"",IF(OR(F99=Lists!$I$16,F99=Lists!$I$17,F99=Lists!$I$18),"",IF(D99&lt;=5,"EER","IEER")))</f>
        <v/>
      </c>
      <c r="BC99" s="673"/>
      <c r="BD99" s="673"/>
      <c r="BE99" s="904" t="str">
        <f t="shared" si="76"/>
        <v/>
      </c>
      <c r="BF99" s="904"/>
      <c r="BG99" s="157" t="s">
        <v>142</v>
      </c>
      <c r="BH99" s="895" t="str">
        <f t="shared" si="77"/>
        <v/>
      </c>
      <c r="BI99" s="895"/>
      <c r="BJ99" s="582"/>
      <c r="BQ99" s="298" t="e">
        <f>VLOOKUP('HVAC Efficiency Tables'!X126&amp;R99&amp;W99,HVACEfficiencies,7,FALSE)</f>
        <v>#N/A</v>
      </c>
      <c r="BR99" s="298">
        <f t="shared" si="71"/>
        <v>599</v>
      </c>
      <c r="BS99" s="298" t="e">
        <f t="shared" si="72"/>
        <v>#N/A</v>
      </c>
      <c r="BT99" s="298" t="e">
        <f t="shared" si="73"/>
        <v>#N/A</v>
      </c>
      <c r="BU99" s="298" t="e">
        <f t="shared" si="74"/>
        <v>#N/A</v>
      </c>
      <c r="BV99" s="617">
        <f t="shared" ref="BV99:BV106" si="79">IF(OR(BE99="Qualified",AW99="Qualified"),IF(AJ99="EER",BS99,IF(AJ99="SEER",BT99,IF(AJ99="kW/ton",BU99,0))),0)</f>
        <v>0</v>
      </c>
      <c r="BW99" s="301">
        <f t="shared" si="78"/>
        <v>0</v>
      </c>
      <c r="BY99" s="94"/>
      <c r="BZ99" s="94"/>
      <c r="CA99" s="94"/>
      <c r="CB99" s="900" t="str">
        <f>'HVAC Efficiency Tables'!$Y126</f>
        <v/>
      </c>
      <c r="CC99" s="901"/>
      <c r="CD99" s="901"/>
      <c r="CE99" s="902"/>
      <c r="CF99" s="382"/>
      <c r="CG99" s="900" t="str">
        <f>'HVAC Efficiency Tables'!$Z126</f>
        <v/>
      </c>
      <c r="CH99" s="901"/>
      <c r="CI99" s="901"/>
      <c r="CJ99" s="901"/>
      <c r="CK99" s="901"/>
      <c r="CL99" s="902"/>
      <c r="CM99" s="94"/>
      <c r="CN99" s="94"/>
      <c r="CO99" s="94"/>
      <c r="CP99" s="94"/>
      <c r="CQ99" s="94"/>
      <c r="CR99" s="94"/>
      <c r="CS99" s="94"/>
      <c r="CT99" s="94"/>
      <c r="CU99" s="94"/>
      <c r="CV99" s="94"/>
      <c r="CW99" s="94"/>
      <c r="CX99" s="94"/>
      <c r="CY99" s="94"/>
      <c r="CZ99" s="94"/>
    </row>
    <row r="100" spans="1:178" ht="14.1" hidden="1" customHeight="1">
      <c r="A100" s="54"/>
      <c r="B100" s="64"/>
      <c r="C100" s="333"/>
      <c r="D100" s="64"/>
      <c r="E100" s="231"/>
      <c r="F100" s="903"/>
      <c r="G100" s="903"/>
      <c r="H100" s="903"/>
      <c r="I100" s="903"/>
      <c r="J100" s="903"/>
      <c r="K100" s="903"/>
      <c r="L100" s="903"/>
      <c r="M100" s="903"/>
      <c r="N100" s="903"/>
      <c r="O100" s="903"/>
      <c r="P100" s="903"/>
      <c r="Q100" s="208"/>
      <c r="R100" s="900" t="str">
        <f>'HVAC Efficiency Tables'!$Y127</f>
        <v/>
      </c>
      <c r="S100" s="901"/>
      <c r="T100" s="901"/>
      <c r="U100" s="902"/>
      <c r="V100" s="382"/>
      <c r="W100" s="900" t="str">
        <f>'HVAC Efficiency Tables'!$Z127</f>
        <v/>
      </c>
      <c r="X100" s="901"/>
      <c r="Y100" s="901"/>
      <c r="Z100" s="901"/>
      <c r="AA100" s="901"/>
      <c r="AB100" s="902"/>
      <c r="AC100" s="204"/>
      <c r="AD100" s="890"/>
      <c r="AE100" s="890"/>
      <c r="AF100" s="890"/>
      <c r="AG100" s="890"/>
      <c r="AH100" s="333"/>
      <c r="AI100" s="64"/>
      <c r="AJ100" s="43" t="str">
        <f>IF(OR(D100="",AW100="Ineligible"),"",IF(OR(F100=Lists!$I$11,F100=Lists!$I$16,F100=Lists!$J$12,F100=Lists!$I$13,F100=Lists!$I$14),"EER",IF(OR(F100=Lists!$I$17,F100=Lists!$I$18),"kW/ton",IF(D100*12000&lt;65000,"SEER","EER"))))</f>
        <v/>
      </c>
      <c r="AK100" s="64"/>
      <c r="AL100" s="43" t="str">
        <f>IF(OR(B100="",AW100="Ineligible",AR100="N/A"),"",IF(OR(F100=Lists!$I$16,F100=Lists!$I$17,F100=Lists!$I$18),"",IF(D100&lt;=5,"EER","IEER")))</f>
        <v/>
      </c>
      <c r="AM100" s="43"/>
      <c r="AN100" s="43"/>
      <c r="AO100" s="204"/>
      <c r="AP100" s="55" t="str">
        <f>IFERROR(IF(OR(D100="",F100="",W100="",R100="",W100="Please Select",R100="Please Select"),"",VLOOKUP('HVAC Efficiency Tables'!X127&amp;R100&amp;W100,HVACEfficiencies,3,FALSE)),"")</f>
        <v/>
      </c>
      <c r="AQ100" s="43" t="str">
        <f>IF(OR(AP100="N/A",AP100=""),"",IF(OR(F100=Lists!$I$11,F100=Lists!$I$16,F100=Lists!$J$12,F100=Lists!$I$13,F100=Lists!$I$14),"EER",IF(OR(F100=Lists!$I$17,F100=Lists!$I$18),"kW/ton",IF(D100*12000&lt;65000,"SEER","EER"))))</f>
        <v/>
      </c>
      <c r="AR100" s="55" t="str">
        <f>IFERROR(IF(OR(D100="",F100="",W100="",R100="",W100="Please Select",R100="Please Select"),"",VLOOKUP('HVAC Efficiency Tables'!X127&amp;R100&amp;W100,HVACEfficiencies,8,FALSE)),"")</f>
        <v/>
      </c>
      <c r="AS100" s="43" t="str">
        <f>IF(OR(AR100="N/A",AR100=""),"",IF(OR(F100=Lists!$I$16,F100=Lists!$I$17,F100=Lists!$I$18),"",IF(D100&lt;=5,"EER","IEER")))</f>
        <v/>
      </c>
      <c r="AT100" s="43"/>
      <c r="AU100" s="43"/>
      <c r="AV100" s="43"/>
      <c r="AW100" s="894" t="str">
        <f t="shared" si="75"/>
        <v/>
      </c>
      <c r="AX100" s="894"/>
      <c r="AY100" s="463" t="str">
        <f>IFERROR(IF(OR(D100="",F100="",W100="",R100="",W100="Please Select",R100="Please Select"),"",VLOOKUP('HVAC Efficiency Tables'!X127&amp;R100&amp;W100,HVACEfficiencies,5,FALSE)),"")</f>
        <v/>
      </c>
      <c r="AZ100" s="420" t="str">
        <f>IF(OR(AY100="N/A",AY100=""),"",IF(F100=Lists!$I$16,"EER",IF(OR(F100=Lists!$I$17,F100=Lists!$I$18),"kW/ton",IF(D100*12000&lt;65000,"SEER","EER"))))</f>
        <v/>
      </c>
      <c r="BA100" s="463" t="str">
        <f>IFERROR(IF(OR(D100="",F100="",W100="",R100="",W100="Please Select",R100="Please Select"),"",VLOOKUP('HVAC Efficiency Tables'!X127&amp;R100&amp;W100,HVACEfficiencies,9,FALSE)),"")</f>
        <v/>
      </c>
      <c r="BB100" s="420" t="str">
        <f>IF(OR(AY100="N/A",AY100=""),"",IF(OR(F100=Lists!$I$16,F100=Lists!$I$17,F100=Lists!$I$18),"",IF(D100&lt;=5,"EER","IEER")))</f>
        <v/>
      </c>
      <c r="BC100" s="673"/>
      <c r="BD100" s="673"/>
      <c r="BE100" s="904" t="str">
        <f t="shared" si="76"/>
        <v/>
      </c>
      <c r="BF100" s="904"/>
      <c r="BG100" s="157" t="s">
        <v>142</v>
      </c>
      <c r="BH100" s="895" t="str">
        <f t="shared" si="77"/>
        <v/>
      </c>
      <c r="BI100" s="895"/>
      <c r="BJ100" s="582"/>
      <c r="BQ100" s="298" t="e">
        <f>VLOOKUP('HVAC Efficiency Tables'!X127&amp;R100&amp;W100,HVACEfficiencies,7,FALSE)</f>
        <v>#N/A</v>
      </c>
      <c r="BR100" s="298">
        <f t="shared" si="71"/>
        <v>599</v>
      </c>
      <c r="BS100" s="298" t="e">
        <f t="shared" si="72"/>
        <v>#N/A</v>
      </c>
      <c r="BT100" s="298" t="e">
        <f t="shared" si="73"/>
        <v>#N/A</v>
      </c>
      <c r="BU100" s="298" t="e">
        <f t="shared" si="74"/>
        <v>#N/A</v>
      </c>
      <c r="BV100" s="617">
        <f t="shared" si="79"/>
        <v>0</v>
      </c>
      <c r="BW100" s="301">
        <f t="shared" si="78"/>
        <v>0</v>
      </c>
      <c r="BY100" s="94"/>
      <c r="BZ100" s="94"/>
      <c r="CA100" s="94"/>
      <c r="CB100" s="900" t="str">
        <f>'HVAC Efficiency Tables'!$Y127</f>
        <v/>
      </c>
      <c r="CC100" s="901"/>
      <c r="CD100" s="901"/>
      <c r="CE100" s="902"/>
      <c r="CF100" s="382"/>
      <c r="CG100" s="900" t="str">
        <f>'HVAC Efficiency Tables'!$Z127</f>
        <v/>
      </c>
      <c r="CH100" s="901"/>
      <c r="CI100" s="901"/>
      <c r="CJ100" s="901"/>
      <c r="CK100" s="901"/>
      <c r="CL100" s="902"/>
      <c r="CM100" s="94"/>
      <c r="CN100" s="94"/>
      <c r="CO100" s="94"/>
      <c r="CP100" s="94"/>
      <c r="CQ100" s="94"/>
      <c r="CR100" s="94"/>
      <c r="CS100" s="94"/>
      <c r="CT100" s="94"/>
      <c r="CU100" s="94"/>
      <c r="CV100" s="94"/>
      <c r="CW100" s="94"/>
      <c r="CX100" s="94"/>
      <c r="CY100" s="94"/>
      <c r="CZ100" s="94"/>
    </row>
    <row r="101" spans="1:178" ht="14.1" hidden="1" customHeight="1">
      <c r="A101" s="54"/>
      <c r="B101" s="64"/>
      <c r="C101" s="333"/>
      <c r="D101" s="64"/>
      <c r="E101" s="231"/>
      <c r="F101" s="903"/>
      <c r="G101" s="903"/>
      <c r="H101" s="903"/>
      <c r="I101" s="903"/>
      <c r="J101" s="903"/>
      <c r="K101" s="903"/>
      <c r="L101" s="903"/>
      <c r="M101" s="903"/>
      <c r="N101" s="903"/>
      <c r="O101" s="903"/>
      <c r="P101" s="903"/>
      <c r="Q101" s="208"/>
      <c r="R101" s="900" t="str">
        <f>'HVAC Efficiency Tables'!$Y128</f>
        <v/>
      </c>
      <c r="S101" s="901"/>
      <c r="T101" s="901"/>
      <c r="U101" s="902"/>
      <c r="V101" s="382"/>
      <c r="W101" s="900" t="str">
        <f>'HVAC Efficiency Tables'!$Z128</f>
        <v/>
      </c>
      <c r="X101" s="901"/>
      <c r="Y101" s="901"/>
      <c r="Z101" s="901"/>
      <c r="AA101" s="901"/>
      <c r="AB101" s="902"/>
      <c r="AC101" s="204"/>
      <c r="AD101" s="890"/>
      <c r="AE101" s="890"/>
      <c r="AF101" s="890"/>
      <c r="AG101" s="890"/>
      <c r="AH101" s="333"/>
      <c r="AI101" s="64"/>
      <c r="AJ101" s="43" t="str">
        <f>IF(OR(D101="",AW101="Ineligible"),"",IF(OR(F101=Lists!$I$11,F101=Lists!$I$16,F101=Lists!$J$12,F101=Lists!$I$13,F101=Lists!$I$14),"EER",IF(OR(F101=Lists!$I$17,F101=Lists!$I$18),"kW/ton",IF(D101*12000&lt;65000,"SEER","EER"))))</f>
        <v/>
      </c>
      <c r="AK101" s="64"/>
      <c r="AL101" s="43" t="str">
        <f>IF(OR(B101="",AW101="Ineligible",AR101="N/A"),"",IF(OR(F101=Lists!$I$16,F101=Lists!$I$17,F101=Lists!$I$18),"",IF(D101&lt;=5,"EER","IEER")))</f>
        <v/>
      </c>
      <c r="AM101" s="43"/>
      <c r="AN101" s="43"/>
      <c r="AO101" s="204"/>
      <c r="AP101" s="55" t="str">
        <f>IFERROR(IF(OR(D101="",F101="",W101="",R101="",W101="Please Select",R101="Please Select"),"",VLOOKUP('HVAC Efficiency Tables'!X128&amp;R101&amp;W101,HVACEfficiencies,3,FALSE)),"")</f>
        <v/>
      </c>
      <c r="AQ101" s="43" t="str">
        <f>IF(OR(AP101="N/A",AP101=""),"",IF(OR(F101=Lists!$I$11,F101=Lists!$I$16,F101=Lists!$J$12,F101=Lists!$I$13,F101=Lists!$I$14),"EER",IF(OR(F101=Lists!$I$17,F101=Lists!$I$18),"kW/ton",IF(D101*12000&lt;65000,"SEER","EER"))))</f>
        <v/>
      </c>
      <c r="AR101" s="55" t="str">
        <f>IFERROR(IF(OR(D101="",F101="",W101="",R101="",W101="Please Select",R101="Please Select"),"",VLOOKUP('HVAC Efficiency Tables'!X128&amp;R101&amp;W101,HVACEfficiencies,8,FALSE)),"")</f>
        <v/>
      </c>
      <c r="AS101" s="43" t="str">
        <f>IF(OR(AR101="N/A",AR101=""),"",IF(OR(F101=Lists!$I$16,F101=Lists!$I$17,F101=Lists!$I$18),"",IF(D101&lt;=5,"EER","IEER")))</f>
        <v/>
      </c>
      <c r="AT101" s="43"/>
      <c r="AU101" s="43"/>
      <c r="AV101" s="43"/>
      <c r="AW101" s="894" t="str">
        <f t="shared" si="75"/>
        <v/>
      </c>
      <c r="AX101" s="894"/>
      <c r="AY101" s="463" t="str">
        <f>IFERROR(IF(OR(D101="",F101="",W101="",R101="",W101="Please Select",R101="Please Select"),"",VLOOKUP('HVAC Efficiency Tables'!X128&amp;R101&amp;W101,HVACEfficiencies,5,FALSE)),"")</f>
        <v/>
      </c>
      <c r="AZ101" s="420" t="str">
        <f>IF(OR(AY101="N/A",AY101=""),"",IF(F101=Lists!$I$16,"EER",IF(OR(F101=Lists!$I$17,F101=Lists!$I$18),"kW/ton",IF(D101*12000&lt;65000,"SEER","EER"))))</f>
        <v/>
      </c>
      <c r="BA101" s="463" t="str">
        <f>IFERROR(IF(OR(D101="",F101="",W101="",R101="",W101="Please Select",R101="Please Select"),"",VLOOKUP('HVAC Efficiency Tables'!X128&amp;R101&amp;W101,HVACEfficiencies,9,FALSE)),"")</f>
        <v/>
      </c>
      <c r="BB101" s="420" t="str">
        <f>IF(OR(AY101="N/A",AY101=""),"",IF(OR(F101=Lists!$I$16,F101=Lists!$I$17,F101=Lists!$I$18),"",IF(D101&lt;=5,"EER","IEER")))</f>
        <v/>
      </c>
      <c r="BC101" s="673"/>
      <c r="BD101" s="673"/>
      <c r="BE101" s="904" t="str">
        <f t="shared" si="76"/>
        <v/>
      </c>
      <c r="BF101" s="904"/>
      <c r="BG101" s="157" t="s">
        <v>142</v>
      </c>
      <c r="BH101" s="895" t="str">
        <f t="shared" si="77"/>
        <v/>
      </c>
      <c r="BI101" s="895"/>
      <c r="BJ101" s="582"/>
      <c r="BQ101" s="298" t="e">
        <f>VLOOKUP('HVAC Efficiency Tables'!X128&amp;R101&amp;W101,HVACEfficiencies,7,FALSE)</f>
        <v>#N/A</v>
      </c>
      <c r="BR101" s="298">
        <f t="shared" si="71"/>
        <v>599</v>
      </c>
      <c r="BS101" s="298" t="e">
        <f t="shared" si="72"/>
        <v>#N/A</v>
      </c>
      <c r="BT101" s="298" t="e">
        <f t="shared" si="73"/>
        <v>#N/A</v>
      </c>
      <c r="BU101" s="298" t="e">
        <f t="shared" si="74"/>
        <v>#N/A</v>
      </c>
      <c r="BV101" s="617">
        <f t="shared" si="79"/>
        <v>0</v>
      </c>
      <c r="BW101" s="301">
        <f t="shared" si="78"/>
        <v>0</v>
      </c>
      <c r="BY101" s="94"/>
      <c r="BZ101" s="94"/>
      <c r="CA101" s="94"/>
      <c r="CB101" s="900" t="str">
        <f>'HVAC Efficiency Tables'!$Y128</f>
        <v/>
      </c>
      <c r="CC101" s="901"/>
      <c r="CD101" s="901"/>
      <c r="CE101" s="902"/>
      <c r="CF101" s="382"/>
      <c r="CG101" s="900" t="str">
        <f>'HVAC Efficiency Tables'!$Z128</f>
        <v/>
      </c>
      <c r="CH101" s="901"/>
      <c r="CI101" s="901"/>
      <c r="CJ101" s="901"/>
      <c r="CK101" s="901"/>
      <c r="CL101" s="902"/>
      <c r="CM101" s="94"/>
      <c r="CN101" s="94"/>
      <c r="CO101" s="94"/>
      <c r="CP101" s="94"/>
      <c r="CQ101" s="94"/>
      <c r="CR101" s="94"/>
      <c r="CS101" s="94"/>
      <c r="CT101" s="94"/>
      <c r="CU101" s="94"/>
      <c r="CV101" s="94"/>
      <c r="CW101" s="94"/>
      <c r="CX101" s="94"/>
      <c r="CY101" s="94"/>
      <c r="CZ101" s="94"/>
    </row>
    <row r="102" spans="1:178" ht="14.1" hidden="1" customHeight="1">
      <c r="A102" s="54"/>
      <c r="B102" s="64"/>
      <c r="C102" s="333"/>
      <c r="D102" s="64"/>
      <c r="E102" s="231"/>
      <c r="F102" s="903"/>
      <c r="G102" s="903"/>
      <c r="H102" s="903"/>
      <c r="I102" s="903"/>
      <c r="J102" s="903"/>
      <c r="K102" s="903"/>
      <c r="L102" s="903"/>
      <c r="M102" s="903"/>
      <c r="N102" s="903"/>
      <c r="O102" s="903"/>
      <c r="P102" s="903"/>
      <c r="Q102" s="208"/>
      <c r="R102" s="900" t="str">
        <f>'HVAC Efficiency Tables'!$Y129</f>
        <v/>
      </c>
      <c r="S102" s="901"/>
      <c r="T102" s="901"/>
      <c r="U102" s="902"/>
      <c r="V102" s="382"/>
      <c r="W102" s="900" t="str">
        <f>'HVAC Efficiency Tables'!$Z129</f>
        <v/>
      </c>
      <c r="X102" s="901"/>
      <c r="Y102" s="901"/>
      <c r="Z102" s="901"/>
      <c r="AA102" s="901"/>
      <c r="AB102" s="902"/>
      <c r="AC102" s="204"/>
      <c r="AD102" s="890"/>
      <c r="AE102" s="890"/>
      <c r="AF102" s="890"/>
      <c r="AG102" s="890"/>
      <c r="AH102" s="333"/>
      <c r="AI102" s="64"/>
      <c r="AJ102" s="43" t="str">
        <f>IF(OR(D102="",AW102="Ineligible"),"",IF(OR(F102=Lists!$I$11,F102=Lists!$I$16,F102=Lists!$J$12,F102=Lists!$I$13,F102=Lists!$I$14),"EER",IF(OR(F102=Lists!$I$17,F102=Lists!$I$18),"kW/ton",IF(D102*12000&lt;65000,"SEER","EER"))))</f>
        <v/>
      </c>
      <c r="AK102" s="64"/>
      <c r="AL102" s="43" t="str">
        <f>IF(OR(B102="",AW102="Ineligible",AR102="N/A"),"",IF(OR(F102=Lists!$I$16,F102=Lists!$I$17,F102=Lists!$I$18),"",IF(D102&lt;=5,"EER","IEER")))</f>
        <v/>
      </c>
      <c r="AM102" s="43"/>
      <c r="AN102" s="43"/>
      <c r="AO102" s="204"/>
      <c r="AP102" s="55" t="str">
        <f>IFERROR(IF(OR(D102="",F102="",W102="",R102="",W102="Please Select",R102="Please Select"),"",VLOOKUP('HVAC Efficiency Tables'!X129&amp;R102&amp;W102,HVACEfficiencies,3,FALSE)),"")</f>
        <v/>
      </c>
      <c r="AQ102" s="43" t="str">
        <f>IF(OR(AP102="N/A",AP102=""),"",IF(OR(F102=Lists!$I$11,F102=Lists!$I$16,F102=Lists!$J$12,F102=Lists!$I$13,F102=Lists!$I$14),"EER",IF(OR(F102=Lists!$I$17,F102=Lists!$I$18),"kW/ton",IF(D102*12000&lt;65000,"SEER","EER"))))</f>
        <v/>
      </c>
      <c r="AR102" s="55" t="str">
        <f>IFERROR(IF(OR(D102="",F102="",W102="",R102="",W102="Please Select",R102="Please Select"),"",VLOOKUP('HVAC Efficiency Tables'!X129&amp;R102&amp;W102,HVACEfficiencies,8,FALSE)),"")</f>
        <v/>
      </c>
      <c r="AS102" s="43" t="str">
        <f>IF(OR(AR102="N/A",AR102=""),"",IF(OR(F102=Lists!$I$16,F102=Lists!$I$17,F102=Lists!$I$18),"",IF(D102&lt;=5,"EER","IEER")))</f>
        <v/>
      </c>
      <c r="AT102" s="43"/>
      <c r="AU102" s="43"/>
      <c r="AV102" s="43"/>
      <c r="AW102" s="894" t="str">
        <f t="shared" si="75"/>
        <v/>
      </c>
      <c r="AX102" s="894"/>
      <c r="AY102" s="463" t="str">
        <f>IFERROR(IF(OR(D102="",F102="",W102="",R102="",W102="Please Select",R102="Please Select"),"",VLOOKUP('HVAC Efficiency Tables'!X129&amp;R102&amp;W102,HVACEfficiencies,5,FALSE)),"")</f>
        <v/>
      </c>
      <c r="AZ102" s="420" t="str">
        <f>IF(OR(AY102="N/A",AY102=""),"",IF(F102=Lists!$I$16,"EER",IF(OR(F102=Lists!$I$17,F102=Lists!$I$18),"kW/ton",IF(D102*12000&lt;65000,"SEER","EER"))))</f>
        <v/>
      </c>
      <c r="BA102" s="463" t="str">
        <f>IFERROR(IF(OR(D102="",F102="",W102="",R102="",W102="Please Select",R102="Please Select"),"",VLOOKUP('HVAC Efficiency Tables'!X129&amp;R102&amp;W102,HVACEfficiencies,9,FALSE)),"")</f>
        <v/>
      </c>
      <c r="BB102" s="420" t="str">
        <f>IF(OR(AY102="N/A",AY102=""),"",IF(OR(F102=Lists!$I$16,F102=Lists!$I$17,F102=Lists!$I$18),"",IF(D102&lt;=5,"EER","IEER")))</f>
        <v/>
      </c>
      <c r="BC102" s="673"/>
      <c r="BD102" s="673"/>
      <c r="BE102" s="904" t="str">
        <f t="shared" si="76"/>
        <v/>
      </c>
      <c r="BF102" s="904"/>
      <c r="BG102" s="157" t="s">
        <v>142</v>
      </c>
      <c r="BH102" s="895" t="str">
        <f t="shared" si="77"/>
        <v/>
      </c>
      <c r="BI102" s="895"/>
      <c r="BJ102" s="582"/>
      <c r="BQ102" s="298" t="e">
        <f>VLOOKUP('HVAC Efficiency Tables'!X129&amp;R102&amp;W102,HVACEfficiencies,7,FALSE)</f>
        <v>#N/A</v>
      </c>
      <c r="BR102" s="298">
        <f t="shared" si="71"/>
        <v>599</v>
      </c>
      <c r="BS102" s="298" t="e">
        <f t="shared" si="72"/>
        <v>#N/A</v>
      </c>
      <c r="BT102" s="298" t="e">
        <f t="shared" si="73"/>
        <v>#N/A</v>
      </c>
      <c r="BU102" s="298" t="e">
        <f t="shared" si="74"/>
        <v>#N/A</v>
      </c>
      <c r="BV102" s="617">
        <f t="shared" si="79"/>
        <v>0</v>
      </c>
      <c r="BW102" s="301">
        <f t="shared" si="78"/>
        <v>0</v>
      </c>
      <c r="BY102" s="94"/>
      <c r="BZ102" s="94"/>
      <c r="CA102" s="94"/>
      <c r="CB102" s="900" t="str">
        <f>'HVAC Efficiency Tables'!$Y129</f>
        <v/>
      </c>
      <c r="CC102" s="901"/>
      <c r="CD102" s="901"/>
      <c r="CE102" s="902"/>
      <c r="CF102" s="382"/>
      <c r="CG102" s="900" t="str">
        <f>'HVAC Efficiency Tables'!$Z129</f>
        <v/>
      </c>
      <c r="CH102" s="901"/>
      <c r="CI102" s="901"/>
      <c r="CJ102" s="901"/>
      <c r="CK102" s="901"/>
      <c r="CL102" s="902"/>
      <c r="CM102" s="94"/>
      <c r="CN102" s="94"/>
      <c r="CO102" s="94"/>
      <c r="CP102" s="94"/>
      <c r="CQ102" s="94"/>
      <c r="CR102" s="94"/>
      <c r="CS102" s="94"/>
      <c r="CT102" s="94"/>
      <c r="CU102" s="94"/>
      <c r="CV102" s="94"/>
      <c r="CW102" s="94"/>
      <c r="CX102" s="94"/>
      <c r="CY102" s="94"/>
      <c r="CZ102" s="94"/>
    </row>
    <row r="103" spans="1:178" ht="14.1" hidden="1" customHeight="1">
      <c r="A103" s="54"/>
      <c r="B103" s="64"/>
      <c r="C103" s="333"/>
      <c r="D103" s="64"/>
      <c r="E103" s="231"/>
      <c r="F103" s="903"/>
      <c r="G103" s="903"/>
      <c r="H103" s="903"/>
      <c r="I103" s="903"/>
      <c r="J103" s="903"/>
      <c r="K103" s="903"/>
      <c r="L103" s="903"/>
      <c r="M103" s="903"/>
      <c r="N103" s="903"/>
      <c r="O103" s="903"/>
      <c r="P103" s="903"/>
      <c r="Q103" s="208"/>
      <c r="R103" s="900" t="str">
        <f>'HVAC Efficiency Tables'!$Y130</f>
        <v/>
      </c>
      <c r="S103" s="901"/>
      <c r="T103" s="901"/>
      <c r="U103" s="902"/>
      <c r="V103" s="382"/>
      <c r="W103" s="900" t="str">
        <f>'HVAC Efficiency Tables'!$Z130</f>
        <v/>
      </c>
      <c r="X103" s="901"/>
      <c r="Y103" s="901"/>
      <c r="Z103" s="901"/>
      <c r="AA103" s="901"/>
      <c r="AB103" s="902"/>
      <c r="AC103" s="204"/>
      <c r="AD103" s="890"/>
      <c r="AE103" s="890"/>
      <c r="AF103" s="890"/>
      <c r="AG103" s="890"/>
      <c r="AH103" s="333"/>
      <c r="AI103" s="64"/>
      <c r="AJ103" s="43" t="str">
        <f>IF(OR(D103="",AW103="Ineligible"),"",IF(OR(F103=Lists!$I$11,F103=Lists!$I$16,F103=Lists!$J$12,F103=Lists!$I$13,F103=Lists!$I$14),"EER",IF(OR(F103=Lists!$I$17,F103=Lists!$I$18),"kW/ton",IF(D103*12000&lt;65000,"SEER","EER"))))</f>
        <v/>
      </c>
      <c r="AK103" s="64"/>
      <c r="AL103" s="43" t="str">
        <f>IF(OR(B103="",AW103="Ineligible",AR103="N/A"),"",IF(OR(F103=Lists!$I$16,F103=Lists!$I$17,F103=Lists!$I$18),"",IF(D103&lt;=5,"EER","IEER")))</f>
        <v/>
      </c>
      <c r="AM103" s="43"/>
      <c r="AN103" s="43"/>
      <c r="AO103" s="204"/>
      <c r="AP103" s="55" t="str">
        <f>IFERROR(IF(OR(D103="",F103="",W103="",R103="",W103="Please Select",R103="Please Select"),"",VLOOKUP('HVAC Efficiency Tables'!X130&amp;R103&amp;W103,HVACEfficiencies,3,FALSE)),"")</f>
        <v/>
      </c>
      <c r="AQ103" s="43" t="str">
        <f>IF(OR(AP103="N/A",AP103=""),"",IF(OR(F103=Lists!$I$11,F103=Lists!$I$16,F103=Lists!$J$12,F103=Lists!$I$13,F103=Lists!$I$14),"EER",IF(OR(F103=Lists!$I$17,F103=Lists!$I$18),"kW/ton",IF(D103*12000&lt;65000,"SEER","EER"))))</f>
        <v/>
      </c>
      <c r="AR103" s="55" t="str">
        <f>IFERROR(IF(OR(D103="",F103="",W103="",R103="",W103="Please Select",R103="Please Select"),"",VLOOKUP('HVAC Efficiency Tables'!X130&amp;R103&amp;W103,HVACEfficiencies,8,FALSE)),"")</f>
        <v/>
      </c>
      <c r="AS103" s="43" t="str">
        <f>IF(OR(AR103="N/A",AR103=""),"",IF(OR(F103=Lists!$I$16,F103=Lists!$I$17,F103=Lists!$I$18),"",IF(D103&lt;=5,"EER","IEER")))</f>
        <v/>
      </c>
      <c r="AT103" s="43"/>
      <c r="AU103" s="43"/>
      <c r="AV103" s="43"/>
      <c r="AW103" s="894" t="str">
        <f t="shared" si="75"/>
        <v/>
      </c>
      <c r="AX103" s="894"/>
      <c r="AY103" s="463" t="str">
        <f>IFERROR(IF(OR(D103="",F103="",W103="",R103="",W103="Please Select",R103="Please Select"),"",VLOOKUP('HVAC Efficiency Tables'!X130&amp;R103&amp;W103,HVACEfficiencies,5,FALSE)),"")</f>
        <v/>
      </c>
      <c r="AZ103" s="420" t="str">
        <f>IF(OR(AY103="N/A",AY103=""),"",IF(F103=Lists!$I$16,"EER",IF(OR(F103=Lists!$I$17,F103=Lists!$I$18),"kW/ton",IF(D103*12000&lt;65000,"SEER","EER"))))</f>
        <v/>
      </c>
      <c r="BA103" s="463" t="str">
        <f>IFERROR(IF(OR(D103="",F103="",W103="",R103="",W103="Please Select",R103="Please Select"),"",VLOOKUP('HVAC Efficiency Tables'!X130&amp;R103&amp;W103,HVACEfficiencies,9,FALSE)),"")</f>
        <v/>
      </c>
      <c r="BB103" s="420" t="str">
        <f>IF(OR(AY103="N/A",AY103=""),"",IF(OR(F103=Lists!$I$16,F103=Lists!$I$17,F103=Lists!$I$18),"",IF(D103&lt;=5,"EER","IEER")))</f>
        <v/>
      </c>
      <c r="BC103" s="673"/>
      <c r="BD103" s="673"/>
      <c r="BE103" s="904" t="str">
        <f t="shared" si="76"/>
        <v/>
      </c>
      <c r="BF103" s="904"/>
      <c r="BG103" s="157" t="s">
        <v>142</v>
      </c>
      <c r="BH103" s="895" t="str">
        <f t="shared" si="77"/>
        <v/>
      </c>
      <c r="BI103" s="895"/>
      <c r="BJ103" s="582"/>
      <c r="BQ103" s="298" t="e">
        <f>VLOOKUP('HVAC Efficiency Tables'!X130&amp;R103&amp;W103,HVACEfficiencies,7,FALSE)</f>
        <v>#N/A</v>
      </c>
      <c r="BR103" s="298">
        <f t="shared" si="71"/>
        <v>599</v>
      </c>
      <c r="BS103" s="298" t="e">
        <f t="shared" si="72"/>
        <v>#N/A</v>
      </c>
      <c r="BT103" s="298" t="e">
        <f t="shared" si="73"/>
        <v>#N/A</v>
      </c>
      <c r="BU103" s="298" t="e">
        <f t="shared" si="74"/>
        <v>#N/A</v>
      </c>
      <c r="BV103" s="617">
        <f t="shared" si="79"/>
        <v>0</v>
      </c>
      <c r="BW103" s="301">
        <f t="shared" si="78"/>
        <v>0</v>
      </c>
      <c r="BY103" s="94"/>
      <c r="BZ103" s="94"/>
      <c r="CA103" s="94"/>
      <c r="CB103" s="900" t="str">
        <f>'HVAC Efficiency Tables'!$Y130</f>
        <v/>
      </c>
      <c r="CC103" s="901"/>
      <c r="CD103" s="901"/>
      <c r="CE103" s="902"/>
      <c r="CF103" s="382"/>
      <c r="CG103" s="900" t="str">
        <f>'HVAC Efficiency Tables'!$Z130</f>
        <v/>
      </c>
      <c r="CH103" s="901"/>
      <c r="CI103" s="901"/>
      <c r="CJ103" s="901"/>
      <c r="CK103" s="901"/>
      <c r="CL103" s="902"/>
      <c r="CM103" s="94"/>
      <c r="CN103" s="94"/>
      <c r="CO103" s="94"/>
      <c r="CP103" s="94"/>
      <c r="CQ103" s="94"/>
      <c r="CR103" s="94"/>
      <c r="CS103" s="94"/>
      <c r="CT103" s="94"/>
      <c r="CU103" s="94"/>
      <c r="CV103" s="94"/>
      <c r="CW103" s="94"/>
      <c r="CX103" s="94"/>
      <c r="CY103" s="94"/>
      <c r="CZ103" s="94"/>
    </row>
    <row r="104" spans="1:178" ht="14.1" hidden="1" customHeight="1">
      <c r="A104" s="54"/>
      <c r="B104" s="64"/>
      <c r="C104" s="333"/>
      <c r="D104" s="64"/>
      <c r="E104" s="231"/>
      <c r="F104" s="903"/>
      <c r="G104" s="903"/>
      <c r="H104" s="903"/>
      <c r="I104" s="903"/>
      <c r="J104" s="903"/>
      <c r="K104" s="903"/>
      <c r="L104" s="903"/>
      <c r="M104" s="903"/>
      <c r="N104" s="903"/>
      <c r="O104" s="903"/>
      <c r="P104" s="903"/>
      <c r="Q104" s="208"/>
      <c r="R104" s="900" t="str">
        <f>'HVAC Efficiency Tables'!$Y131</f>
        <v/>
      </c>
      <c r="S104" s="901"/>
      <c r="T104" s="901"/>
      <c r="U104" s="902"/>
      <c r="V104" s="382"/>
      <c r="W104" s="900" t="str">
        <f>'HVAC Efficiency Tables'!$Z131</f>
        <v/>
      </c>
      <c r="X104" s="901"/>
      <c r="Y104" s="901"/>
      <c r="Z104" s="901"/>
      <c r="AA104" s="901"/>
      <c r="AB104" s="902"/>
      <c r="AC104" s="204"/>
      <c r="AD104" s="890"/>
      <c r="AE104" s="890"/>
      <c r="AF104" s="890"/>
      <c r="AG104" s="890"/>
      <c r="AH104" s="333"/>
      <c r="AI104" s="64"/>
      <c r="AJ104" s="43" t="str">
        <f>IF(OR(D104="",AW104="Ineligible"),"",IF(OR(F104=Lists!$I$11,F104=Lists!$I$16,F104=Lists!$J$12,F104=Lists!$I$13,F104=Lists!$I$14),"EER",IF(OR(F104=Lists!$I$17,F104=Lists!$I$18),"kW/ton",IF(D104*12000&lt;65000,"SEER","EER"))))</f>
        <v/>
      </c>
      <c r="AK104" s="64"/>
      <c r="AL104" s="43" t="str">
        <f>IF(OR(B104="",AW104="Ineligible",AR104="N/A"),"",IF(OR(F104=Lists!$I$16,F104=Lists!$I$17,F104=Lists!$I$18),"",IF(D104&lt;=5,"EER","IEER")))</f>
        <v/>
      </c>
      <c r="AM104" s="43"/>
      <c r="AN104" s="43"/>
      <c r="AO104" s="204"/>
      <c r="AP104" s="55" t="str">
        <f>IFERROR(IF(OR(D104="",F104="",W104="",R104="",W104="Please Select",R104="Please Select"),"",VLOOKUP('HVAC Efficiency Tables'!X131&amp;R104&amp;W104,HVACEfficiencies,3,FALSE)),"")</f>
        <v/>
      </c>
      <c r="AQ104" s="43" t="str">
        <f>IF(OR(AP104="N/A",AP104=""),"",IF(OR(F104=Lists!$I$11,F104=Lists!$I$16,F104=Lists!$J$12,F104=Lists!$I$13,F104=Lists!$I$14),"EER",IF(OR(F104=Lists!$I$17,F104=Lists!$I$18),"kW/ton",IF(D104*12000&lt;65000,"SEER","EER"))))</f>
        <v/>
      </c>
      <c r="AR104" s="55" t="str">
        <f>IFERROR(IF(OR(D104="",F104="",W104="",R104="",W104="Please Select",R104="Please Select"),"",VLOOKUP('HVAC Efficiency Tables'!X131&amp;R104&amp;W104,HVACEfficiencies,8,FALSE)),"")</f>
        <v/>
      </c>
      <c r="AS104" s="43" t="str">
        <f>IF(OR(AR104="N/A",AR104=""),"",IF(OR(F104=Lists!$I$16,F104=Lists!$I$17,F104=Lists!$I$18),"",IF(D104&lt;=5,"EER","IEER")))</f>
        <v/>
      </c>
      <c r="AT104" s="43"/>
      <c r="AU104" s="43"/>
      <c r="AV104" s="43"/>
      <c r="AW104" s="894" t="str">
        <f t="shared" si="75"/>
        <v/>
      </c>
      <c r="AX104" s="894"/>
      <c r="AY104" s="463" t="str">
        <f>IFERROR(IF(OR(D104="",F104="",W104="",R104="",W104="Please Select",R104="Please Select"),"",VLOOKUP('HVAC Efficiency Tables'!X131&amp;R104&amp;W104,HVACEfficiencies,5,FALSE)),"")</f>
        <v/>
      </c>
      <c r="AZ104" s="420" t="str">
        <f>IF(OR(AY104="N/A",AY104=""),"",IF(F104=Lists!$I$16,"EER",IF(OR(F104=Lists!$I$17,F104=Lists!$I$18),"kW/ton",IF(D104*12000&lt;65000,"SEER","EER"))))</f>
        <v/>
      </c>
      <c r="BA104" s="463" t="str">
        <f>IFERROR(IF(OR(D104="",F104="",W104="",R104="",W104="Please Select",R104="Please Select"),"",VLOOKUP('HVAC Efficiency Tables'!X131&amp;R104&amp;W104,HVACEfficiencies,9,FALSE)),"")</f>
        <v/>
      </c>
      <c r="BB104" s="420" t="str">
        <f>IF(OR(AY104="N/A",AY104=""),"",IF(OR(F104=Lists!$I$16,F104=Lists!$I$17,F104=Lists!$I$18),"",IF(D104&lt;=5,"EER","IEER")))</f>
        <v/>
      </c>
      <c r="BC104" s="673"/>
      <c r="BD104" s="673"/>
      <c r="BE104" s="904" t="str">
        <f t="shared" si="76"/>
        <v/>
      </c>
      <c r="BF104" s="904"/>
      <c r="BG104" s="157" t="s">
        <v>142</v>
      </c>
      <c r="BH104" s="895" t="str">
        <f t="shared" si="77"/>
        <v/>
      </c>
      <c r="BI104" s="895"/>
      <c r="BJ104" s="582"/>
      <c r="BQ104" s="298" t="e">
        <f>VLOOKUP('HVAC Efficiency Tables'!X131&amp;R104&amp;W104,HVACEfficiencies,7,FALSE)</f>
        <v>#N/A</v>
      </c>
      <c r="BR104" s="298">
        <f t="shared" si="71"/>
        <v>599</v>
      </c>
      <c r="BS104" s="298" t="e">
        <f t="shared" ref="BS104" si="80">B104*D104*(1/BQ104-1/AI104)*12000/1000*BR104</f>
        <v>#N/A</v>
      </c>
      <c r="BT104" s="298" t="e">
        <f t="shared" ref="BT104" si="81">B104*D104*(1/(BQ104*0.857)-1/(AI104*0.857))*12000/1000*BR104</f>
        <v>#N/A</v>
      </c>
      <c r="BU104" s="298" t="e">
        <f t="shared" ref="BU104" si="82">B104*D104*(BQ104-AI104)*BR104</f>
        <v>#N/A</v>
      </c>
      <c r="BV104" s="617">
        <f t="shared" ref="BV104" si="83">IF(OR(BE104="Qualified",AW104="Qualified"),IF(AJ104="EER",BS104,IF(AJ104="SEER",BT104,IF(AJ104="kW/ton",BU104,0))),0)</f>
        <v>0</v>
      </c>
      <c r="BW104" s="301">
        <f t="shared" ref="BW104" si="84">IF(BR104=0,"Select Bldg Type",BV104/BR104)</f>
        <v>0</v>
      </c>
      <c r="BY104" s="94"/>
      <c r="BZ104" s="94"/>
      <c r="CA104" s="94"/>
      <c r="CB104" s="900" t="str">
        <f>'HVAC Efficiency Tables'!$Y131</f>
        <v/>
      </c>
      <c r="CC104" s="901"/>
      <c r="CD104" s="901"/>
      <c r="CE104" s="902"/>
      <c r="CF104" s="382"/>
      <c r="CG104" s="900" t="str">
        <f>'HVAC Efficiency Tables'!$Z131</f>
        <v/>
      </c>
      <c r="CH104" s="901"/>
      <c r="CI104" s="901"/>
      <c r="CJ104" s="901"/>
      <c r="CK104" s="901"/>
      <c r="CL104" s="902"/>
      <c r="CM104" s="94"/>
      <c r="CN104" s="94"/>
      <c r="CO104" s="94"/>
      <c r="CP104" s="94"/>
      <c r="CQ104" s="94"/>
      <c r="CR104" s="94"/>
      <c r="CS104" s="94"/>
      <c r="CT104" s="94"/>
      <c r="CU104" s="94"/>
      <c r="CV104" s="94"/>
      <c r="CW104" s="94"/>
      <c r="CX104" s="94"/>
      <c r="CY104" s="94"/>
      <c r="CZ104" s="94"/>
    </row>
    <row r="105" spans="1:178" ht="14.1" hidden="1" customHeight="1">
      <c r="A105" s="54"/>
      <c r="B105" s="64"/>
      <c r="C105" s="333"/>
      <c r="D105" s="64"/>
      <c r="E105" s="231"/>
      <c r="F105" s="903"/>
      <c r="G105" s="903"/>
      <c r="H105" s="903"/>
      <c r="I105" s="903"/>
      <c r="J105" s="903"/>
      <c r="K105" s="903"/>
      <c r="L105" s="903"/>
      <c r="M105" s="903"/>
      <c r="N105" s="903"/>
      <c r="O105" s="903"/>
      <c r="P105" s="903"/>
      <c r="Q105" s="208"/>
      <c r="R105" s="900" t="str">
        <f>'HVAC Efficiency Tables'!$Y132</f>
        <v/>
      </c>
      <c r="S105" s="901"/>
      <c r="T105" s="901"/>
      <c r="U105" s="902"/>
      <c r="V105" s="382"/>
      <c r="W105" s="900" t="str">
        <f>'HVAC Efficiency Tables'!$Z132</f>
        <v/>
      </c>
      <c r="X105" s="901"/>
      <c r="Y105" s="901"/>
      <c r="Z105" s="901"/>
      <c r="AA105" s="901"/>
      <c r="AB105" s="902"/>
      <c r="AC105" s="204"/>
      <c r="AD105" s="890"/>
      <c r="AE105" s="890"/>
      <c r="AF105" s="890"/>
      <c r="AG105" s="890"/>
      <c r="AH105" s="333"/>
      <c r="AI105" s="64"/>
      <c r="AJ105" s="43" t="str">
        <f>IF(OR(D105="",AW105="Ineligible"),"",IF(OR(F105=Lists!$I$11,F105=Lists!$I$16,F105=Lists!$J$12,F105=Lists!$I$13,F105=Lists!$I$14),"EER",IF(OR(F105=Lists!$I$17,F105=Lists!$I$18),"kW/ton",IF(D105*12000&lt;65000,"SEER","EER"))))</f>
        <v/>
      </c>
      <c r="AK105" s="64"/>
      <c r="AL105" s="43" t="str">
        <f>IF(OR(B105="",AW105="Ineligible",AR105="N/A"),"",IF(OR(F105=Lists!$I$16,F105=Lists!$I$17,F105=Lists!$I$18),"",IF(D105&lt;=5,"EER","IEER")))</f>
        <v/>
      </c>
      <c r="AM105" s="43"/>
      <c r="AN105" s="43"/>
      <c r="AO105" s="204"/>
      <c r="AP105" s="55" t="str">
        <f>IFERROR(IF(OR(D105="",F105="",W105="",R105="",W105="Please Select",R105="Please Select"),"",VLOOKUP('HVAC Efficiency Tables'!X132&amp;R105&amp;W105,HVACEfficiencies,3,FALSE)),"")</f>
        <v/>
      </c>
      <c r="AQ105" s="43" t="str">
        <f>IF(OR(AP105="N/A",AP105=""),"",IF(OR(F105=Lists!$I$11,F105=Lists!$I$16,F105=Lists!$J$12,F105=Lists!$I$13,F105=Lists!$I$14),"EER",IF(OR(F105=Lists!$I$17,F105=Lists!$I$18),"kW/ton",IF(D105*12000&lt;65000,"SEER","EER"))))</f>
        <v/>
      </c>
      <c r="AR105" s="55" t="str">
        <f>IFERROR(IF(OR(D105="",F105="",W105="",R105="",W105="Please Select",R105="Please Select"),"",VLOOKUP('HVAC Efficiency Tables'!X132&amp;R105&amp;W105,HVACEfficiencies,8,FALSE)),"")</f>
        <v/>
      </c>
      <c r="AS105" s="43" t="str">
        <f>IF(OR(AR105="N/A",AR105=""),"",IF(OR(F105=Lists!$I$16,F105=Lists!$I$17,F105=Lists!$I$18),"",IF(D105&lt;=5,"EER","IEER")))</f>
        <v/>
      </c>
      <c r="AT105" s="43"/>
      <c r="AU105" s="43"/>
      <c r="AV105" s="43"/>
      <c r="AW105" s="894" t="str">
        <f t="shared" si="75"/>
        <v/>
      </c>
      <c r="AX105" s="894"/>
      <c r="AY105" s="463" t="str">
        <f>IFERROR(IF(OR(D105="",F105="",W105="",R105="",W105="Please Select",R105="Please Select"),"",VLOOKUP('HVAC Efficiency Tables'!X132&amp;R105&amp;W105,HVACEfficiencies,5,FALSE)),"")</f>
        <v/>
      </c>
      <c r="AZ105" s="420" t="str">
        <f>IF(OR(AY105="N/A",AY105=""),"",IF(F105=Lists!$I$16,"EER",IF(OR(F105=Lists!$I$17,F105=Lists!$I$18),"kW/ton",IF(D105*12000&lt;65000,"SEER","EER"))))</f>
        <v/>
      </c>
      <c r="BA105" s="463" t="str">
        <f>IFERROR(IF(OR(D105="",F105="",W105="",R105="",W105="Please Select",R105="Please Select"),"",VLOOKUP('HVAC Efficiency Tables'!X132&amp;R105&amp;W105,HVACEfficiencies,9,FALSE)),"")</f>
        <v/>
      </c>
      <c r="BB105" s="420" t="str">
        <f>IF(OR(AY105="N/A",AY105=""),"",IF(OR(F105=Lists!$I$16,F105=Lists!$I$17,F105=Lists!$I$18),"",IF(D105&lt;=5,"EER","IEER")))</f>
        <v/>
      </c>
      <c r="BC105" s="673"/>
      <c r="BD105" s="673"/>
      <c r="BE105" s="904" t="str">
        <f t="shared" si="76"/>
        <v/>
      </c>
      <c r="BF105" s="904"/>
      <c r="BG105" s="157" t="s">
        <v>142</v>
      </c>
      <c r="BH105" s="895" t="str">
        <f t="shared" si="77"/>
        <v/>
      </c>
      <c r="BI105" s="895"/>
      <c r="BJ105" s="582"/>
      <c r="BQ105" s="298" t="e">
        <f>VLOOKUP('HVAC Efficiency Tables'!X132&amp;R105&amp;W105,HVACEfficiencies,7,FALSE)</f>
        <v>#N/A</v>
      </c>
      <c r="BR105" s="298">
        <f t="shared" si="71"/>
        <v>599</v>
      </c>
      <c r="BS105" s="298" t="e">
        <f t="shared" si="72"/>
        <v>#N/A</v>
      </c>
      <c r="BT105" s="298" t="e">
        <f t="shared" si="73"/>
        <v>#N/A</v>
      </c>
      <c r="BU105" s="298" t="e">
        <f t="shared" si="74"/>
        <v>#N/A</v>
      </c>
      <c r="BV105" s="617">
        <f t="shared" si="79"/>
        <v>0</v>
      </c>
      <c r="BW105" s="301">
        <f t="shared" si="78"/>
        <v>0</v>
      </c>
      <c r="BY105" s="94"/>
      <c r="BZ105" s="94"/>
      <c r="CA105" s="94"/>
      <c r="CB105" s="900" t="str">
        <f>'HVAC Efficiency Tables'!$Y132</f>
        <v/>
      </c>
      <c r="CC105" s="901"/>
      <c r="CD105" s="901"/>
      <c r="CE105" s="902"/>
      <c r="CF105" s="382"/>
      <c r="CG105" s="900" t="str">
        <f>'HVAC Efficiency Tables'!$Z132</f>
        <v/>
      </c>
      <c r="CH105" s="901"/>
      <c r="CI105" s="901"/>
      <c r="CJ105" s="901"/>
      <c r="CK105" s="901"/>
      <c r="CL105" s="902"/>
      <c r="CM105" s="94"/>
      <c r="CN105" s="94"/>
      <c r="CO105" s="94"/>
      <c r="CP105" s="94"/>
      <c r="CQ105" s="94"/>
      <c r="CR105" s="94"/>
      <c r="CS105" s="94"/>
      <c r="CT105" s="94"/>
      <c r="CU105" s="94"/>
      <c r="CV105" s="94"/>
      <c r="CW105" s="94"/>
      <c r="CX105" s="94"/>
      <c r="CY105" s="94"/>
      <c r="CZ105" s="94"/>
    </row>
    <row r="106" spans="1:178" ht="14.1" hidden="1" customHeight="1">
      <c r="A106" s="54"/>
      <c r="B106" s="64"/>
      <c r="C106" s="333"/>
      <c r="D106" s="64"/>
      <c r="E106" s="231"/>
      <c r="F106" s="897"/>
      <c r="G106" s="898"/>
      <c r="H106" s="898"/>
      <c r="I106" s="898"/>
      <c r="J106" s="898"/>
      <c r="K106" s="898"/>
      <c r="L106" s="898"/>
      <c r="M106" s="898"/>
      <c r="N106" s="898"/>
      <c r="O106" s="898"/>
      <c r="P106" s="899"/>
      <c r="Q106" s="208"/>
      <c r="R106" s="900" t="str">
        <f>'HVAC Efficiency Tables'!$Y133</f>
        <v/>
      </c>
      <c r="S106" s="901"/>
      <c r="T106" s="901"/>
      <c r="U106" s="902"/>
      <c r="V106" s="382"/>
      <c r="W106" s="900" t="str">
        <f>'HVAC Efficiency Tables'!$Z133</f>
        <v/>
      </c>
      <c r="X106" s="901"/>
      <c r="Y106" s="901"/>
      <c r="Z106" s="901"/>
      <c r="AA106" s="901"/>
      <c r="AB106" s="902"/>
      <c r="AC106" s="204"/>
      <c r="AD106" s="890"/>
      <c r="AE106" s="890"/>
      <c r="AF106" s="890"/>
      <c r="AG106" s="890"/>
      <c r="AH106" s="333"/>
      <c r="AI106" s="64"/>
      <c r="AJ106" s="43" t="str">
        <f>IF(OR(D106="",AW106="Ineligible"),"",IF(OR(F106=Lists!$I$11,F106=Lists!$I$16,F106=Lists!$J$12,F106=Lists!$I$13,F106=Lists!$I$14),"EER",IF(OR(F106=Lists!$I$17,F106=Lists!$I$18),"kW/ton",IF(D106*12000&lt;65000,"SEER","EER"))))</f>
        <v/>
      </c>
      <c r="AK106" s="64"/>
      <c r="AL106" s="43" t="str">
        <f>IF(OR(B106="",AW106="Ineligible",AR106="N/A"),"",IF(OR(F106=Lists!$I$16,F106=Lists!$I$17,F106=Lists!$I$18),"",IF(D106&lt;=5,"EER","IEER")))</f>
        <v/>
      </c>
      <c r="AM106" s="43"/>
      <c r="AN106" s="43"/>
      <c r="AO106" s="204"/>
      <c r="AP106" s="55" t="str">
        <f>IFERROR(IF(OR(D106="",F106="",W106="",R106="",W106="Please Select",R106="Please Select"),"",VLOOKUP('HVAC Efficiency Tables'!X133&amp;R106&amp;W106,HVACEfficiencies,3,FALSE)),"")</f>
        <v/>
      </c>
      <c r="AQ106" s="43" t="str">
        <f>IF(OR(AP106="N/A",AP106=""),"",IF(OR(F106=Lists!$I$11,F106=Lists!$I$16,F106=Lists!$J$12,F106=Lists!$I$13,F106=Lists!$I$14),"EER",IF(OR(F106=Lists!$I$17,F106=Lists!$I$18),"kW/ton",IF(D106*12000&lt;65000,"SEER","EER"))))</f>
        <v/>
      </c>
      <c r="AR106" s="55" t="str">
        <f>IFERROR(IF(OR(D106="",F106="",W106="",R106="",W106="Please Select",R106="Please Select"),"",VLOOKUP('HVAC Efficiency Tables'!X133&amp;R106&amp;W106,HVACEfficiencies,8,FALSE)),"")</f>
        <v/>
      </c>
      <c r="AS106" s="43" t="str">
        <f>IF(OR(AR106="N/A",AR106=""),"",IF(OR(F106=Lists!$I$16,F106=Lists!$I$17,F106=Lists!$I$18),"",IF(D106&lt;=5,"EER","IEER")))</f>
        <v/>
      </c>
      <c r="AT106" s="43"/>
      <c r="AU106" s="43"/>
      <c r="AV106" s="43"/>
      <c r="AW106" s="894" t="str">
        <f t="shared" si="75"/>
        <v/>
      </c>
      <c r="AX106" s="894"/>
      <c r="AY106" s="463" t="str">
        <f>IFERROR(IF(OR(D106="",F106="",W106="",R106="",W106="Please Select",R106="Please Select"),"",VLOOKUP('HVAC Efficiency Tables'!X133&amp;R106&amp;W106,HVACEfficiencies,5,FALSE)),"")</f>
        <v/>
      </c>
      <c r="AZ106" s="420" t="str">
        <f>IF(OR(AY106="N/A",AY106=""),"",IF(F106=Lists!$I$16,"EER",IF(OR(F106=Lists!$I$17,F106=Lists!$I$18),"kW/ton",IF(D106*12000&lt;65000,"SEER","EER"))))</f>
        <v/>
      </c>
      <c r="BA106" s="463" t="str">
        <f>IFERROR(IF(OR(D106="",F106="",W106="",R106="",W106="Please Select",R106="Please Select"),"",VLOOKUP('HVAC Efficiency Tables'!X133&amp;R106&amp;W106,HVACEfficiencies,9,FALSE)),"")</f>
        <v/>
      </c>
      <c r="BB106" s="420" t="str">
        <f>IF(OR(AY106="N/A",AY106=""),"",IF(OR(F106=Lists!$I$16,F106=Lists!$I$17,F106=Lists!$I$18),"",IF(D106&lt;=5,"EER","IEER")))</f>
        <v/>
      </c>
      <c r="BC106" s="673"/>
      <c r="BD106" s="673"/>
      <c r="BE106" s="904" t="str">
        <f t="shared" si="76"/>
        <v/>
      </c>
      <c r="BF106" s="904"/>
      <c r="BG106" s="157" t="s">
        <v>142</v>
      </c>
      <c r="BH106" s="895" t="str">
        <f t="shared" si="77"/>
        <v/>
      </c>
      <c r="BI106" s="895"/>
      <c r="BJ106" s="582"/>
      <c r="BQ106" s="298" t="e">
        <f>VLOOKUP('HVAC Efficiency Tables'!X133&amp;R106&amp;W106,HVACEfficiencies,7,FALSE)</f>
        <v>#N/A</v>
      </c>
      <c r="BR106" s="298">
        <f t="shared" si="71"/>
        <v>599</v>
      </c>
      <c r="BS106" s="298" t="e">
        <f t="shared" si="72"/>
        <v>#N/A</v>
      </c>
      <c r="BT106" s="298" t="e">
        <f t="shared" si="73"/>
        <v>#N/A</v>
      </c>
      <c r="BU106" s="298" t="e">
        <f t="shared" si="74"/>
        <v>#N/A</v>
      </c>
      <c r="BV106" s="617">
        <f t="shared" si="79"/>
        <v>0</v>
      </c>
      <c r="BW106" s="301">
        <f t="shared" si="78"/>
        <v>0</v>
      </c>
      <c r="BY106" s="94"/>
      <c r="BZ106" s="94"/>
      <c r="CA106" s="94"/>
      <c r="CB106" s="900" t="str">
        <f>'HVAC Efficiency Tables'!$Y133</f>
        <v/>
      </c>
      <c r="CC106" s="901"/>
      <c r="CD106" s="901"/>
      <c r="CE106" s="902"/>
      <c r="CF106" s="382"/>
      <c r="CG106" s="900" t="str">
        <f>'HVAC Efficiency Tables'!$Z133</f>
        <v/>
      </c>
      <c r="CH106" s="901"/>
      <c r="CI106" s="901"/>
      <c r="CJ106" s="901"/>
      <c r="CK106" s="901"/>
      <c r="CL106" s="902"/>
      <c r="CM106" s="94"/>
      <c r="CN106" s="94"/>
      <c r="CO106" s="94"/>
      <c r="CP106" s="94"/>
      <c r="CQ106" s="94"/>
      <c r="CR106" s="94"/>
      <c r="CS106" s="94"/>
      <c r="CT106" s="94"/>
      <c r="CU106" s="94"/>
      <c r="CV106" s="94"/>
      <c r="CW106" s="94"/>
      <c r="CX106" s="94"/>
      <c r="CY106" s="94"/>
      <c r="CZ106" s="94"/>
    </row>
    <row r="107" spans="1:178" ht="12.75" customHeight="1" thickBot="1">
      <c r="A107" s="56"/>
      <c r="B107" s="57"/>
      <c r="C107" s="57"/>
      <c r="D107" s="57"/>
      <c r="E107" s="57"/>
      <c r="F107" s="58"/>
      <c r="G107" s="58"/>
      <c r="H107" s="58"/>
      <c r="I107" s="58"/>
      <c r="J107" s="58"/>
      <c r="K107" s="58"/>
      <c r="L107" s="58"/>
      <c r="M107" s="58"/>
      <c r="N107" s="58"/>
      <c r="O107" s="58"/>
      <c r="P107" s="58"/>
      <c r="Q107" s="58"/>
      <c r="R107" s="724"/>
      <c r="S107" s="724"/>
      <c r="T107" s="724"/>
      <c r="U107" s="725"/>
      <c r="V107" s="725"/>
      <c r="W107" s="724"/>
      <c r="X107" s="724"/>
      <c r="Y107" s="724"/>
      <c r="Z107" s="724"/>
      <c r="AA107" s="724"/>
      <c r="AB107" s="725"/>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8"/>
      <c r="BH107" s="58"/>
      <c r="BI107" s="57"/>
      <c r="BJ107" s="59"/>
      <c r="BQ107" s="303"/>
      <c r="BR107" s="303"/>
      <c r="BS107" s="303"/>
      <c r="BT107" s="303"/>
      <c r="BU107" s="303"/>
      <c r="BV107" s="304" t="s">
        <v>2727</v>
      </c>
      <c r="BW107" s="304" t="s">
        <v>2728</v>
      </c>
      <c r="BY107" s="94"/>
      <c r="BZ107" s="94"/>
      <c r="CA107" s="94"/>
      <c r="CB107" s="94"/>
      <c r="CC107" s="94"/>
      <c r="CD107" s="94"/>
      <c r="CE107" s="94"/>
      <c r="CF107" s="94"/>
      <c r="CG107" s="94"/>
      <c r="CH107" s="94"/>
      <c r="CI107" s="94"/>
      <c r="CJ107" s="94"/>
      <c r="CK107" s="94"/>
      <c r="CL107" s="94"/>
      <c r="CM107" s="94"/>
      <c r="CN107" s="94"/>
      <c r="CO107" s="94"/>
      <c r="CP107" s="94"/>
      <c r="CQ107" s="94"/>
      <c r="CR107" s="94"/>
      <c r="CS107" s="94"/>
      <c r="CT107" s="94"/>
      <c r="CU107" s="94"/>
      <c r="CV107" s="94"/>
      <c r="CW107" s="94"/>
      <c r="CX107" s="94"/>
      <c r="CY107" s="94"/>
      <c r="CZ107" s="94"/>
    </row>
    <row r="108" spans="1:178" ht="15">
      <c r="A108" s="25"/>
      <c r="B108" s="25"/>
      <c r="C108" s="25"/>
      <c r="D108" s="60"/>
      <c r="E108" s="60"/>
      <c r="F108" s="60"/>
      <c r="G108" s="60"/>
      <c r="H108" s="60"/>
      <c r="I108" s="60"/>
      <c r="J108" s="60"/>
      <c r="K108" s="60"/>
      <c r="L108" s="60"/>
      <c r="M108" s="60"/>
      <c r="N108" s="60"/>
      <c r="O108" s="60"/>
      <c r="P108" s="60"/>
      <c r="Q108" s="60"/>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61" t="s">
        <v>2729</v>
      </c>
      <c r="BG108" s="25"/>
      <c r="BH108" s="896" t="str">
        <f>IF(BM78&gt;=1,SUM(BH78:BH106),"")</f>
        <v/>
      </c>
      <c r="BI108" s="896"/>
      <c r="BJ108" s="25"/>
      <c r="BQ108" s="303"/>
      <c r="BR108" s="303"/>
      <c r="BS108" s="303"/>
      <c r="BT108" s="303"/>
      <c r="BU108" s="303"/>
      <c r="BV108" s="302">
        <f>SUM(BV78:BV106)</f>
        <v>0</v>
      </c>
      <c r="BW108" s="302">
        <f>SUM(BW78:BW106)</f>
        <v>0</v>
      </c>
      <c r="BY108" s="94"/>
      <c r="BZ108" s="94"/>
      <c r="CA108" s="94"/>
      <c r="CB108" s="94"/>
      <c r="CC108" s="94"/>
      <c r="CD108" s="94"/>
      <c r="CE108" s="94"/>
      <c r="CF108" s="94"/>
      <c r="CG108" s="94"/>
      <c r="CH108" s="94"/>
      <c r="CI108" s="94"/>
      <c r="CJ108" s="94"/>
      <c r="CK108" s="94"/>
      <c r="CL108" s="94"/>
      <c r="CM108" s="94"/>
      <c r="CN108" s="94"/>
      <c r="CO108" s="94"/>
      <c r="CP108" s="94"/>
      <c r="CQ108" s="94"/>
      <c r="CR108" s="94"/>
      <c r="CS108" s="94"/>
      <c r="CT108" s="94"/>
      <c r="CU108" s="94"/>
      <c r="CV108" s="94"/>
      <c r="CW108" s="94"/>
      <c r="CX108" s="94"/>
      <c r="CY108" s="94"/>
      <c r="CZ108" s="94"/>
    </row>
    <row r="109" spans="1:178" ht="16.5" hidden="1" thickBot="1">
      <c r="A109" s="62" t="s">
        <v>2730</v>
      </c>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34"/>
      <c r="BH109" s="34"/>
      <c r="BI109" s="25"/>
      <c r="BJ109" s="25"/>
      <c r="BQ109" s="84"/>
      <c r="BR109" s="305"/>
      <c r="BS109" s="305"/>
      <c r="BT109" s="305"/>
      <c r="BU109" s="305"/>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row>
    <row r="110" spans="1:178" s="22" customFormat="1" ht="12.75" hidden="1" customHeight="1">
      <c r="A110" s="581"/>
      <c r="B110" s="381"/>
      <c r="C110" s="381"/>
      <c r="D110" s="381"/>
      <c r="E110" s="381"/>
      <c r="F110" s="381"/>
      <c r="G110" s="381"/>
      <c r="H110" s="381"/>
      <c r="I110" s="381"/>
      <c r="J110" s="381"/>
      <c r="K110" s="381"/>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c r="AG110" s="381"/>
      <c r="AH110" s="381"/>
      <c r="AI110" s="381"/>
      <c r="AJ110" s="381"/>
      <c r="AK110" s="381"/>
      <c r="AL110" s="381"/>
      <c r="AM110" s="676"/>
      <c r="AN110" s="676"/>
      <c r="AO110" s="381"/>
      <c r="AP110" s="919" t="s">
        <v>2655</v>
      </c>
      <c r="AQ110" s="919"/>
      <c r="AR110" s="919"/>
      <c r="AS110" s="919"/>
      <c r="AT110" s="919"/>
      <c r="AU110" s="919"/>
      <c r="AV110" s="919"/>
      <c r="AW110" s="919"/>
      <c r="AX110" s="919"/>
      <c r="AY110" s="919"/>
      <c r="AZ110" s="919"/>
      <c r="BA110" s="919"/>
      <c r="BB110" s="919"/>
      <c r="BC110" s="919"/>
      <c r="BD110" s="919"/>
      <c r="BE110" s="919"/>
      <c r="BF110" s="919"/>
      <c r="BG110" s="922" t="s">
        <v>2731</v>
      </c>
      <c r="BH110" s="922"/>
      <c r="BI110" s="922"/>
      <c r="BJ110" s="225"/>
      <c r="BK110" s="1"/>
      <c r="BL110" s="1"/>
      <c r="BM110" s="1"/>
      <c r="BN110" s="1"/>
      <c r="BQ110" s="928" t="s">
        <v>2732</v>
      </c>
      <c r="BR110" s="928"/>
      <c r="BS110" s="928"/>
      <c r="BT110" s="928"/>
      <c r="BU110" s="928"/>
      <c r="BV110" s="928"/>
      <c r="BW110" s="928"/>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102"/>
      <c r="CT110" s="102"/>
      <c r="CU110" s="102"/>
      <c r="CV110" s="102"/>
      <c r="CW110" s="102"/>
      <c r="CX110" s="102"/>
      <c r="CY110" s="102"/>
      <c r="CZ110" s="102"/>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row>
    <row r="111" spans="1:178" s="22" customFormat="1" ht="22.35" hidden="1" customHeight="1">
      <c r="A111" s="48"/>
      <c r="B111" s="208"/>
      <c r="C111" s="49"/>
      <c r="D111" s="208"/>
      <c r="E111" s="208"/>
      <c r="F111" s="50"/>
      <c r="G111" s="50"/>
      <c r="H111" s="50"/>
      <c r="I111" s="50"/>
      <c r="J111" s="50"/>
      <c r="K111" s="50"/>
      <c r="L111" s="50"/>
      <c r="M111" s="50"/>
      <c r="N111" s="50"/>
      <c r="O111" s="50"/>
      <c r="P111" s="50"/>
      <c r="Q111" s="208"/>
      <c r="R111" s="909" t="s">
        <v>2714</v>
      </c>
      <c r="S111" s="909"/>
      <c r="T111" s="909"/>
      <c r="U111" s="909"/>
      <c r="V111" s="204"/>
      <c r="W111" s="909" t="s">
        <v>2733</v>
      </c>
      <c r="X111" s="909"/>
      <c r="Y111" s="909"/>
      <c r="Z111" s="909"/>
      <c r="AA111" s="909"/>
      <c r="AB111" s="909"/>
      <c r="AC111" s="204"/>
      <c r="AD111" s="204"/>
      <c r="AE111" s="204"/>
      <c r="AF111" s="204"/>
      <c r="AG111" s="204"/>
      <c r="AH111" s="204"/>
      <c r="AI111" s="51" t="s">
        <v>2715</v>
      </c>
      <c r="AJ111" s="204"/>
      <c r="AK111" s="52" t="s">
        <v>2716</v>
      </c>
      <c r="AL111" s="204"/>
      <c r="AM111" s="677"/>
      <c r="AN111" s="677"/>
      <c r="AO111" s="208"/>
      <c r="AP111" s="910" t="s">
        <v>2683</v>
      </c>
      <c r="AQ111" s="910"/>
      <c r="AR111" s="910"/>
      <c r="AS111" s="910"/>
      <c r="AT111" s="910"/>
      <c r="AU111" s="910"/>
      <c r="AV111" s="910"/>
      <c r="AW111" s="910"/>
      <c r="AX111" s="910"/>
      <c r="AY111" s="910" t="s">
        <v>2684</v>
      </c>
      <c r="AZ111" s="910"/>
      <c r="BA111" s="910"/>
      <c r="BB111" s="910"/>
      <c r="BC111" s="910"/>
      <c r="BD111" s="910"/>
      <c r="BE111" s="910"/>
      <c r="BF111" s="910"/>
      <c r="BG111" s="923"/>
      <c r="BH111" s="923"/>
      <c r="BI111" s="923"/>
      <c r="BJ111" s="53"/>
      <c r="BK111" s="1"/>
      <c r="BL111" s="1"/>
      <c r="BM111" s="1"/>
      <c r="BN111" s="1"/>
      <c r="BQ111" s="84"/>
      <c r="BR111" s="84"/>
      <c r="BS111" s="84"/>
      <c r="BT111" s="84"/>
      <c r="BU111" s="84"/>
      <c r="BV111" s="84"/>
      <c r="BW111" s="84"/>
      <c r="BY111" s="102"/>
      <c r="BZ111" s="102"/>
      <c r="CA111" s="102"/>
      <c r="CB111" s="909" t="s">
        <v>2714</v>
      </c>
      <c r="CC111" s="909"/>
      <c r="CD111" s="909"/>
      <c r="CE111" s="909"/>
      <c r="CF111" s="204"/>
      <c r="CG111" s="909" t="s">
        <v>2733</v>
      </c>
      <c r="CH111" s="909"/>
      <c r="CI111" s="909"/>
      <c r="CJ111" s="909"/>
      <c r="CK111" s="909"/>
      <c r="CL111" s="909"/>
      <c r="CM111" s="102"/>
      <c r="CN111" s="102"/>
      <c r="CO111" s="102"/>
      <c r="CP111" s="102"/>
      <c r="CQ111" s="102"/>
      <c r="CR111" s="102"/>
      <c r="CS111" s="102"/>
      <c r="CT111" s="102"/>
      <c r="CU111" s="102"/>
      <c r="CV111" s="102"/>
      <c r="CW111" s="102"/>
      <c r="CX111" s="102"/>
      <c r="CY111" s="102"/>
      <c r="CZ111" s="102"/>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row>
    <row r="112" spans="1:178" s="22" customFormat="1" ht="33" hidden="1" customHeight="1">
      <c r="A112" s="48"/>
      <c r="B112" s="50" t="s">
        <v>2661</v>
      </c>
      <c r="C112" s="49"/>
      <c r="D112" s="50" t="s">
        <v>2662</v>
      </c>
      <c r="E112" s="50"/>
      <c r="F112" s="50" t="s">
        <v>2717</v>
      </c>
      <c r="G112" s="50"/>
      <c r="H112" s="50"/>
      <c r="I112" s="50"/>
      <c r="J112" s="50"/>
      <c r="K112" s="50"/>
      <c r="L112" s="50"/>
      <c r="M112" s="50"/>
      <c r="N112" s="50"/>
      <c r="O112" s="50"/>
      <c r="P112" s="50"/>
      <c r="Q112" s="208"/>
      <c r="R112" s="909"/>
      <c r="S112" s="909"/>
      <c r="T112" s="909"/>
      <c r="U112" s="909"/>
      <c r="V112" s="204"/>
      <c r="W112" s="909"/>
      <c r="X112" s="909"/>
      <c r="Y112" s="909"/>
      <c r="Z112" s="909"/>
      <c r="AA112" s="909"/>
      <c r="AB112" s="909"/>
      <c r="AC112" s="204"/>
      <c r="AD112" s="50" t="s">
        <v>2664</v>
      </c>
      <c r="AE112" s="204"/>
      <c r="AF112" s="50"/>
      <c r="AG112" s="50"/>
      <c r="AH112" s="51"/>
      <c r="AI112" s="208" t="s">
        <v>2665</v>
      </c>
      <c r="AJ112" s="204"/>
      <c r="AK112" s="208" t="s">
        <v>2665</v>
      </c>
      <c r="AL112" s="204"/>
      <c r="AM112" s="677"/>
      <c r="AN112" s="677"/>
      <c r="AO112" s="204"/>
      <c r="AP112" s="911" t="s">
        <v>2734</v>
      </c>
      <c r="AQ112" s="911"/>
      <c r="AR112" s="911"/>
      <c r="AS112" s="911"/>
      <c r="AT112" s="911"/>
      <c r="AU112" s="911"/>
      <c r="AV112" s="911"/>
      <c r="AW112" s="911"/>
      <c r="AX112" s="50"/>
      <c r="AY112" s="911" t="s">
        <v>2735</v>
      </c>
      <c r="AZ112" s="911"/>
      <c r="BA112" s="911"/>
      <c r="BB112" s="911"/>
      <c r="BC112" s="911"/>
      <c r="BD112" s="911"/>
      <c r="BE112" s="911"/>
      <c r="BF112" s="911"/>
      <c r="BG112" s="923"/>
      <c r="BH112" s="923"/>
      <c r="BI112" s="923"/>
      <c r="BJ112" s="53"/>
      <c r="BK112" s="1"/>
      <c r="BL112" s="1"/>
      <c r="BM112" s="1"/>
      <c r="BN112" s="1"/>
      <c r="BQ112" s="297" t="s">
        <v>2718</v>
      </c>
      <c r="BR112" s="306" t="s">
        <v>2719</v>
      </c>
      <c r="BS112" s="306" t="s">
        <v>2720</v>
      </c>
      <c r="BT112" s="306" t="s">
        <v>2721</v>
      </c>
      <c r="BU112" s="306" t="s">
        <v>2722</v>
      </c>
      <c r="BV112" s="306" t="s">
        <v>2687</v>
      </c>
      <c r="BW112" s="307" t="s">
        <v>2688</v>
      </c>
      <c r="BY112" s="102"/>
      <c r="BZ112" s="102"/>
      <c r="CA112" s="102"/>
      <c r="CB112" s="909"/>
      <c r="CC112" s="909"/>
      <c r="CD112" s="909"/>
      <c r="CE112" s="909"/>
      <c r="CF112" s="204"/>
      <c r="CG112" s="909"/>
      <c r="CH112" s="909"/>
      <c r="CI112" s="909"/>
      <c r="CJ112" s="909"/>
      <c r="CK112" s="909"/>
      <c r="CL112" s="909"/>
      <c r="CM112" s="102"/>
      <c r="CN112" s="102"/>
      <c r="CO112" s="102"/>
      <c r="CP112" s="102"/>
      <c r="CQ112" s="102"/>
      <c r="CR112" s="102"/>
      <c r="CS112" s="102"/>
      <c r="CT112" s="102"/>
      <c r="CU112" s="102"/>
      <c r="CV112" s="102"/>
      <c r="CW112" s="102"/>
      <c r="CX112" s="102"/>
      <c r="CY112" s="102"/>
      <c r="CZ112" s="102"/>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row>
    <row r="113" spans="1:104" ht="14.1" hidden="1" customHeight="1">
      <c r="A113" s="54"/>
      <c r="B113" s="64"/>
      <c r="C113" s="333"/>
      <c r="D113" s="64"/>
      <c r="E113" s="231"/>
      <c r="F113" s="897"/>
      <c r="G113" s="898"/>
      <c r="H113" s="898"/>
      <c r="I113" s="898"/>
      <c r="J113" s="898"/>
      <c r="K113" s="898"/>
      <c r="L113" s="898"/>
      <c r="M113" s="898"/>
      <c r="N113" s="898"/>
      <c r="O113" s="898"/>
      <c r="P113" s="899"/>
      <c r="Q113" s="208"/>
      <c r="R113" s="914" t="str">
        <f>'HVAC Efficiency Tables'!$Y136</f>
        <v/>
      </c>
      <c r="S113" s="914"/>
      <c r="T113" s="914"/>
      <c r="U113" s="914"/>
      <c r="V113" s="382"/>
      <c r="W113" s="914" t="str">
        <f>'HVAC Efficiency Tables'!$Z136</f>
        <v/>
      </c>
      <c r="X113" s="914"/>
      <c r="Y113" s="914"/>
      <c r="Z113" s="914"/>
      <c r="AA113" s="914"/>
      <c r="AB113" s="914"/>
      <c r="AC113" s="204"/>
      <c r="AD113" s="890"/>
      <c r="AE113" s="890"/>
      <c r="AF113" s="890"/>
      <c r="AG113" s="890"/>
      <c r="AH113" s="333"/>
      <c r="AI113" s="64"/>
      <c r="AJ113" s="43" t="str">
        <f>IF(OR(D113="",AW113="Ineligible"),"",IF(OR(F113=Lists!$I$11,F113=Lists!$I$16,F113=Lists!$J$12),"EER",IF(OR(F113=Lists!$I$17,F113=Lists!$I$18),"kW/ton",IF(D113*12000&lt;65000,"SEER","EER"))))</f>
        <v/>
      </c>
      <c r="AK113" s="64"/>
      <c r="AL113" s="43" t="str">
        <f>IF(OR(B113="",AW113="Ineligible",AR113="N/A"),"",IF(OR(F113=Lists!$I$16,F113=Lists!$I$17,F113=Lists!$I$18),"",IF(D113&lt;=5,"EER","IEER")))</f>
        <v/>
      </c>
      <c r="AM113" s="43"/>
      <c r="AN113" s="43"/>
      <c r="AO113" s="204"/>
      <c r="AP113" s="55" t="str">
        <f>IFERROR(IF(OR(D113="",F113="",W113="",R113="",W113="Please Select",R113="Please Select"),"",VLOOKUP('HVAC Efficiency Tables'!X136&amp;R113&amp;W113,HVACEfficiencies,3,FALSE)),"")</f>
        <v/>
      </c>
      <c r="AQ113" s="43" t="str">
        <f>IF(OR(AP113="N/A",AP113=""),"",IF(OR(F113=Lists!$I$11,F113=Lists!$I$16,F113=Lists!$J$12),"EER",IF(OR(F113=Lists!$I$17,F113=Lists!$I$18),"kW/ton",IF(D113*12000&lt;65000,"SEER","EER"))))</f>
        <v/>
      </c>
      <c r="AR113" s="55" t="str">
        <f>IFERROR(IF(OR(D113="",F113="",W113="",R113="",W113="Please Select",R113="Please Select"),"",VLOOKUP('HVAC Efficiency Tables'!X136&amp;R113&amp;W113,HVACEfficiencies,8,FALSE)),"")</f>
        <v/>
      </c>
      <c r="AS113" s="43" t="str">
        <f>IF(OR(AR113="N/A",AR113=""),"",IF(OR(F113=Lists!$I$16,F113=Lists!$I$17,F113=Lists!$I$18),"",IF(D113&lt;=5,"EER","IEER")))</f>
        <v/>
      </c>
      <c r="AT113" s="43"/>
      <c r="AU113" s="43"/>
      <c r="AV113" s="43"/>
      <c r="AW113" s="894" t="str">
        <f>IF(AND($BR$1="OR",OR(F113="Air Conditioning VRF, Air Cooled",F113="Heat Pump VRF, Water Cooled")),"ID Only*",IF(AND(F113="Heat Pump VRF, Water Cooled",(D113*12000)&gt;134999),"Ineligible",IF(AND(AP113="N/A",AR113="N/A"),"Ineligible",IF(AND(AY113&lt;=AI113,BA113&lt;=AR113),"",IF(AND($AY113&lt;=AI113,OR($BA113&lt;=AK113,$BA113="N/A")),"",IF(AR113="N/A",IF($AP113&lt;=AI113,"Qualified","Not Qualified"),IF(AND($AP113&lt;=AI113,OR($AR113&lt;=AK113,$AR113="N/A")),"Qualified","Not Qualified")))))))</f>
        <v/>
      </c>
      <c r="AX113" s="894"/>
      <c r="AY113" s="55" t="str">
        <f>IFERROR(IF(OR(D113="",F113="",W113="",R113="",W113="Please Select",R113="Please Select"),"",VLOOKUP('HVAC Efficiency Tables'!X136&amp;R113&amp;W113,HVACEfficiencies,5,FALSE)),"")</f>
        <v/>
      </c>
      <c r="AZ113" s="43" t="str">
        <f>IF(OR(AY113="N/A",AY113=""),"",IF(OR(F113=Lists!$I$11,F113=Lists!$I$16,F113=Lists!$J$12),"EER",IF(OR(F113=Lists!$I$17,F113=Lists!$I$18),"kW/ton",IF(D113*12000&lt;65000,"SEER","EER"))))</f>
        <v/>
      </c>
      <c r="BA113" s="55" t="str">
        <f>IFERROR(IF(OR(D113="",F113="",W113="",R113="",W113="Please Select",R113="Please Select"),"",VLOOKUP('HVAC Efficiency Tables'!X136&amp;R113&amp;W113,HVACEfficiencies,9,FALSE)),"")</f>
        <v/>
      </c>
      <c r="BB113" s="43" t="str">
        <f>IF(OR(BA113="N/A",BA113=""),"",IF(OR(F113=Lists!$I$16,F113=Lists!$I$17,F113=Lists!$I$18),"",IF(D113&lt;=5,"EER","IEER")))</f>
        <v/>
      </c>
      <c r="BC113" s="43"/>
      <c r="BD113" s="43"/>
      <c r="BE113" s="894" t="str">
        <f>IF(AND($BR$1="OR",OR(F113="Air Conditioning VRF, Air Cooled",F113="Heat Pump VRF, Water Cooled")),"ID Only*",IF(OR(AI113="",$AY113=""),"",IF(AND($AY113="N/A", $BA113="N/A"),"",IF(AND($AY113&lt;=AI113,OR($BA113&lt;=AK113,$BA113="N/A")),"Qualified","Not Qualified"))))</f>
        <v/>
      </c>
      <c r="BF113" s="894"/>
      <c r="BG113" s="157" t="s">
        <v>142</v>
      </c>
      <c r="BH113" s="895" t="str">
        <f>IF(AW113="ID Only*","ID Only*",IF(AND(F113="Air Conditioning VRF, Air Cooled",AW113="Qualified"),D113*B113*35,
IF(AND(F113="Heat Pump VRF, Air Cooled",AW113="Qualified"),D113*B113*50,
IF(AND(F113="Heat Pump VRF, Water Cooled",AW113="Qualified"),D113*B113*100,
IF(AND(F113="Air Conditioning VRF, Air Cooled",BE113="Qualified"),B113*D113*55,
IF(AND(F113="Heat Pump VRF, Air Cooled",BE113="Qualified"),B113*D113*85,""))))))</f>
        <v/>
      </c>
      <c r="BI113" s="895"/>
      <c r="BJ113" s="582"/>
      <c r="BM113" s="296">
        <f>COUNTIF(AW112:AW118,"Qualified")+COUNTIF(BE112:BE118,"Qualified")</f>
        <v>0</v>
      </c>
      <c r="BQ113" s="298" t="e">
        <f>VLOOKUP('HVAC Efficiency Tables'!X136&amp;R113&amp;W113,HVACEfficiencies,7,FALSE)</f>
        <v>#N/A</v>
      </c>
      <c r="BR113" s="298">
        <f>IF($BX$1="",0,VLOOKUP($BX$1,CoolingHours,3,FALSE))</f>
        <v>599</v>
      </c>
      <c r="BS113" s="298" t="e">
        <f>B113*D113*(1/BQ113-1/AI113)*12000/1000*BR113</f>
        <v>#N/A</v>
      </c>
      <c r="BT113" s="298" t="e">
        <f>B113*D113*(1/(BQ113*0.857)-1/(AI113*0.857))*12000/1000*BR113</f>
        <v>#N/A</v>
      </c>
      <c r="BU113" s="298" t="e">
        <f>B113*D113*(BQ113-AI113)*BR113</f>
        <v>#N/A</v>
      </c>
      <c r="BV113" s="300">
        <f>IF(OR(BE113="Qualified",AW113="Qualified"),IF(AJ113="EER",BS113,IF(AJ113="SEER",BT113,IF(AJ113="kW/ton",BU113,0))),0)</f>
        <v>0</v>
      </c>
      <c r="BW113" s="301">
        <f>IF(BR113=0,"Select Bldg Type",BV113/BR113)</f>
        <v>0</v>
      </c>
      <c r="BY113" s="94"/>
      <c r="BZ113" s="94"/>
      <c r="CA113" s="94"/>
      <c r="CB113" s="914" t="str">
        <f>'HVAC Efficiency Tables'!$Y136</f>
        <v/>
      </c>
      <c r="CC113" s="914"/>
      <c r="CD113" s="914"/>
      <c r="CE113" s="914"/>
      <c r="CF113" s="382"/>
      <c r="CG113" s="914" t="str">
        <f>'HVAC Efficiency Tables'!$Z136</f>
        <v/>
      </c>
      <c r="CH113" s="914"/>
      <c r="CI113" s="914"/>
      <c r="CJ113" s="914"/>
      <c r="CK113" s="914"/>
      <c r="CL113" s="914"/>
      <c r="CM113" s="94"/>
      <c r="CN113" s="94"/>
      <c r="CO113" s="94"/>
      <c r="CP113" s="94"/>
      <c r="CQ113" s="94"/>
      <c r="CR113" s="94"/>
      <c r="CS113" s="94"/>
      <c r="CT113" s="94"/>
      <c r="CU113" s="94"/>
      <c r="CV113" s="94"/>
      <c r="CW113" s="94"/>
      <c r="CX113" s="94"/>
      <c r="CY113" s="94"/>
      <c r="CZ113" s="94"/>
    </row>
    <row r="114" spans="1:104" ht="14.1" hidden="1" customHeight="1">
      <c r="A114" s="54"/>
      <c r="B114" s="64"/>
      <c r="C114" s="333"/>
      <c r="D114" s="64"/>
      <c r="E114" s="231"/>
      <c r="F114" s="897"/>
      <c r="G114" s="898"/>
      <c r="H114" s="898"/>
      <c r="I114" s="898"/>
      <c r="J114" s="898"/>
      <c r="K114" s="898"/>
      <c r="L114" s="898"/>
      <c r="M114" s="898"/>
      <c r="N114" s="898"/>
      <c r="O114" s="898"/>
      <c r="P114" s="899"/>
      <c r="Q114" s="208"/>
      <c r="R114" s="914" t="str">
        <f>'HVAC Efficiency Tables'!$Y137</f>
        <v/>
      </c>
      <c r="S114" s="914"/>
      <c r="T114" s="914"/>
      <c r="U114" s="914"/>
      <c r="V114" s="382"/>
      <c r="W114" s="914" t="str">
        <f>'HVAC Efficiency Tables'!$Z137</f>
        <v/>
      </c>
      <c r="X114" s="914"/>
      <c r="Y114" s="914"/>
      <c r="Z114" s="914"/>
      <c r="AA114" s="914"/>
      <c r="AB114" s="914"/>
      <c r="AC114" s="204"/>
      <c r="AD114" s="890"/>
      <c r="AE114" s="890"/>
      <c r="AF114" s="890"/>
      <c r="AG114" s="890"/>
      <c r="AH114" s="333"/>
      <c r="AI114" s="64"/>
      <c r="AJ114" s="43" t="str">
        <f>IF(OR(D114="",AW114="Ineligible"),"",IF(OR(F114=Lists!$I$11,F114=Lists!$I$16,F114=Lists!$J$12),"EER",IF(OR(F114=Lists!$I$17,F114=Lists!$I$18),"kW/ton",IF(D114*12000&lt;65000,"SEER","EER"))))</f>
        <v/>
      </c>
      <c r="AK114" s="64"/>
      <c r="AL114" s="43" t="str">
        <f>IF(OR(B114="",AW114="Ineligible",AR114="N/A"),"",IF(OR(F114=Lists!$I$16,F114=Lists!$I$17,F114=Lists!$I$18),"",IF(D114&lt;=5,"EER","IEER")))</f>
        <v/>
      </c>
      <c r="AM114" s="43"/>
      <c r="AN114" s="43"/>
      <c r="AO114" s="204"/>
      <c r="AP114" s="55" t="str">
        <f>IFERROR(IF(OR(D114="",F114="",W114="",R114="",W114="Please Select",R114="Please Select"),"",VLOOKUP('HVAC Efficiency Tables'!X137&amp;R114&amp;W114,HVACEfficiencies,3,FALSE)),"")</f>
        <v/>
      </c>
      <c r="AQ114" s="43" t="str">
        <f>IF(OR(AP114="N/A",AP114=""),"",IF(OR(F114=Lists!$I$11,F114=Lists!$I$16,F114=Lists!$J$12),"EER",IF(OR(F114=Lists!$I$17,F114=Lists!$I$18),"kW/ton",IF(D114*12000&lt;65000,"SEER","EER"))))</f>
        <v/>
      </c>
      <c r="AR114" s="55" t="str">
        <f>IFERROR(IF(OR(D114="",F114="",W114="",R114="",W114="Please Select",R114="Please Select"),"",VLOOKUP('HVAC Efficiency Tables'!X137&amp;R114&amp;W114,HVACEfficiencies,8,FALSE)),"")</f>
        <v/>
      </c>
      <c r="AS114" s="43" t="str">
        <f>IF(OR(AR114="N/A",AR114=""),"",IF(OR(F114=Lists!$I$16,F114=Lists!$I$17,F114=Lists!$I$18),"",IF(D114&lt;=5,"EER","IEER")))</f>
        <v/>
      </c>
      <c r="AT114" s="43"/>
      <c r="AU114" s="43"/>
      <c r="AV114" s="43"/>
      <c r="AW114" s="894" t="str">
        <f t="shared" ref="AW114:AW117" si="85">IF(AND($BR$1="OR",OR(F114="Air Conditioning VRF, Air Cooled",F114="Heat Pump VRF, Water Cooled")),"ID Only*",IF(AND(F114="Heat Pump VRF, Water Cooled",(D114*12000)&gt;134999),"Ineligible",IF(AND(AP114="N/A",AR114="N/A"),"Ineligible",IF(AND(AY114&lt;=AI114,BA114&lt;=AR114),"",IF(AND($AY114&lt;=AI114,OR($BA114&lt;=AK114,$BA114="N/A")),"",IF(AR114="N/A",IF($AP114&lt;=AI114,"Qualified","Not Qualified"),IF(AND($AP114&lt;=AI114,OR($AR114&lt;=AK114,$AR114="N/A")),"Qualified","Not Qualified")))))))</f>
        <v/>
      </c>
      <c r="AX114" s="894"/>
      <c r="AY114" s="55" t="str">
        <f>IFERROR(IF(OR(D114="",F114="",W114="",R114="",W114="Please Select",R114="Please Select"),"",VLOOKUP('HVAC Efficiency Tables'!X137&amp;R114&amp;W114,HVACEfficiencies,5,FALSE)),"")</f>
        <v/>
      </c>
      <c r="AZ114" s="43" t="str">
        <f>IF(OR(AY114="N/A",AY114=""),"",IF(OR(F114=Lists!$I$11,F114=Lists!$I$16,F114=Lists!$J$12),"EER",IF(OR(F114=Lists!$I$17,F114=Lists!$I$18),"kW/ton",IF(D114*12000&lt;65000,"SEER","EER"))))</f>
        <v/>
      </c>
      <c r="BA114" s="55" t="str">
        <f>IFERROR(IF(OR(D114="",F114="",W114="",R114="",W114="Please Select",R114="Please Select"),"",VLOOKUP('HVAC Efficiency Tables'!X137&amp;R114&amp;W114,HVACEfficiencies,9,FALSE)),"")</f>
        <v/>
      </c>
      <c r="BB114" s="43" t="str">
        <f>IF(OR(BA114="N/A",BA114=""),"",IF(OR(F114=Lists!$I$16,F114=Lists!$I$17,F114=Lists!$I$18),"",IF(D114&lt;=5,"EER","IEER")))</f>
        <v/>
      </c>
      <c r="BC114" s="43"/>
      <c r="BD114" s="43"/>
      <c r="BE114" s="894" t="str">
        <f t="shared" ref="BE114:BE117" si="86">IF(AND($BR$1="OR",OR(F114="Air Conditioning VRF, Air Cooled",F114="Heat Pump VRF, Water Cooled")),"ID Only*",IF(OR(AI114="",$AY114=""),"",IF(AND($AY114="N/A", $BA114="N/A"),"",IF(AND($AY114&lt;=AI114,OR($BA114&lt;=AK114,$BA114="N/A")),"Qualified","Not Qualified"))))</f>
        <v/>
      </c>
      <c r="BF114" s="894"/>
      <c r="BG114" s="157" t="s">
        <v>142</v>
      </c>
      <c r="BH114" s="895" t="str">
        <f t="shared" ref="BH114:BH117" si="87">IF(AW114="ID Only*","ID Only*",IF(AND(F114="Air Conditioning VRF, Air Cooled",AW114="Qualified"),D114*B114*35,
IF(AND(F114="Heat Pump VRF, Air Cooled",AW114="Qualified"),D114*B114*50,
IF(AND(F114="Heat Pump VRF, Water Cooled",AW114="Qualified"),D114*B114*100,
IF(AND(F114="Air Conditioning VRF, Air Cooled",BE114="Qualified"),B114*D114*55,
IF(AND(F114="Heat Pump VRF, Air Cooled",BE114="Qualified"),B114*D114*85,""))))))</f>
        <v/>
      </c>
      <c r="BI114" s="895"/>
      <c r="BJ114" s="582"/>
      <c r="BQ114" s="298" t="e">
        <f>VLOOKUP('HVAC Efficiency Tables'!X137&amp;R114&amp;W114,HVACEfficiencies,7,FALSE)</f>
        <v>#N/A</v>
      </c>
      <c r="BR114" s="298">
        <f>IF($BX$1="",0,VLOOKUP($BX$1,CoolingHours,3,FALSE))</f>
        <v>599</v>
      </c>
      <c r="BS114" s="298" t="e">
        <f>B114*D114*(1/BQ114-1/AI114)*12000/1000*BR114</f>
        <v>#N/A</v>
      </c>
      <c r="BT114" s="298" t="e">
        <f>B114*D114*(1/(BQ114*0.857)-1/(AI114*0.857))*12000/1000*BR114</f>
        <v>#N/A</v>
      </c>
      <c r="BU114" s="298" t="e">
        <f>B114*D114*(BQ114-AI114)*BR114</f>
        <v>#N/A</v>
      </c>
      <c r="BV114" s="300">
        <f>IF(OR(BE114="Qualified",AW114="Qualified"),IF(AJ114="EER",BS114,IF(AJ114="SEER",BT114,IF(AJ114="kW/ton",BU114,0))),0)</f>
        <v>0</v>
      </c>
      <c r="BW114" s="301">
        <f t="shared" ref="BW114:BW117" si="88">IF(BR114=0,"Select Bldg Type",BV114/BR114)</f>
        <v>0</v>
      </c>
      <c r="BY114" s="94"/>
      <c r="BZ114" s="94"/>
      <c r="CA114" s="94"/>
      <c r="CB114" s="914" t="str">
        <f>'HVAC Efficiency Tables'!$Y137</f>
        <v/>
      </c>
      <c r="CC114" s="914"/>
      <c r="CD114" s="914"/>
      <c r="CE114" s="914"/>
      <c r="CF114" s="382"/>
      <c r="CG114" s="914" t="str">
        <f>'HVAC Efficiency Tables'!$Z137</f>
        <v/>
      </c>
      <c r="CH114" s="914"/>
      <c r="CI114" s="914"/>
      <c r="CJ114" s="914"/>
      <c r="CK114" s="914"/>
      <c r="CL114" s="914"/>
      <c r="CM114" s="94"/>
      <c r="CN114" s="94"/>
      <c r="CO114" s="94"/>
      <c r="CP114" s="94"/>
      <c r="CQ114" s="94"/>
      <c r="CR114" s="94"/>
      <c r="CS114" s="94"/>
      <c r="CT114" s="94"/>
      <c r="CU114" s="94"/>
      <c r="CV114" s="94"/>
      <c r="CW114" s="94"/>
      <c r="CX114" s="94"/>
      <c r="CY114" s="94"/>
      <c r="CZ114" s="94"/>
    </row>
    <row r="115" spans="1:104" ht="14.1" hidden="1" customHeight="1">
      <c r="A115" s="54"/>
      <c r="B115" s="64"/>
      <c r="C115" s="333"/>
      <c r="D115" s="64"/>
      <c r="E115" s="231"/>
      <c r="F115" s="897"/>
      <c r="G115" s="898"/>
      <c r="H115" s="898"/>
      <c r="I115" s="898"/>
      <c r="J115" s="898"/>
      <c r="K115" s="898"/>
      <c r="L115" s="898"/>
      <c r="M115" s="898"/>
      <c r="N115" s="898"/>
      <c r="O115" s="898"/>
      <c r="P115" s="899"/>
      <c r="Q115" s="208"/>
      <c r="R115" s="914" t="str">
        <f>'HVAC Efficiency Tables'!$Y138</f>
        <v/>
      </c>
      <c r="S115" s="914"/>
      <c r="T115" s="914"/>
      <c r="U115" s="914"/>
      <c r="V115" s="382"/>
      <c r="W115" s="914" t="str">
        <f>'HVAC Efficiency Tables'!$Z138</f>
        <v/>
      </c>
      <c r="X115" s="914"/>
      <c r="Y115" s="914"/>
      <c r="Z115" s="914"/>
      <c r="AA115" s="914"/>
      <c r="AB115" s="914"/>
      <c r="AC115" s="204"/>
      <c r="AD115" s="890"/>
      <c r="AE115" s="890"/>
      <c r="AF115" s="890"/>
      <c r="AG115" s="890"/>
      <c r="AH115" s="333"/>
      <c r="AI115" s="64"/>
      <c r="AJ115" s="43" t="str">
        <f>IF(OR(D115="",AW115="Ineligible"),"",IF(OR(F115=Lists!$I$11,F115=Lists!$I$16,F115=Lists!$J$12),"EER",IF(OR(F115=Lists!$I$17,F115=Lists!$I$18),"kW/ton",IF(D115*12000&lt;65000,"SEER","EER"))))</f>
        <v/>
      </c>
      <c r="AK115" s="64"/>
      <c r="AL115" s="43" t="str">
        <f>IF(OR(B115="",AW115="Ineligible",AR115="N/A"),"",IF(OR(F115=Lists!$I$16,F115=Lists!$I$17,F115=Lists!$I$18),"",IF(D115&lt;=5,"EER","IEER")))</f>
        <v/>
      </c>
      <c r="AM115" s="43"/>
      <c r="AN115" s="43"/>
      <c r="AO115" s="204"/>
      <c r="AP115" s="55" t="str">
        <f>IFERROR(IF(OR(D115="",F115="",W115="",R115="",W115="Please Select",R115="Please Select"),"",VLOOKUP('HVAC Efficiency Tables'!X138&amp;R115&amp;W115,HVACEfficiencies,3,FALSE)),"")</f>
        <v/>
      </c>
      <c r="AQ115" s="43" t="str">
        <f>IF(OR(AP115="N/A",AP115=""),"",IF(OR(F115=Lists!$I$11,F115=Lists!$I$16,F115=Lists!$J$12),"EER",IF(OR(F115=Lists!$I$17,F115=Lists!$I$18),"kW/ton",IF(D115*12000&lt;65000,"SEER","EER"))))</f>
        <v/>
      </c>
      <c r="AR115" s="55" t="str">
        <f>IFERROR(IF(OR(D115="",F115="",W115="",R115="",W115="Please Select",R115="Please Select"),"",VLOOKUP('HVAC Efficiency Tables'!X138&amp;R115&amp;W115,HVACEfficiencies,8,FALSE)),"")</f>
        <v/>
      </c>
      <c r="AS115" s="43" t="str">
        <f>IF(OR(AR115="N/A",AR115=""),"",IF(OR(F115=Lists!$I$16,F115=Lists!$I$17,F115=Lists!$I$18),"",IF(D115&lt;=5,"EER","IEER")))</f>
        <v/>
      </c>
      <c r="AT115" s="43"/>
      <c r="AU115" s="43"/>
      <c r="AV115" s="43"/>
      <c r="AW115" s="894" t="str">
        <f t="shared" si="85"/>
        <v/>
      </c>
      <c r="AX115" s="894"/>
      <c r="AY115" s="55" t="str">
        <f>IFERROR(IF(OR(D115="",F115="",W115="",R115="",W115="Please Select",R115="Please Select"),"",VLOOKUP('HVAC Efficiency Tables'!X138&amp;R115&amp;W115,HVACEfficiencies,5,FALSE)),"")</f>
        <v/>
      </c>
      <c r="AZ115" s="43" t="str">
        <f>IF(OR(AY115="N/A",AY115=""),"",IF(OR(F115=Lists!$I$11,F115=Lists!$I$16,F115=Lists!$J$12),"EER",IF(OR(F115=Lists!$I$17,F115=Lists!$I$18),"kW/ton",IF(D115*12000&lt;65000,"SEER","EER"))))</f>
        <v/>
      </c>
      <c r="BA115" s="55" t="str">
        <f>IFERROR(IF(OR(D115="",F115="",W115="",R115="",W115="Please Select",R115="Please Select"),"",VLOOKUP('HVAC Efficiency Tables'!X138&amp;R115&amp;W115,HVACEfficiencies,9,FALSE)),"")</f>
        <v/>
      </c>
      <c r="BB115" s="43" t="str">
        <f>IF(OR(BA115="N/A",BA115=""),"",IF(OR(F115=Lists!$I$16,F115=Lists!$I$17,F115=Lists!$I$18),"",IF(D115&lt;=5,"EER","IEER")))</f>
        <v/>
      </c>
      <c r="BC115" s="43"/>
      <c r="BD115" s="43"/>
      <c r="BE115" s="894" t="str">
        <f t="shared" si="86"/>
        <v/>
      </c>
      <c r="BF115" s="894"/>
      <c r="BG115" s="157" t="s">
        <v>142</v>
      </c>
      <c r="BH115" s="895" t="str">
        <f t="shared" si="87"/>
        <v/>
      </c>
      <c r="BI115" s="895"/>
      <c r="BJ115" s="582"/>
      <c r="BQ115" s="298" t="e">
        <f>VLOOKUP('HVAC Efficiency Tables'!X138&amp;R115&amp;W115,HVACEfficiencies,7,FALSE)</f>
        <v>#N/A</v>
      </c>
      <c r="BR115" s="298">
        <f>IF($BX$1="",0,VLOOKUP($BX$1,CoolingHours,3,FALSE))</f>
        <v>599</v>
      </c>
      <c r="BS115" s="298" t="e">
        <f>B115*D115*(1/BQ115-1/AI115)*12000/1000*BR115</f>
        <v>#N/A</v>
      </c>
      <c r="BT115" s="298" t="e">
        <f>B115*D115*(1/(BQ115*0.857)-1/(AI115*0.857))*12000/1000*BR115</f>
        <v>#N/A</v>
      </c>
      <c r="BU115" s="298" t="e">
        <f>B115*D115*(BQ115-AI115)*BR115</f>
        <v>#N/A</v>
      </c>
      <c r="BV115" s="300">
        <f>IF(OR(BE115="Qualified",AW115="Qualified"),IF(AJ115="EER",BS115,IF(AJ115="SEER",BT115,IF(AJ115="kW/ton",BU115,0))),0)</f>
        <v>0</v>
      </c>
      <c r="BW115" s="301">
        <f t="shared" si="88"/>
        <v>0</v>
      </c>
      <c r="BY115" s="94"/>
      <c r="BZ115" s="94"/>
      <c r="CA115" s="94"/>
      <c r="CB115" s="914" t="str">
        <f>'HVAC Efficiency Tables'!$Y138</f>
        <v/>
      </c>
      <c r="CC115" s="914"/>
      <c r="CD115" s="914"/>
      <c r="CE115" s="914"/>
      <c r="CF115" s="382"/>
      <c r="CG115" s="914" t="str">
        <f>'HVAC Efficiency Tables'!$Z138</f>
        <v/>
      </c>
      <c r="CH115" s="914"/>
      <c r="CI115" s="914"/>
      <c r="CJ115" s="914"/>
      <c r="CK115" s="914"/>
      <c r="CL115" s="914"/>
      <c r="CM115" s="94"/>
      <c r="CN115" s="94"/>
      <c r="CO115" s="94"/>
      <c r="CP115" s="94"/>
      <c r="CQ115" s="94"/>
      <c r="CR115" s="94"/>
      <c r="CS115" s="94"/>
      <c r="CT115" s="94"/>
      <c r="CU115" s="94"/>
      <c r="CV115" s="94"/>
      <c r="CW115" s="94"/>
      <c r="CX115" s="94"/>
      <c r="CY115" s="94"/>
      <c r="CZ115" s="94"/>
    </row>
    <row r="116" spans="1:104" ht="14.1" hidden="1" customHeight="1">
      <c r="A116" s="54"/>
      <c r="B116" s="64"/>
      <c r="C116" s="333"/>
      <c r="D116" s="64"/>
      <c r="E116" s="231"/>
      <c r="F116" s="897"/>
      <c r="G116" s="898"/>
      <c r="H116" s="898"/>
      <c r="I116" s="898"/>
      <c r="J116" s="898"/>
      <c r="K116" s="898"/>
      <c r="L116" s="898"/>
      <c r="M116" s="898"/>
      <c r="N116" s="898"/>
      <c r="O116" s="898"/>
      <c r="P116" s="899"/>
      <c r="Q116" s="208"/>
      <c r="R116" s="914" t="str">
        <f>'HVAC Efficiency Tables'!$Y139</f>
        <v/>
      </c>
      <c r="S116" s="914"/>
      <c r="T116" s="914"/>
      <c r="U116" s="914"/>
      <c r="V116" s="382"/>
      <c r="W116" s="914" t="str">
        <f>'HVAC Efficiency Tables'!$Z139</f>
        <v/>
      </c>
      <c r="X116" s="914"/>
      <c r="Y116" s="914"/>
      <c r="Z116" s="914"/>
      <c r="AA116" s="914"/>
      <c r="AB116" s="914"/>
      <c r="AC116" s="204"/>
      <c r="AD116" s="890"/>
      <c r="AE116" s="890"/>
      <c r="AF116" s="890"/>
      <c r="AG116" s="890"/>
      <c r="AH116" s="333"/>
      <c r="AI116" s="64"/>
      <c r="AJ116" s="43" t="str">
        <f>IF(OR(D116="",AW116="Ineligible"),"",IF(OR(F116=Lists!$I$11,F116=Lists!$I$16,F116=Lists!$J$12),"EER",IF(OR(F116=Lists!$I$17,F116=Lists!$I$18),"kW/ton",IF(D116*12000&lt;65000,"SEER","EER"))))</f>
        <v/>
      </c>
      <c r="AK116" s="64"/>
      <c r="AL116" s="43" t="str">
        <f>IF(OR(B116="",AW116="Ineligible",AR116="N/A"),"",IF(OR(F116=Lists!$I$16,F116=Lists!$I$17,F116=Lists!$I$18),"",IF(D116&lt;=5,"EER","IEER")))</f>
        <v/>
      </c>
      <c r="AM116" s="43"/>
      <c r="AN116" s="43"/>
      <c r="AO116" s="204"/>
      <c r="AP116" s="55" t="str">
        <f>IFERROR(IF(OR(D116="",F116="",W116="",R116="",W116="Please Select",R116="Please Select"),"",VLOOKUP('HVAC Efficiency Tables'!X139&amp;R116&amp;W116,HVACEfficiencies,3,FALSE)),"")</f>
        <v/>
      </c>
      <c r="AQ116" s="43" t="str">
        <f>IF(OR(AP116="N/A",AP116=""),"",IF(OR(F116=Lists!$I$11,F116=Lists!$I$16,F116=Lists!$J$12),"EER",IF(OR(F116=Lists!$I$17,F116=Lists!$I$18),"kW/ton",IF(D116*12000&lt;65000,"SEER","EER"))))</f>
        <v/>
      </c>
      <c r="AR116" s="55" t="str">
        <f>IFERROR(IF(OR(D116="",F116="",W116="",R116="",W116="Please Select",R116="Please Select"),"",VLOOKUP('HVAC Efficiency Tables'!X139&amp;R116&amp;W116,HVACEfficiencies,8,FALSE)),"")</f>
        <v/>
      </c>
      <c r="AS116" s="43" t="str">
        <f>IF(OR(AR116="N/A",AR116=""),"",IF(OR(F116=Lists!$I$16,F116=Lists!$I$17,F116=Lists!$I$18),"",IF(D116&lt;=5,"EER","IEER")))</f>
        <v/>
      </c>
      <c r="AT116" s="43"/>
      <c r="AU116" s="43"/>
      <c r="AV116" s="43"/>
      <c r="AW116" s="894" t="str">
        <f t="shared" si="85"/>
        <v/>
      </c>
      <c r="AX116" s="894"/>
      <c r="AY116" s="55" t="str">
        <f>IFERROR(IF(OR(D116="",F116="",W116="",R116="",W116="Please Select",R116="Please Select"),"",VLOOKUP('HVAC Efficiency Tables'!X139&amp;R116&amp;W116,HVACEfficiencies,5,FALSE)),"")</f>
        <v/>
      </c>
      <c r="AZ116" s="43" t="str">
        <f>IF(OR(AY116="N/A",AY116=""),"",IF(OR(F116=Lists!$I$11,F116=Lists!$I$16,F116=Lists!$J$12),"EER",IF(OR(F116=Lists!$I$17,F116=Lists!$I$18),"kW/ton",IF(D116*12000&lt;65000,"SEER","EER"))))</f>
        <v/>
      </c>
      <c r="BA116" s="55" t="str">
        <f>IFERROR(IF(OR(D116="",F116="",W116="",R116="",W116="Please Select",R116="Please Select"),"",VLOOKUP('HVAC Efficiency Tables'!X139&amp;R116&amp;W116,HVACEfficiencies,9,FALSE)),"")</f>
        <v/>
      </c>
      <c r="BB116" s="43" t="str">
        <f>IF(OR(BA116="N/A",BA116=""),"",IF(OR(F116=Lists!$I$16,F116=Lists!$I$17,F116=Lists!$I$18),"",IF(D116&lt;=5,"EER","IEER")))</f>
        <v/>
      </c>
      <c r="BC116" s="43"/>
      <c r="BD116" s="43"/>
      <c r="BE116" s="894" t="str">
        <f t="shared" si="86"/>
        <v/>
      </c>
      <c r="BF116" s="894"/>
      <c r="BG116" s="157" t="s">
        <v>142</v>
      </c>
      <c r="BH116" s="895" t="str">
        <f t="shared" si="87"/>
        <v/>
      </c>
      <c r="BI116" s="895"/>
      <c r="BJ116" s="582"/>
      <c r="BQ116" s="298" t="e">
        <f>VLOOKUP('HVAC Efficiency Tables'!X139&amp;R116&amp;W116,HVACEfficiencies,7,FALSE)</f>
        <v>#N/A</v>
      </c>
      <c r="BR116" s="298">
        <f>IF($BX$1="",0,VLOOKUP($BX$1,CoolingHours,3,FALSE))</f>
        <v>599</v>
      </c>
      <c r="BS116" s="298" t="e">
        <f>B116*D116*(1/BQ116-1/AI116)*12000/1000*BR116</f>
        <v>#N/A</v>
      </c>
      <c r="BT116" s="298" t="e">
        <f>B116*D116*(1/(BQ116*0.857)-1/(AI116*0.857))*12000/1000*BR116</f>
        <v>#N/A</v>
      </c>
      <c r="BU116" s="298" t="e">
        <f>B116*D116*(BQ116-AI116)*BR116</f>
        <v>#N/A</v>
      </c>
      <c r="BV116" s="300">
        <f>IF(OR(BE116="Qualified",AW116="Qualified"),IF(AJ116="EER",BS116,IF(AJ116="SEER",BT116,IF(AJ116="kW/ton",BU116,0))),0)</f>
        <v>0</v>
      </c>
      <c r="BW116" s="301">
        <f t="shared" si="88"/>
        <v>0</v>
      </c>
      <c r="BY116" s="94"/>
      <c r="BZ116" s="94"/>
      <c r="CA116" s="94"/>
      <c r="CB116" s="914" t="str">
        <f>'HVAC Efficiency Tables'!$Y139</f>
        <v/>
      </c>
      <c r="CC116" s="914"/>
      <c r="CD116" s="914"/>
      <c r="CE116" s="914"/>
      <c r="CF116" s="382"/>
      <c r="CG116" s="914" t="str">
        <f>'HVAC Efficiency Tables'!$Z139</f>
        <v/>
      </c>
      <c r="CH116" s="914"/>
      <c r="CI116" s="914"/>
      <c r="CJ116" s="914"/>
      <c r="CK116" s="914"/>
      <c r="CL116" s="914"/>
      <c r="CM116" s="94"/>
      <c r="CN116" s="94"/>
      <c r="CO116" s="94"/>
      <c r="CP116" s="94"/>
      <c r="CQ116" s="94"/>
      <c r="CR116" s="94"/>
      <c r="CS116" s="94"/>
      <c r="CT116" s="94"/>
      <c r="CU116" s="94"/>
      <c r="CV116" s="94"/>
      <c r="CW116" s="94"/>
      <c r="CX116" s="94"/>
      <c r="CY116" s="94"/>
      <c r="CZ116" s="94"/>
    </row>
    <row r="117" spans="1:104" ht="14.1" hidden="1" customHeight="1">
      <c r="A117" s="54"/>
      <c r="B117" s="64"/>
      <c r="C117" s="333"/>
      <c r="D117" s="64"/>
      <c r="E117" s="231"/>
      <c r="F117" s="897"/>
      <c r="G117" s="898"/>
      <c r="H117" s="898"/>
      <c r="I117" s="898"/>
      <c r="J117" s="898"/>
      <c r="K117" s="898"/>
      <c r="L117" s="898"/>
      <c r="M117" s="898"/>
      <c r="N117" s="898"/>
      <c r="O117" s="898"/>
      <c r="P117" s="899"/>
      <c r="Q117" s="208"/>
      <c r="R117" s="914" t="str">
        <f>'HVAC Efficiency Tables'!$Y140</f>
        <v/>
      </c>
      <c r="S117" s="914"/>
      <c r="T117" s="914"/>
      <c r="U117" s="914"/>
      <c r="V117" s="382"/>
      <c r="W117" s="914" t="str">
        <f>'HVAC Efficiency Tables'!$Z140</f>
        <v/>
      </c>
      <c r="X117" s="914"/>
      <c r="Y117" s="914"/>
      <c r="Z117" s="914"/>
      <c r="AA117" s="914"/>
      <c r="AB117" s="914"/>
      <c r="AC117" s="204"/>
      <c r="AD117" s="890"/>
      <c r="AE117" s="890"/>
      <c r="AF117" s="890"/>
      <c r="AG117" s="890"/>
      <c r="AH117" s="333"/>
      <c r="AI117" s="64"/>
      <c r="AJ117" s="43" t="str">
        <f>IF(OR(D117="",AW117="Ineligible"),"",IF(OR(F117=Lists!$I$11,F117=Lists!$I$16,F117=Lists!$J$12),"EER",IF(OR(F117=Lists!$I$17,F117=Lists!$I$18),"kW/ton",IF(D117*12000&lt;65000,"SEER","EER"))))</f>
        <v/>
      </c>
      <c r="AK117" s="64"/>
      <c r="AL117" s="43" t="str">
        <f>IF(OR(B117="",AW117="Ineligible",AR117="N/A"),"",IF(OR(F117=Lists!$I$16,F117=Lists!$I$17,F117=Lists!$I$18),"",IF(D117&lt;=5,"EER","IEER")))</f>
        <v/>
      </c>
      <c r="AM117" s="43"/>
      <c r="AN117" s="43"/>
      <c r="AO117" s="204"/>
      <c r="AP117" s="55" t="str">
        <f>IFERROR(IF(OR(D117="",F117="",W117="",R117="",W117="Please Select",R117="Please Select"),"",VLOOKUP('HVAC Efficiency Tables'!X140&amp;R117&amp;W117,HVACEfficiencies,3,FALSE)),"")</f>
        <v/>
      </c>
      <c r="AQ117" s="43" t="str">
        <f>IF(OR(AP117="N/A",AP117=""),"",IF(OR(F117=Lists!$I$11,F117=Lists!$I$16,F117=Lists!$J$12),"EER",IF(OR(F117=Lists!$I$17,F117=Lists!$I$18),"kW/ton",IF(D117*12000&lt;65000,"SEER","EER"))))</f>
        <v/>
      </c>
      <c r="AR117" s="55" t="str">
        <f>IFERROR(IF(OR(D117="",F117="",W117="",R117="",W117="Please Select",R117="Please Select"),"",VLOOKUP('HVAC Efficiency Tables'!X140&amp;R117&amp;W117,HVACEfficiencies,8,FALSE)),"")</f>
        <v/>
      </c>
      <c r="AS117" s="43" t="str">
        <f>IF(OR(AR117="N/A",AR117=""),"",IF(OR(F117=Lists!$I$16,F117=Lists!$I$17,F117=Lists!$I$18),"",IF(D117&lt;=5,"EER","IEER")))</f>
        <v/>
      </c>
      <c r="AT117" s="43"/>
      <c r="AU117" s="43"/>
      <c r="AV117" s="43"/>
      <c r="AW117" s="894" t="str">
        <f t="shared" si="85"/>
        <v/>
      </c>
      <c r="AX117" s="894"/>
      <c r="AY117" s="55" t="str">
        <f>IFERROR(IF(OR(D117="",F117="",W117="",R117="",W117="Please Select",R117="Please Select"),"",VLOOKUP('HVAC Efficiency Tables'!X140&amp;R117&amp;W117,HVACEfficiencies,5,FALSE)),"")</f>
        <v/>
      </c>
      <c r="AZ117" s="43" t="str">
        <f>IF(OR(AY117="N/A",AY117=""),"",IF(OR(F117=Lists!$I$11,F117=Lists!$I$16,F117=Lists!$J$12),"EER",IF(OR(F117=Lists!$I$17,F117=Lists!$I$18),"kW/ton",IF(D117*12000&lt;65000,"SEER","EER"))))</f>
        <v/>
      </c>
      <c r="BA117" s="55" t="str">
        <f>IFERROR(IF(OR(D117="",F117="",W117="",R117="",W117="Please Select",R117="Please Select"),"",VLOOKUP('HVAC Efficiency Tables'!X140&amp;R117&amp;W117,HVACEfficiencies,9,FALSE)),"")</f>
        <v/>
      </c>
      <c r="BB117" s="43" t="str">
        <f>IF(OR(BA117="N/A",BA117=""),"",IF(OR(F117=Lists!$I$16,F117=Lists!$I$17,F117=Lists!$I$18),"",IF(D117&lt;=5,"EER","IEER")))</f>
        <v/>
      </c>
      <c r="BC117" s="43"/>
      <c r="BD117" s="43"/>
      <c r="BE117" s="894" t="str">
        <f t="shared" si="86"/>
        <v/>
      </c>
      <c r="BF117" s="894"/>
      <c r="BG117" s="157" t="s">
        <v>142</v>
      </c>
      <c r="BH117" s="895" t="str">
        <f t="shared" si="87"/>
        <v/>
      </c>
      <c r="BI117" s="895"/>
      <c r="BJ117" s="582"/>
      <c r="BQ117" s="298" t="e">
        <f>VLOOKUP('HVAC Efficiency Tables'!X140&amp;R117&amp;W117,HVACEfficiencies,7,FALSE)</f>
        <v>#N/A</v>
      </c>
      <c r="BR117" s="298">
        <f>IF($BX$1="",0,VLOOKUP($BX$1,CoolingHours,3,FALSE))</f>
        <v>599</v>
      </c>
      <c r="BS117" s="298" t="e">
        <f>B117*D117*(1/BQ117-1/AI117)*12000/1000*BR117</f>
        <v>#N/A</v>
      </c>
      <c r="BT117" s="298" t="e">
        <f>B117*D117*(1/(BQ117*0.857)-1/(AI117*0.857))*12000/1000*BR117</f>
        <v>#N/A</v>
      </c>
      <c r="BU117" s="298" t="e">
        <f>B117*D117*(BQ117-AI117)*BR117</f>
        <v>#N/A</v>
      </c>
      <c r="BV117" s="300">
        <f>IF(OR(BE117="Qualified",AW117="Qualified"),IF(AJ117="EER",BS117,IF(AJ117="SEER",BT117,IF(AJ117="kW/ton",BU117,0))),0)</f>
        <v>0</v>
      </c>
      <c r="BW117" s="301">
        <f t="shared" si="88"/>
        <v>0</v>
      </c>
      <c r="BY117" s="94"/>
      <c r="BZ117" s="94"/>
      <c r="CA117" s="94"/>
      <c r="CB117" s="914" t="str">
        <f>'HVAC Efficiency Tables'!$Y140</f>
        <v/>
      </c>
      <c r="CC117" s="914"/>
      <c r="CD117" s="914"/>
      <c r="CE117" s="914"/>
      <c r="CF117" s="382"/>
      <c r="CG117" s="914" t="str">
        <f>'HVAC Efficiency Tables'!$Z140</f>
        <v/>
      </c>
      <c r="CH117" s="914"/>
      <c r="CI117" s="914"/>
      <c r="CJ117" s="914"/>
      <c r="CK117" s="914"/>
      <c r="CL117" s="914"/>
      <c r="CM117" s="94"/>
      <c r="CN117" s="94"/>
      <c r="CO117" s="94"/>
      <c r="CP117" s="94"/>
      <c r="CQ117" s="94"/>
      <c r="CR117" s="94"/>
      <c r="CS117" s="94"/>
      <c r="CT117" s="94"/>
      <c r="CU117" s="94"/>
      <c r="CV117" s="94"/>
      <c r="CW117" s="94"/>
      <c r="CX117" s="94"/>
      <c r="CY117" s="94"/>
      <c r="CZ117" s="94"/>
    </row>
    <row r="118" spans="1:104" ht="12.75" hidden="1" customHeight="1" thickBot="1">
      <c r="A118" s="56"/>
      <c r="B118" s="57"/>
      <c r="C118" s="57"/>
      <c r="D118" s="57"/>
      <c r="E118" s="57"/>
      <c r="F118" s="58"/>
      <c r="G118" s="58"/>
      <c r="H118" s="58"/>
      <c r="I118" s="58"/>
      <c r="J118" s="58"/>
      <c r="K118" s="58"/>
      <c r="L118" s="58"/>
      <c r="M118" s="58"/>
      <c r="N118" s="58"/>
      <c r="O118" s="58"/>
      <c r="P118" s="58"/>
      <c r="Q118" s="58"/>
      <c r="R118" s="58"/>
      <c r="S118" s="58"/>
      <c r="T118" s="58"/>
      <c r="U118" s="57"/>
      <c r="V118" s="57"/>
      <c r="W118" s="58"/>
      <c r="X118" s="58"/>
      <c r="Y118" s="58"/>
      <c r="Z118" s="58"/>
      <c r="AA118" s="58"/>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8"/>
      <c r="BH118" s="58"/>
      <c r="BI118" s="57"/>
      <c r="BJ118" s="59"/>
      <c r="BV118" s="304" t="s">
        <v>2736</v>
      </c>
      <c r="BW118" s="304" t="s">
        <v>2737</v>
      </c>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row>
    <row r="119" spans="1:104" ht="15" hidden="1">
      <c r="A119" s="25"/>
      <c r="B119" s="25"/>
      <c r="C119" s="25"/>
      <c r="D119" s="60"/>
      <c r="E119" s="60"/>
      <c r="F119" s="60"/>
      <c r="G119" s="60"/>
      <c r="H119" s="60"/>
      <c r="I119" s="60"/>
      <c r="J119" s="60"/>
      <c r="K119" s="60"/>
      <c r="L119" s="60"/>
      <c r="M119" s="60"/>
      <c r="N119" s="60"/>
      <c r="O119" s="60"/>
      <c r="P119" s="60"/>
      <c r="Q119" s="60"/>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61" t="s">
        <v>2738</v>
      </c>
      <c r="BG119" s="25"/>
      <c r="BH119" s="896" t="str">
        <f>IF(BM113&gt;=1,SUM(BH113:BH117),"")</f>
        <v/>
      </c>
      <c r="BI119" s="896"/>
      <c r="BJ119" s="25"/>
      <c r="BO119" s="22"/>
      <c r="BP119" s="22"/>
      <c r="BQ119" s="303"/>
      <c r="BR119" s="303"/>
      <c r="BS119" s="303"/>
      <c r="BT119" s="303"/>
      <c r="BU119" s="303"/>
      <c r="BV119" s="299">
        <f>SUM(BV113:BV117)</f>
        <v>0</v>
      </c>
      <c r="BW119" s="302">
        <f>SUM(BW113:BW117)</f>
        <v>0</v>
      </c>
      <c r="BX119" s="22"/>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row>
    <row r="120" spans="1:104" ht="15" hidden="1">
      <c r="A120" s="25"/>
      <c r="B120" s="25"/>
      <c r="C120" s="25"/>
      <c r="D120" s="60"/>
      <c r="E120" s="60"/>
      <c r="F120" s="60"/>
      <c r="G120" s="60"/>
      <c r="H120" s="60"/>
      <c r="I120" s="60"/>
      <c r="J120" s="60"/>
      <c r="K120" s="60"/>
      <c r="L120" s="60"/>
      <c r="M120" s="60"/>
      <c r="N120" s="60"/>
      <c r="O120" s="60"/>
      <c r="P120" s="60"/>
      <c r="Q120" s="60"/>
      <c r="R120" s="25"/>
      <c r="S120" s="25"/>
      <c r="T120" s="25"/>
      <c r="U120" s="25"/>
      <c r="V120" s="25"/>
      <c r="W120" s="25"/>
      <c r="X120" s="25"/>
      <c r="Y120" s="25"/>
      <c r="Z120" s="25"/>
      <c r="AA120" s="25"/>
      <c r="AB120" s="25"/>
      <c r="AC120" s="25"/>
      <c r="AD120" s="518"/>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61"/>
      <c r="BG120" s="25"/>
      <c r="BH120" s="209"/>
      <c r="BI120" s="209"/>
      <c r="BJ120" s="25"/>
      <c r="BO120" s="22"/>
      <c r="BP120" s="22"/>
      <c r="BQ120" s="303"/>
      <c r="BR120" s="303"/>
      <c r="BS120" s="303"/>
      <c r="BT120" s="303"/>
      <c r="BU120" s="303"/>
      <c r="BX120" s="22"/>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row>
    <row r="121" spans="1:104" ht="16.5" thickBot="1">
      <c r="A121" s="62" t="s">
        <v>2739</v>
      </c>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O121" s="22"/>
      <c r="BP121" s="22"/>
      <c r="BQ121" s="22"/>
      <c r="BR121" s="22"/>
      <c r="BS121" s="22"/>
      <c r="BT121" s="22"/>
      <c r="BU121" s="22"/>
      <c r="BV121" s="22"/>
      <c r="BW121" s="22"/>
      <c r="BX121" s="22"/>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row>
    <row r="122" spans="1:104" ht="12.75" customHeight="1">
      <c r="A122" s="46"/>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905" t="s">
        <v>2655</v>
      </c>
      <c r="AQ122" s="905"/>
      <c r="AR122" s="905"/>
      <c r="AS122" s="905"/>
      <c r="AT122" s="905"/>
      <c r="AU122" s="905"/>
      <c r="AV122" s="905"/>
      <c r="AW122" s="905"/>
      <c r="AX122" s="905"/>
      <c r="AY122" s="905"/>
      <c r="AZ122" s="905"/>
      <c r="BA122" s="905"/>
      <c r="BB122" s="905"/>
      <c r="BC122" s="905"/>
      <c r="BD122" s="905"/>
      <c r="BE122" s="905"/>
      <c r="BF122" s="905"/>
      <c r="BG122" s="922" t="s">
        <v>2740</v>
      </c>
      <c r="BH122" s="922"/>
      <c r="BI122" s="922"/>
      <c r="BJ122" s="63"/>
      <c r="BO122" s="22"/>
      <c r="BP122" s="22"/>
      <c r="BQ122" s="22"/>
      <c r="BR122" s="22"/>
      <c r="BS122" s="22"/>
      <c r="BT122" s="22"/>
      <c r="BU122" s="22"/>
      <c r="BV122" s="22"/>
      <c r="BW122" s="22"/>
      <c r="BX122" s="22"/>
      <c r="BY122" s="94"/>
      <c r="BZ122" s="94"/>
      <c r="CA122" s="94"/>
      <c r="CB122" s="94"/>
      <c r="CC122" s="94"/>
      <c r="CD122" s="94"/>
      <c r="CE122" s="94"/>
      <c r="CF122" s="94"/>
      <c r="CG122" s="94"/>
      <c r="CH122" s="94"/>
      <c r="CI122" s="94"/>
      <c r="CJ122" s="94"/>
      <c r="CK122" s="94"/>
      <c r="CL122" s="94"/>
      <c r="CM122" s="94"/>
      <c r="CN122" s="94"/>
      <c r="CO122" s="94"/>
      <c r="CP122" s="94"/>
      <c r="CQ122" s="94"/>
      <c r="CR122" s="94"/>
      <c r="CS122" s="94"/>
      <c r="CT122" s="94"/>
      <c r="CU122" s="94"/>
      <c r="CV122" s="94"/>
      <c r="CW122" s="94"/>
      <c r="CX122" s="94"/>
      <c r="CY122" s="94"/>
      <c r="CZ122" s="94"/>
    </row>
    <row r="123" spans="1:104" ht="12.75" customHeight="1">
      <c r="A123" s="54"/>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910"/>
      <c r="AQ123" s="910"/>
      <c r="AR123" s="910"/>
      <c r="AS123" s="910"/>
      <c r="AT123" s="910"/>
      <c r="AU123" s="910"/>
      <c r="AV123" s="910"/>
      <c r="AW123" s="910"/>
      <c r="AX123" s="910"/>
      <c r="AY123" s="910"/>
      <c r="AZ123" s="910"/>
      <c r="BA123" s="910"/>
      <c r="BB123" s="910"/>
      <c r="BC123" s="910"/>
      <c r="BD123" s="910"/>
      <c r="BE123" s="910"/>
      <c r="BF123" s="910"/>
      <c r="BG123" s="923"/>
      <c r="BH123" s="923"/>
      <c r="BI123" s="923"/>
      <c r="BJ123" s="228"/>
      <c r="BO123" s="22"/>
      <c r="BP123" s="22"/>
      <c r="BQ123" s="928" t="s">
        <v>2741</v>
      </c>
      <c r="BR123" s="928"/>
      <c r="BS123" s="928"/>
      <c r="BT123" s="928"/>
      <c r="BU123" s="928"/>
      <c r="BV123" s="928"/>
      <c r="BW123" s="928"/>
      <c r="BX123" s="22"/>
      <c r="BY123" s="94"/>
      <c r="BZ123" s="94"/>
      <c r="CA123" s="94"/>
      <c r="CB123" s="94"/>
      <c r="CC123" s="94"/>
      <c r="CD123" s="94"/>
      <c r="CE123" s="94"/>
      <c r="CF123" s="94"/>
      <c r="CG123" s="94"/>
      <c r="CH123" s="94"/>
      <c r="CI123" s="94"/>
      <c r="CJ123" s="94"/>
      <c r="CK123" s="94"/>
      <c r="CL123" s="94"/>
      <c r="CM123" s="94"/>
      <c r="CN123" s="94"/>
      <c r="CO123" s="94"/>
      <c r="CP123" s="94"/>
      <c r="CQ123" s="94"/>
      <c r="CR123" s="94"/>
      <c r="CS123" s="94"/>
      <c r="CT123" s="94"/>
      <c r="CU123" s="94"/>
      <c r="CV123" s="94"/>
      <c r="CW123" s="94"/>
      <c r="CX123" s="94"/>
      <c r="CY123" s="94"/>
      <c r="CZ123" s="94"/>
    </row>
    <row r="124" spans="1:104" ht="12.75" customHeight="1">
      <c r="A124" s="54"/>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916" t="s">
        <v>2742</v>
      </c>
      <c r="AP124" s="916"/>
      <c r="AQ124" s="916"/>
      <c r="AR124" s="204"/>
      <c r="AS124" s="204"/>
      <c r="AT124" s="677"/>
      <c r="AU124" s="677"/>
      <c r="AV124" s="204"/>
      <c r="AW124" s="208"/>
      <c r="AX124" s="918" t="s">
        <v>2743</v>
      </c>
      <c r="AY124" s="918"/>
      <c r="AZ124" s="918"/>
      <c r="BA124" s="204"/>
      <c r="BB124" s="204"/>
      <c r="BC124" s="677"/>
      <c r="BD124" s="677"/>
      <c r="BE124" s="204"/>
      <c r="BF124" s="25"/>
      <c r="BG124" s="923"/>
      <c r="BH124" s="923"/>
      <c r="BI124" s="923"/>
      <c r="BJ124" s="228"/>
      <c r="BO124" s="22"/>
      <c r="BP124" s="22"/>
      <c r="BQ124" s="84"/>
      <c r="BR124" s="84"/>
      <c r="BS124" s="84"/>
      <c r="BT124" s="84"/>
      <c r="BU124" s="84"/>
      <c r="BV124" s="84"/>
      <c r="BW124" s="84"/>
      <c r="BX124" s="22"/>
      <c r="BY124" s="94"/>
      <c r="BZ124" s="94"/>
      <c r="CA124" s="94"/>
      <c r="CB124" s="94"/>
      <c r="CC124" s="94"/>
      <c r="CD124" s="94"/>
      <c r="CE124" s="94"/>
      <c r="CF124" s="94"/>
      <c r="CG124" s="94"/>
      <c r="CH124" s="94"/>
      <c r="CI124" s="94"/>
      <c r="CJ124" s="94"/>
      <c r="CK124" s="94"/>
      <c r="CL124" s="94"/>
      <c r="CM124" s="94"/>
      <c r="CN124" s="94"/>
      <c r="CO124" s="94"/>
      <c r="CP124" s="94"/>
      <c r="CQ124" s="94"/>
      <c r="CR124" s="94"/>
      <c r="CS124" s="94"/>
      <c r="CT124" s="94"/>
      <c r="CU124" s="94"/>
      <c r="CV124" s="94"/>
      <c r="CW124" s="94"/>
      <c r="CX124" s="94"/>
      <c r="CY124" s="94"/>
      <c r="CZ124" s="94"/>
    </row>
    <row r="125" spans="1:104" ht="12.75" customHeight="1">
      <c r="A125" s="48"/>
      <c r="B125" s="208" t="s">
        <v>2661</v>
      </c>
      <c r="C125" s="49"/>
      <c r="D125" s="208" t="s">
        <v>2662</v>
      </c>
      <c r="E125" s="606"/>
      <c r="F125" s="50" t="s">
        <v>2744</v>
      </c>
      <c r="G125" s="50"/>
      <c r="H125" s="50"/>
      <c r="I125" s="50"/>
      <c r="J125" s="50"/>
      <c r="K125" s="50"/>
      <c r="L125" s="50"/>
      <c r="M125" s="50"/>
      <c r="N125" s="50"/>
      <c r="O125" s="50"/>
      <c r="P125" s="50"/>
      <c r="Q125" s="50"/>
      <c r="R125" s="50"/>
      <c r="S125" s="208"/>
      <c r="T125" s="208"/>
      <c r="U125" s="204"/>
      <c r="V125" s="204"/>
      <c r="W125" s="204"/>
      <c r="X125" s="204"/>
      <c r="Y125" s="204"/>
      <c r="Z125" s="204"/>
      <c r="AA125" s="204"/>
      <c r="AB125" s="204"/>
      <c r="AC125" s="204"/>
      <c r="AD125" s="50" t="s">
        <v>2664</v>
      </c>
      <c r="AE125" s="204"/>
      <c r="AF125" s="204"/>
      <c r="AG125" s="51"/>
      <c r="AH125" s="51"/>
      <c r="AI125" s="208" t="s">
        <v>2665</v>
      </c>
      <c r="AJ125" s="51"/>
      <c r="AK125" s="51"/>
      <c r="AL125" s="51"/>
      <c r="AM125" s="51"/>
      <c r="AN125" s="51"/>
      <c r="AO125" s="916"/>
      <c r="AP125" s="916"/>
      <c r="AQ125" s="916"/>
      <c r="AR125" s="204"/>
      <c r="AS125" s="204"/>
      <c r="AT125" s="677"/>
      <c r="AU125" s="677"/>
      <c r="AV125" s="204"/>
      <c r="AW125" s="208"/>
      <c r="AX125" s="916"/>
      <c r="AY125" s="916"/>
      <c r="AZ125" s="916"/>
      <c r="BA125" s="204"/>
      <c r="BB125" s="204"/>
      <c r="BC125" s="677"/>
      <c r="BD125" s="677"/>
      <c r="BE125" s="204"/>
      <c r="BF125" s="204"/>
      <c r="BG125" s="923"/>
      <c r="BH125" s="923"/>
      <c r="BI125" s="923"/>
      <c r="BJ125" s="229"/>
      <c r="BQ125" s="297" t="s">
        <v>2718</v>
      </c>
      <c r="BR125" s="306" t="s">
        <v>2719</v>
      </c>
      <c r="BS125" s="306" t="s">
        <v>2720</v>
      </c>
      <c r="BT125" s="306" t="s">
        <v>2721</v>
      </c>
      <c r="BU125" s="306" t="s">
        <v>2722</v>
      </c>
      <c r="BV125" s="306" t="s">
        <v>2687</v>
      </c>
      <c r="BW125" s="307" t="s">
        <v>2745</v>
      </c>
      <c r="BY125" s="94"/>
      <c r="BZ125" s="94"/>
      <c r="CA125" s="94"/>
      <c r="CB125" s="94"/>
      <c r="CC125" s="94"/>
      <c r="CD125" s="94"/>
      <c r="CE125" s="94"/>
      <c r="CF125" s="94"/>
      <c r="CG125" s="94"/>
      <c r="CH125" s="94"/>
      <c r="CI125" s="94"/>
      <c r="CJ125" s="94"/>
      <c r="CK125" s="94"/>
      <c r="CL125" s="94"/>
      <c r="CM125" s="94"/>
      <c r="CN125" s="94"/>
      <c r="CO125" s="94"/>
      <c r="CP125" s="94"/>
      <c r="CQ125" s="94"/>
      <c r="CR125" s="94"/>
      <c r="CS125" s="94"/>
      <c r="CT125" s="94"/>
      <c r="CU125" s="94"/>
      <c r="CV125" s="94"/>
      <c r="CW125" s="94"/>
      <c r="CX125" s="94"/>
      <c r="CY125" s="94"/>
      <c r="CZ125" s="94"/>
    </row>
    <row r="126" spans="1:104" ht="14.1" customHeight="1">
      <c r="A126" s="54"/>
      <c r="B126" s="64"/>
      <c r="C126" s="333"/>
      <c r="D126" s="64"/>
      <c r="E126" s="606"/>
      <c r="F126" s="897"/>
      <c r="G126" s="898"/>
      <c r="H126" s="898"/>
      <c r="I126" s="898"/>
      <c r="J126" s="898"/>
      <c r="K126" s="898"/>
      <c r="L126" s="898"/>
      <c r="M126" s="898"/>
      <c r="N126" s="898"/>
      <c r="O126" s="898"/>
      <c r="P126" s="898"/>
      <c r="Q126" s="898"/>
      <c r="R126" s="898"/>
      <c r="S126" s="899"/>
      <c r="T126" s="208"/>
      <c r="U126" s="204"/>
      <c r="V126" s="204"/>
      <c r="W126" s="204"/>
      <c r="X126" s="204"/>
      <c r="Y126" s="204"/>
      <c r="Z126" s="204"/>
      <c r="AA126" s="204"/>
      <c r="AB126" s="204"/>
      <c r="AC126" s="204"/>
      <c r="AD126" s="903"/>
      <c r="AE126" s="903"/>
      <c r="AF126" s="903"/>
      <c r="AG126" s="903"/>
      <c r="AH126" s="51"/>
      <c r="AI126" s="64"/>
      <c r="AJ126" s="43" t="str">
        <f>IF(D126="","",IF(OR(F126=Lists!$I$11,F126=Lists!$I$16,F126=Lists!$J$12),"EER",IF(OR(F126=Lists!$I$17,F126=Lists!$I$18),"kW/ton",IF(D126*12000&lt;65000,"SEER","EER"))))</f>
        <v/>
      </c>
      <c r="AK126" s="43"/>
      <c r="AL126" s="43"/>
      <c r="AM126" s="43"/>
      <c r="AN126" s="43"/>
      <c r="AO126" s="43"/>
      <c r="AP126" s="310" t="str">
        <f>IF(LEFT(F126,3)="Air","",IF(OR(F126="",D126=""),"",IF(F126='HVAC Efficiency Tables'!$A$24,VLOOKUP(D126,GroupF,3),IF(F126='HVAC Efficiency Tables'!$A$27,VLOOKUP(D126,GroupG,3),IF(F126='HVAC Efficiency Tables'!$A$33,VLOOKUP(D126,GroupH,3),"N/A")))))</f>
        <v/>
      </c>
      <c r="AQ126" s="43" t="str">
        <f>IF(OR(AP126="N/A",AP126=""),"",IF(F126=Lists!$I$16,"EER",IF(OR(F126=Lists!$I$17,F126=Lists!$I$18),"kW/ton",IF(D126*12000&lt;65000,"SEER","EER"))))</f>
        <v/>
      </c>
      <c r="AR126" s="894" t="str">
        <f>IF(LEFT(F126,4)="Air ","",IF(AND($BR$1="OR",OR($B126&lt;0,$D126,0,$F126&lt;&gt;"",$AD126&lt;&gt;"",$AI126&lt;0)),"ID Only*",IF(OR(AI126="",$AP126="",AP126="N/A"),"",IF(AQ126="SEER",IF($AP126&lt;=AI126,"Qualified","Not Qualified"),IF(AQ126="kW/ton",IF($AP126&gt;=AI126,"Qualified","Not Qualified"))))))</f>
        <v/>
      </c>
      <c r="AS126" s="894"/>
      <c r="AT126" s="675"/>
      <c r="AU126" s="675"/>
      <c r="AV126" s="43"/>
      <c r="AW126" s="208"/>
      <c r="AX126" s="208"/>
      <c r="AY126" s="55" t="str">
        <f>IF(LEFT(F126,5)="Water","",IF(OR(F126="",D126=""),"",IF(F126='HVAC Efficiency Tables'!$A$24,VLOOKUP(D126,GroupF,3),IF(F126='HVAC Efficiency Tables'!$A$27,VLOOKUP(D126,GroupG,3),IF(F126='HVAC Efficiency Tables'!$A$33,VLOOKUP(D126,GroupH,3),"N/A")))))</f>
        <v/>
      </c>
      <c r="AZ126" s="43" t="str">
        <f>IF(OR(AY126="N/A",AY126=""),"",IF(F126=Lists!$I$16,"EER",IF(OR(F126=Lists!$I$17,F126=Lists!$I$18),"kW/ton",IF(D126*12000&lt;65000,"SEER","EER"))))</f>
        <v/>
      </c>
      <c r="BA126" s="894" t="str">
        <f>IF(LEFT(F126,5)="Water","",IF(AND($BR$1="OR",OR($B126&lt;0,$D126,0,$F126&lt;&gt;"",$AD126&lt;&gt;"",$AI126&lt;0)),"ID Only*",IF(OR(AI126="",$AY126="",AY126="N/A"),"",IF(AZ126="EER",IF($AY126&lt;=AI126,"Qualified","Not Qualified"),IF(AZ126="kW/ton",IF($AY126&gt;=AI126,"Qualified","Not Qualified"))))))</f>
        <v/>
      </c>
      <c r="BB126" s="894"/>
      <c r="BC126" s="675"/>
      <c r="BD126" s="675"/>
      <c r="BE126" s="204"/>
      <c r="BF126" s="204"/>
      <c r="BG126" s="157" t="s">
        <v>142</v>
      </c>
      <c r="BH126" s="895" t="str">
        <f>IF(AND($BR$1="OR",OR($B126&gt;0,$D126&gt;0,$F126&lt;&gt;"",$AD126&lt;&gt;"",$AI126&gt;0)),"ID Only*",IF(AR126="Qualified",D126*B126*40,IF(BA126="Qualified",D126*B126*80,"")))</f>
        <v/>
      </c>
      <c r="BI126" s="895"/>
      <c r="BJ126" s="230"/>
      <c r="BM126" s="296">
        <f>COUNTIF(AR125:AR130,"Qualified")+COUNTIF(BA125:BA130,"Qualified")</f>
        <v>0</v>
      </c>
      <c r="BQ126" s="308" t="str">
        <f>IF(OR(F126="",D126=""),"",IF(F126='HVAC Efficiency Tables'!$A$24,VLOOKUP(D126,GroupF,7),IF(F126='HVAC Efficiency Tables'!$A$27,VLOOKUP(D126,GroupG,7),IF(F126='HVAC Efficiency Tables'!$A$33,VLOOKUP(D126,GroupH,7),"N/A"))))</f>
        <v/>
      </c>
      <c r="BR126" s="298">
        <f>IF($BX$1="",0,VLOOKUP($BX$1,CoolingHours,3,FALSE))</f>
        <v>599</v>
      </c>
      <c r="BS126" s="298" t="e">
        <f>B126*D126*(1/BQ126-1/AI126)*12000/1000*BR126</f>
        <v>#VALUE!</v>
      </c>
      <c r="BT126" s="298" t="e">
        <f>B126*D126*(1/(BQ126*0.857)-1/(AI126*0.857))*12000/1000*BR126</f>
        <v>#VALUE!</v>
      </c>
      <c r="BU126" s="298" t="e">
        <f>B126*D126*(BQ126-AI126)*BR126</f>
        <v>#VALUE!</v>
      </c>
      <c r="BV126" s="617">
        <f>IF(OR(BA126="Qualified",AR126="Qualified"),IF(AJ126="EER",BS126,IF(AJ126="SEER",BT126,IF(AJ126="kW/ton",BU126,0))),0)</f>
        <v>0</v>
      </c>
      <c r="BW126" s="301">
        <f>IF(BR126=0,"Select Bldg Type",BV126/BR126)</f>
        <v>0</v>
      </c>
      <c r="BY126" s="94"/>
      <c r="BZ126" s="94"/>
      <c r="CA126" s="94"/>
      <c r="CB126" s="94"/>
      <c r="CC126" s="94"/>
      <c r="CD126" s="94"/>
      <c r="CE126" s="94"/>
      <c r="CF126" s="94"/>
      <c r="CG126" s="94"/>
      <c r="CH126" s="94"/>
      <c r="CI126" s="94"/>
      <c r="CJ126" s="94"/>
      <c r="CK126" s="94"/>
      <c r="CL126" s="94"/>
      <c r="CM126" s="94"/>
      <c r="CN126" s="94"/>
      <c r="CO126" s="94"/>
      <c r="CP126" s="94"/>
      <c r="CQ126" s="94"/>
      <c r="CR126" s="94"/>
      <c r="CS126" s="94"/>
      <c r="CT126" s="94"/>
      <c r="CU126" s="94"/>
      <c r="CV126" s="94"/>
      <c r="CW126" s="94"/>
      <c r="CX126" s="94"/>
      <c r="CY126" s="94"/>
      <c r="CZ126" s="94"/>
    </row>
    <row r="127" spans="1:104" ht="14.1" customHeight="1">
      <c r="A127" s="54"/>
      <c r="B127" s="64"/>
      <c r="C127" s="333"/>
      <c r="D127" s="64"/>
      <c r="E127" s="606"/>
      <c r="F127" s="897"/>
      <c r="G127" s="898"/>
      <c r="H127" s="898"/>
      <c r="I127" s="898"/>
      <c r="J127" s="898"/>
      <c r="K127" s="898"/>
      <c r="L127" s="898"/>
      <c r="M127" s="898"/>
      <c r="N127" s="898"/>
      <c r="O127" s="898"/>
      <c r="P127" s="898"/>
      <c r="Q127" s="898"/>
      <c r="R127" s="898"/>
      <c r="S127" s="899"/>
      <c r="T127" s="208"/>
      <c r="U127" s="204"/>
      <c r="V127" s="204"/>
      <c r="W127" s="204"/>
      <c r="X127" s="204"/>
      <c r="Y127" s="204"/>
      <c r="Z127" s="204"/>
      <c r="AA127" s="204"/>
      <c r="AB127" s="204"/>
      <c r="AC127" s="204"/>
      <c r="AD127" s="903"/>
      <c r="AE127" s="903"/>
      <c r="AF127" s="903"/>
      <c r="AG127" s="903"/>
      <c r="AH127" s="51"/>
      <c r="AI127" s="64"/>
      <c r="AJ127" s="43" t="str">
        <f>IF(D127="","",IF(OR(F127=Lists!$I$11,F127=Lists!$I$16,F127=Lists!$J$12),"EER",IF(OR(F127=Lists!$I$17,F127=Lists!$I$18),"kW/ton",IF(D127*12000&lt;65000,"SEER","EER"))))</f>
        <v/>
      </c>
      <c r="AK127" s="43"/>
      <c r="AL127" s="43"/>
      <c r="AM127" s="43"/>
      <c r="AN127" s="43"/>
      <c r="AO127" s="43"/>
      <c r="AP127" s="310" t="str">
        <f>IF(LEFT(F127,3)="Air","",IF(OR(F127="",D127=""),"",IF(F127='HVAC Efficiency Tables'!$A$24,VLOOKUP(D127,GroupF,3),IF(F127='HVAC Efficiency Tables'!$A$27,VLOOKUP(D127,GroupG,3),IF(F127='HVAC Efficiency Tables'!$A$33,VLOOKUP(D127,GroupH,3),"N/A")))))</f>
        <v/>
      </c>
      <c r="AQ127" s="43" t="str">
        <f>IF(OR(AP127="N/A",AP127=""),"",IF(F127=Lists!$I$16,"EER",IF(OR(F127=Lists!$I$17,F127=Lists!$I$18),"kW/ton",IF(D127*12000&lt;65000,"SEER","EER"))))</f>
        <v/>
      </c>
      <c r="AR127" s="894" t="str">
        <f t="shared" ref="AR127:AR130" si="89">IF(LEFT(F127,4)="Air ","",IF(AND($BR$1="OR",OR($B127&lt;0,$D127,0,$F127&lt;&gt;"",$AD127&lt;&gt;"",$AI127&lt;0)),"ID Only*",IF(OR(AI127="",$AP127="",AP127="N/A"),"",IF(AQ127="SEER",IF($AP127&lt;=AI127,"Qualified","Not Qualified"),IF(AQ127="kW/ton",IF($AP127&gt;=AI127,"Qualified","Not Qualified"))))))</f>
        <v/>
      </c>
      <c r="AS127" s="894"/>
      <c r="AT127" s="675"/>
      <c r="AU127" s="675"/>
      <c r="AV127" s="43"/>
      <c r="AW127" s="208"/>
      <c r="AX127" s="208"/>
      <c r="AY127" s="55" t="str">
        <f>IF(LEFT(F127,5)="Water","",IF(OR(F127="",D127=""),"",IF(F127='HVAC Efficiency Tables'!$A$24,VLOOKUP(D127,GroupF,3),IF(F127='HVAC Efficiency Tables'!$A$27,VLOOKUP(D127,GroupG,3),IF(F127='HVAC Efficiency Tables'!$A$33,VLOOKUP(D127,GroupH,3),"N/A")))))</f>
        <v/>
      </c>
      <c r="AZ127" s="43" t="str">
        <f>IF(OR(AY127="N/A",AY127=""),"",IF(F127=Lists!$I$16,"EER",IF(OR(F127=Lists!$I$17,F127=Lists!$I$18),"kW/ton",IF(D127*12000&lt;65000,"SEER","EER"))))</f>
        <v/>
      </c>
      <c r="BA127" s="894" t="str">
        <f t="shared" ref="BA127:BA130" si="90">IF(LEFT(F127,5)="Water","",IF(AND($BR$1="OR",OR($B127&lt;0,$D127,0,$F127&lt;&gt;"",$AD127&lt;&gt;"",$AI127&lt;0)),"ID Only*",IF(OR(AI127="",$AY127="",AY127="N/A"),"",IF(AZ127="EER",IF($AY127&lt;=AI127,"Qualified","Not Qualified"),IF(AZ127="kW/ton",IF($AY127&gt;=AI127,"Qualified","Not Qualified"))))))</f>
        <v/>
      </c>
      <c r="BB127" s="894"/>
      <c r="BC127" s="675"/>
      <c r="BD127" s="675"/>
      <c r="BE127" s="204"/>
      <c r="BF127" s="204"/>
      <c r="BG127" s="157" t="s">
        <v>142</v>
      </c>
      <c r="BH127" s="895" t="str">
        <f t="shared" ref="BH127:BH130" si="91">IF(AND($BR$1="OR",OR($B127&gt;0,$D127&gt;0,$F127&lt;&gt;"",$AD127&lt;&gt;"",$AI127&gt;0)),"ID Only*",IF(AR127="Qualified",D127*B127*40,IF(BA127="Qualified",D127*B127*80,"")))</f>
        <v/>
      </c>
      <c r="BI127" s="895"/>
      <c r="BJ127" s="230"/>
      <c r="BQ127" s="308" t="str">
        <f>IF(OR(F127="",D127=""),"",IF(F127='HVAC Efficiency Tables'!$A$24,VLOOKUP(D127,GroupF,7),IF(F127='HVAC Efficiency Tables'!$A$27,VLOOKUP(D127,GroupG,7),IF(F127='HVAC Efficiency Tables'!$A$33,VLOOKUP(D127,GroupH,7),"N/A"))))</f>
        <v/>
      </c>
      <c r="BR127" s="298">
        <f>IF($BX$1="",0,VLOOKUP($BX$1,CoolingHours,3,FALSE))</f>
        <v>599</v>
      </c>
      <c r="BS127" s="298" t="e">
        <f>B127*D127*(1/BQ127-1/AI127)*12000/1000*BR127</f>
        <v>#VALUE!</v>
      </c>
      <c r="BT127" s="298" t="e">
        <f t="shared" ref="BT127:BT130" si="92">B127*D127*(1/(BQ127*0.857)-1/(AI127*0.857))*12000/1000*BR127</f>
        <v>#VALUE!</v>
      </c>
      <c r="BU127" s="298" t="e">
        <f t="shared" ref="BU127:BU130" si="93">B127*D127*(BQ127-AI127)*BR127</f>
        <v>#VALUE!</v>
      </c>
      <c r="BV127" s="617">
        <f>IF(OR(BA127="Qualified",AR127="Qualified"),IF(AJ127="EER",BS127,IF(AJ127="SEER",BT127,IF(AJ127="kW/ton",BU127,0))),0)</f>
        <v>0</v>
      </c>
      <c r="BW127" s="301">
        <f t="shared" ref="BW127:BW130" si="94">IF(BR127=0,"Select Bldg Type",BV127/BR127)</f>
        <v>0</v>
      </c>
      <c r="BY127" s="94"/>
      <c r="BZ127" s="94"/>
      <c r="CA127" s="94"/>
      <c r="CB127" s="94"/>
      <c r="CC127" s="94"/>
      <c r="CD127" s="94"/>
      <c r="CE127" s="94"/>
      <c r="CF127" s="94"/>
      <c r="CG127" s="94"/>
      <c r="CH127" s="94"/>
      <c r="CI127" s="94"/>
      <c r="CJ127" s="94"/>
      <c r="CK127" s="94"/>
      <c r="CL127" s="94"/>
      <c r="CM127" s="94"/>
      <c r="CN127" s="94"/>
      <c r="CO127" s="94"/>
      <c r="CP127" s="94"/>
      <c r="CQ127" s="94"/>
      <c r="CR127" s="94"/>
      <c r="CS127" s="94"/>
      <c r="CT127" s="94"/>
      <c r="CU127" s="94"/>
      <c r="CV127" s="94"/>
      <c r="CW127" s="94"/>
      <c r="CX127" s="94"/>
      <c r="CY127" s="94"/>
      <c r="CZ127" s="94"/>
    </row>
    <row r="128" spans="1:104" ht="14.1" customHeight="1">
      <c r="A128" s="54"/>
      <c r="B128" s="64"/>
      <c r="C128" s="333"/>
      <c r="D128" s="64"/>
      <c r="E128" s="606"/>
      <c r="F128" s="897"/>
      <c r="G128" s="898"/>
      <c r="H128" s="898"/>
      <c r="I128" s="898"/>
      <c r="J128" s="898"/>
      <c r="K128" s="898"/>
      <c r="L128" s="898"/>
      <c r="M128" s="898"/>
      <c r="N128" s="898"/>
      <c r="O128" s="898"/>
      <c r="P128" s="898"/>
      <c r="Q128" s="898"/>
      <c r="R128" s="898"/>
      <c r="S128" s="899"/>
      <c r="T128" s="208"/>
      <c r="U128" s="204"/>
      <c r="V128" s="204"/>
      <c r="W128" s="204"/>
      <c r="X128" s="204"/>
      <c r="Y128" s="204"/>
      <c r="Z128" s="204"/>
      <c r="AA128" s="204"/>
      <c r="AB128" s="204"/>
      <c r="AC128" s="204"/>
      <c r="AD128" s="903"/>
      <c r="AE128" s="903"/>
      <c r="AF128" s="903"/>
      <c r="AG128" s="903"/>
      <c r="AH128" s="51"/>
      <c r="AI128" s="64"/>
      <c r="AJ128" s="43" t="str">
        <f>IF(D128="","",IF(OR(F128=Lists!$I$11,F128=Lists!$I$16,F128=Lists!$J$12),"EER",IF(OR(F128=Lists!$I$17,F128=Lists!$I$18),"kW/ton",IF(D128*12000&lt;65000,"SEER","EER"))))</f>
        <v/>
      </c>
      <c r="AK128" s="43"/>
      <c r="AL128" s="43"/>
      <c r="AM128" s="43"/>
      <c r="AN128" s="43"/>
      <c r="AO128" s="43"/>
      <c r="AP128" s="310" t="str">
        <f>IF(LEFT(F128,3)="Air","",IF(OR(F128="",D128=""),"",IF(F128='HVAC Efficiency Tables'!$A$24,VLOOKUP(D128,GroupF,3),IF(F128='HVAC Efficiency Tables'!$A$27,VLOOKUP(D128,GroupG,3),IF(F128='HVAC Efficiency Tables'!$A$33,VLOOKUP(D128,GroupH,3),"N/A")))))</f>
        <v/>
      </c>
      <c r="AQ128" s="43" t="str">
        <f>IF(OR(AP128="N/A",AP128=""),"",IF(F128=Lists!$I$16,"EER",IF(OR(F128=Lists!$I$17,F128=Lists!$I$18),"kW/ton",IF(D128*12000&lt;65000,"SEER","EER"))))</f>
        <v/>
      </c>
      <c r="AR128" s="894" t="str">
        <f t="shared" si="89"/>
        <v/>
      </c>
      <c r="AS128" s="894"/>
      <c r="AT128" s="675"/>
      <c r="AU128" s="675"/>
      <c r="AV128" s="43"/>
      <c r="AW128" s="208"/>
      <c r="AX128" s="208"/>
      <c r="AY128" s="55" t="str">
        <f>IF(LEFT(F128,5)="Water","",IF(OR(F128="",D128=""),"",IF(F128='HVAC Efficiency Tables'!$A$24,VLOOKUP(D128,GroupF,3),IF(F128='HVAC Efficiency Tables'!$A$27,VLOOKUP(D128,GroupG,3),IF(F128='HVAC Efficiency Tables'!$A$33,VLOOKUP(D128,GroupH,3),"N/A")))))</f>
        <v/>
      </c>
      <c r="AZ128" s="43" t="str">
        <f>IF(OR(AY128="N/A",AY128=""),"",IF(F128=Lists!$I$16,"EER",IF(OR(F128=Lists!$I$17,F128=Lists!$I$18),"kW/ton",IF(D128*12000&lt;65000,"SEER","EER"))))</f>
        <v/>
      </c>
      <c r="BA128" s="894" t="str">
        <f t="shared" si="90"/>
        <v/>
      </c>
      <c r="BB128" s="894"/>
      <c r="BC128" s="675"/>
      <c r="BD128" s="675"/>
      <c r="BE128" s="204"/>
      <c r="BF128" s="204"/>
      <c r="BG128" s="157" t="s">
        <v>142</v>
      </c>
      <c r="BH128" s="895" t="str">
        <f t="shared" si="91"/>
        <v/>
      </c>
      <c r="BI128" s="895"/>
      <c r="BJ128" s="230"/>
      <c r="BQ128" s="308" t="str">
        <f>IF(OR(F128="",D128=""),"",IF(F128='HVAC Efficiency Tables'!$A$24,VLOOKUP(D128,GroupF,7),IF(F128='HVAC Efficiency Tables'!$A$27,VLOOKUP(D128,GroupG,7),IF(F128='HVAC Efficiency Tables'!$A$33,VLOOKUP(D128,GroupH,7),"N/A"))))</f>
        <v/>
      </c>
      <c r="BR128" s="298">
        <f>IF($BX$1="",0,VLOOKUP($BX$1,CoolingHours,3,FALSE))</f>
        <v>599</v>
      </c>
      <c r="BS128" s="298" t="e">
        <f t="shared" ref="BS128:BS130" si="95">B128*D128*(1/BQ128-1/AI128)*12000/1000*BR128</f>
        <v>#VALUE!</v>
      </c>
      <c r="BT128" s="298" t="e">
        <f t="shared" si="92"/>
        <v>#VALUE!</v>
      </c>
      <c r="BU128" s="298" t="e">
        <f t="shared" si="93"/>
        <v>#VALUE!</v>
      </c>
      <c r="BV128" s="617">
        <f>IF(OR(BA128="Qualified",AR128="Qualified"),IF(AJ128="EER",BS128,IF(AJ128="SEER",BT128,IF(AJ128="kW/ton",BU128,0))),0)</f>
        <v>0</v>
      </c>
      <c r="BW128" s="301">
        <f t="shared" si="94"/>
        <v>0</v>
      </c>
      <c r="BY128" s="94"/>
      <c r="BZ128" s="94"/>
      <c r="CA128" s="94"/>
      <c r="CB128" s="94"/>
      <c r="CC128" s="94"/>
      <c r="CD128" s="94"/>
      <c r="CE128" s="94"/>
      <c r="CF128" s="94"/>
      <c r="CG128" s="94"/>
      <c r="CH128" s="94"/>
      <c r="CI128" s="94"/>
      <c r="CJ128" s="94"/>
      <c r="CK128" s="94"/>
      <c r="CL128" s="94"/>
      <c r="CM128" s="94"/>
      <c r="CN128" s="94"/>
      <c r="CO128" s="94"/>
      <c r="CP128" s="94"/>
      <c r="CQ128" s="94"/>
      <c r="CR128" s="94"/>
      <c r="CS128" s="94"/>
      <c r="CT128" s="94"/>
      <c r="CU128" s="94"/>
      <c r="CV128" s="94"/>
      <c r="CW128" s="94"/>
      <c r="CX128" s="94"/>
      <c r="CY128" s="94"/>
      <c r="CZ128" s="94"/>
    </row>
    <row r="129" spans="1:104" ht="14.1" customHeight="1">
      <c r="A129" s="54"/>
      <c r="B129" s="64"/>
      <c r="C129" s="333"/>
      <c r="D129" s="64"/>
      <c r="E129" s="606"/>
      <c r="F129" s="897"/>
      <c r="G129" s="898"/>
      <c r="H129" s="898"/>
      <c r="I129" s="898"/>
      <c r="J129" s="898"/>
      <c r="K129" s="898"/>
      <c r="L129" s="898"/>
      <c r="M129" s="898"/>
      <c r="N129" s="898"/>
      <c r="O129" s="898"/>
      <c r="P129" s="898"/>
      <c r="Q129" s="898"/>
      <c r="R129" s="898"/>
      <c r="S129" s="899"/>
      <c r="T129" s="208"/>
      <c r="U129" s="204"/>
      <c r="V129" s="204"/>
      <c r="W129" s="204"/>
      <c r="X129" s="204"/>
      <c r="Y129" s="204"/>
      <c r="Z129" s="204"/>
      <c r="AA129" s="204"/>
      <c r="AB129" s="204"/>
      <c r="AC129" s="204"/>
      <c r="AD129" s="903"/>
      <c r="AE129" s="903"/>
      <c r="AF129" s="903"/>
      <c r="AG129" s="903"/>
      <c r="AH129" s="51"/>
      <c r="AI129" s="64"/>
      <c r="AJ129" s="43" t="str">
        <f>IF(D129="","",IF(OR(F129=Lists!$I$11,F129=Lists!$I$16,F129=Lists!$J$12),"EER",IF(OR(F129=Lists!$I$17,F129=Lists!$I$18),"kW/ton",IF(D129*12000&lt;65000,"SEER","EER"))))</f>
        <v/>
      </c>
      <c r="AK129" s="43"/>
      <c r="AL129" s="43"/>
      <c r="AM129" s="43"/>
      <c r="AN129" s="43"/>
      <c r="AO129" s="43"/>
      <c r="AP129" s="310" t="str">
        <f>IF(LEFT(F129,3)="Air","",IF(OR(F129="",D129=""),"",IF(F129='HVAC Efficiency Tables'!$A$24,VLOOKUP(D129,GroupF,3),IF(F129='HVAC Efficiency Tables'!$A$27,VLOOKUP(D129,GroupG,3),IF(F129='HVAC Efficiency Tables'!$A$33,VLOOKUP(D129,GroupH,3),"N/A")))))</f>
        <v/>
      </c>
      <c r="AQ129" s="43" t="str">
        <f>IF(OR(AP129="N/A",AP129=""),"",IF(F129=Lists!$I$16,"EER",IF(OR(F129=Lists!$I$17,F129=Lists!$I$18),"kW/ton",IF(D129*12000&lt;65000,"SEER","EER"))))</f>
        <v/>
      </c>
      <c r="AR129" s="894" t="str">
        <f t="shared" si="89"/>
        <v/>
      </c>
      <c r="AS129" s="894"/>
      <c r="AT129" s="675"/>
      <c r="AU129" s="675"/>
      <c r="AV129" s="43"/>
      <c r="AW129" s="208"/>
      <c r="AX129" s="208"/>
      <c r="AY129" s="55" t="str">
        <f>IF(LEFT(F129,5)="Water","",IF(OR(F129="",D129=""),"",IF(F129='HVAC Efficiency Tables'!$A$24,VLOOKUP(D129,GroupF,3),IF(F129='HVAC Efficiency Tables'!$A$27,VLOOKUP(D129,GroupG,3),IF(F129='HVAC Efficiency Tables'!$A$33,VLOOKUP(D129,GroupH,3),"N/A")))))</f>
        <v/>
      </c>
      <c r="AZ129" s="43" t="str">
        <f>IF(OR(AY129="N/A",AY129=""),"",IF(F129=Lists!$I$16,"EER",IF(OR(F129=Lists!$I$17,F129=Lists!$I$18),"kW/ton",IF(D129*12000&lt;65000,"SEER","EER"))))</f>
        <v/>
      </c>
      <c r="BA129" s="894" t="str">
        <f t="shared" si="90"/>
        <v/>
      </c>
      <c r="BB129" s="894"/>
      <c r="BC129" s="675"/>
      <c r="BD129" s="675"/>
      <c r="BE129" s="204"/>
      <c r="BF129" s="204"/>
      <c r="BG129" s="157" t="s">
        <v>142</v>
      </c>
      <c r="BH129" s="895" t="str">
        <f t="shared" si="91"/>
        <v/>
      </c>
      <c r="BI129" s="895"/>
      <c r="BJ129" s="230"/>
      <c r="BQ129" s="308" t="str">
        <f>IF(OR(F129="",D129=""),"",IF(F129='HVAC Efficiency Tables'!$A$24,VLOOKUP(D129,GroupF,7),IF(F129='HVAC Efficiency Tables'!$A$27,VLOOKUP(D129,GroupG,7),IF(F129='HVAC Efficiency Tables'!$A$33,VLOOKUP(D129,GroupH,7),"N/A"))))</f>
        <v/>
      </c>
      <c r="BR129" s="298">
        <f>IF($BX$1="",0,VLOOKUP($BX$1,CoolingHours,3,FALSE))</f>
        <v>599</v>
      </c>
      <c r="BS129" s="298" t="e">
        <f t="shared" si="95"/>
        <v>#VALUE!</v>
      </c>
      <c r="BT129" s="298" t="e">
        <f t="shared" si="92"/>
        <v>#VALUE!</v>
      </c>
      <c r="BU129" s="298" t="e">
        <f t="shared" si="93"/>
        <v>#VALUE!</v>
      </c>
      <c r="BV129" s="617">
        <f>IF(OR(BA129="Qualified",AR129="Qualified"),IF(AJ129="EER",BS129,IF(AJ129="SEER",BT129,IF(AJ129="kW/ton",BU129,0))),0)</f>
        <v>0</v>
      </c>
      <c r="BW129" s="301">
        <f t="shared" si="94"/>
        <v>0</v>
      </c>
      <c r="BY129" s="94"/>
      <c r="BZ129" s="94"/>
      <c r="CA129" s="94"/>
      <c r="CB129" s="94"/>
      <c r="CC129" s="94"/>
      <c r="CD129" s="94"/>
      <c r="CE129" s="94"/>
      <c r="CF129" s="94"/>
      <c r="CG129" s="94"/>
      <c r="CH129" s="94"/>
      <c r="CI129" s="94"/>
      <c r="CJ129" s="94"/>
      <c r="CK129" s="94"/>
      <c r="CL129" s="94"/>
      <c r="CM129" s="94"/>
      <c r="CN129" s="94"/>
      <c r="CO129" s="94"/>
      <c r="CP129" s="94"/>
      <c r="CQ129" s="94"/>
      <c r="CR129" s="94"/>
      <c r="CS129" s="94"/>
      <c r="CT129" s="94"/>
      <c r="CU129" s="94"/>
      <c r="CV129" s="94"/>
      <c r="CW129" s="94"/>
      <c r="CX129" s="94"/>
      <c r="CY129" s="94"/>
      <c r="CZ129" s="94"/>
    </row>
    <row r="130" spans="1:104" ht="12.75">
      <c r="A130" s="54"/>
      <c r="B130" s="64"/>
      <c r="C130" s="333"/>
      <c r="D130" s="64"/>
      <c r="E130" s="606"/>
      <c r="F130" s="897"/>
      <c r="G130" s="898"/>
      <c r="H130" s="898"/>
      <c r="I130" s="898"/>
      <c r="J130" s="898"/>
      <c r="K130" s="898"/>
      <c r="L130" s="898"/>
      <c r="M130" s="898"/>
      <c r="N130" s="898"/>
      <c r="O130" s="898"/>
      <c r="P130" s="898"/>
      <c r="Q130" s="898"/>
      <c r="R130" s="898"/>
      <c r="S130" s="899"/>
      <c r="T130" s="208"/>
      <c r="U130" s="204"/>
      <c r="V130" s="204"/>
      <c r="W130" s="204"/>
      <c r="X130" s="204"/>
      <c r="Y130" s="204"/>
      <c r="Z130" s="204"/>
      <c r="AA130" s="204"/>
      <c r="AB130" s="204"/>
      <c r="AC130" s="204"/>
      <c r="AD130" s="903"/>
      <c r="AE130" s="903"/>
      <c r="AF130" s="903"/>
      <c r="AG130" s="903"/>
      <c r="AH130" s="51"/>
      <c r="AI130" s="64"/>
      <c r="AJ130" s="43" t="str">
        <f>IF(D130="","",IF(OR(F130=Lists!$I$11,F130=Lists!$I$16,F130=Lists!$J$12),"EER",IF(OR(F130=Lists!$I$17,F130=Lists!$I$18),"kW/ton",IF(D130*12000&lt;65000,"SEER","EER"))))</f>
        <v/>
      </c>
      <c r="AK130" s="43"/>
      <c r="AL130" s="43"/>
      <c r="AM130" s="43"/>
      <c r="AN130" s="43"/>
      <c r="AO130" s="43"/>
      <c r="AP130" s="310" t="str">
        <f>IF(LEFT(F130,3)="Air","",IF(OR(F130="",D130=""),"",IF(F130='HVAC Efficiency Tables'!$A$24,VLOOKUP(D130,GroupF,3),IF(F130='HVAC Efficiency Tables'!$A$27,VLOOKUP(D130,GroupG,3),IF(F130='HVAC Efficiency Tables'!$A$33,VLOOKUP(D130,GroupH,3),"N/A")))))</f>
        <v/>
      </c>
      <c r="AQ130" s="43" t="str">
        <f>IF(OR(AP130="N/A",AP130=""),"",IF(F130=Lists!$I$16,"EER",IF(OR(F130=Lists!$I$17,F130=Lists!$I$18),"kW/ton",IF(D130*12000&lt;65000,"SEER","EER"))))</f>
        <v/>
      </c>
      <c r="AR130" s="894" t="str">
        <f t="shared" si="89"/>
        <v/>
      </c>
      <c r="AS130" s="894"/>
      <c r="AT130" s="675"/>
      <c r="AU130" s="675"/>
      <c r="AV130" s="43"/>
      <c r="AW130" s="208"/>
      <c r="AX130" s="208"/>
      <c r="AY130" s="55" t="str">
        <f>IF(LEFT(F130,5)="Water","",IF(OR(F130="",D130=""),"",IF(F130='HVAC Efficiency Tables'!$A$24,VLOOKUP(D130,GroupF,3),IF(F130='HVAC Efficiency Tables'!$A$27,VLOOKUP(D130,GroupG,3),IF(F130='HVAC Efficiency Tables'!$A$33,VLOOKUP(D130,GroupH,3),"N/A")))))</f>
        <v/>
      </c>
      <c r="AZ130" s="43" t="str">
        <f>IF(OR(AY130="N/A",AY130=""),"",IF(F130=Lists!$I$16,"EER",IF(OR(F130=Lists!$I$17,F130=Lists!$I$18),"kW/ton",IF(D130*12000&lt;65000,"SEER","EER"))))</f>
        <v/>
      </c>
      <c r="BA130" s="894" t="str">
        <f t="shared" si="90"/>
        <v/>
      </c>
      <c r="BB130" s="894"/>
      <c r="BC130" s="675"/>
      <c r="BD130" s="675"/>
      <c r="BE130" s="204"/>
      <c r="BF130" s="204"/>
      <c r="BG130" s="157" t="s">
        <v>142</v>
      </c>
      <c r="BH130" s="895" t="str">
        <f t="shared" si="91"/>
        <v/>
      </c>
      <c r="BI130" s="895"/>
      <c r="BJ130" s="230"/>
      <c r="BQ130" s="308" t="str">
        <f>IF(OR(F130="",D130=""),"",IF(F130='HVAC Efficiency Tables'!$A$24,VLOOKUP(D130,GroupF,7),IF(F130='HVAC Efficiency Tables'!$A$27,VLOOKUP(D130,GroupG,7),IF(F130='HVAC Efficiency Tables'!$A$33,VLOOKUP(D130,GroupH,7),"N/A"))))</f>
        <v/>
      </c>
      <c r="BR130" s="298">
        <f>IF($BX$1="",0,VLOOKUP($BX$1,CoolingHours,3,FALSE))</f>
        <v>599</v>
      </c>
      <c r="BS130" s="298" t="e">
        <f t="shared" si="95"/>
        <v>#VALUE!</v>
      </c>
      <c r="BT130" s="298" t="e">
        <f t="shared" si="92"/>
        <v>#VALUE!</v>
      </c>
      <c r="BU130" s="298" t="e">
        <f t="shared" si="93"/>
        <v>#VALUE!</v>
      </c>
      <c r="BV130" s="617">
        <f>IF(OR(BA130="Qualified",AR130="Qualified"),IF(AJ130="EER",BS130,IF(AJ130="SEER",BT130,IF(AJ130="kW/ton",BU130,0))),0)</f>
        <v>0</v>
      </c>
      <c r="BW130" s="301">
        <f t="shared" si="94"/>
        <v>0</v>
      </c>
      <c r="BY130" s="94"/>
      <c r="BZ130" s="94"/>
      <c r="CA130" s="94"/>
      <c r="CB130" s="94"/>
      <c r="CC130" s="94"/>
      <c r="CD130" s="94"/>
      <c r="CE130" s="94"/>
      <c r="CF130" s="94"/>
      <c r="CG130" s="94"/>
      <c r="CH130" s="94"/>
      <c r="CI130" s="94"/>
      <c r="CJ130" s="94"/>
      <c r="CK130" s="94"/>
      <c r="CL130" s="94"/>
      <c r="CM130" s="94"/>
      <c r="CN130" s="94"/>
      <c r="CO130" s="94"/>
      <c r="CP130" s="94"/>
      <c r="CQ130" s="94"/>
      <c r="CR130" s="94"/>
      <c r="CS130" s="94"/>
      <c r="CT130" s="94"/>
      <c r="CU130" s="94"/>
      <c r="CV130" s="94"/>
      <c r="CW130" s="94"/>
      <c r="CX130" s="94"/>
      <c r="CY130" s="94"/>
      <c r="CZ130" s="94"/>
    </row>
    <row r="131" spans="1:104" ht="13.5" thickBot="1">
      <c r="A131" s="56"/>
      <c r="B131" s="585"/>
      <c r="C131" s="585"/>
      <c r="D131" s="585"/>
      <c r="E131" s="585"/>
      <c r="F131" s="585"/>
      <c r="G131" s="585"/>
      <c r="H131" s="585"/>
      <c r="I131" s="585"/>
      <c r="J131" s="585"/>
      <c r="K131" s="585"/>
      <c r="L131" s="585"/>
      <c r="M131" s="585"/>
      <c r="N131" s="585"/>
      <c r="O131" s="585"/>
      <c r="P131" s="585"/>
      <c r="Q131" s="585"/>
      <c r="R131" s="585"/>
      <c r="S131" s="585"/>
      <c r="T131" s="585"/>
      <c r="U131" s="585"/>
      <c r="V131" s="585"/>
      <c r="W131" s="585"/>
      <c r="X131" s="585"/>
      <c r="Y131" s="585"/>
      <c r="Z131" s="585"/>
      <c r="AA131" s="585"/>
      <c r="AB131" s="585"/>
      <c r="AC131" s="585"/>
      <c r="AD131" s="585"/>
      <c r="AE131" s="585"/>
      <c r="AF131" s="585"/>
      <c r="AG131" s="585"/>
      <c r="AH131" s="585"/>
      <c r="AI131" s="585"/>
      <c r="AJ131" s="585"/>
      <c r="AK131" s="585"/>
      <c r="AL131" s="585"/>
      <c r="AM131" s="585"/>
      <c r="AN131" s="585"/>
      <c r="AO131" s="585"/>
      <c r="AP131" s="585"/>
      <c r="AQ131" s="585"/>
      <c r="AR131" s="585"/>
      <c r="AS131" s="585"/>
      <c r="AT131" s="585"/>
      <c r="AU131" s="585"/>
      <c r="AV131" s="585"/>
      <c r="AW131" s="585"/>
      <c r="AX131" s="585"/>
      <c r="AY131" s="585"/>
      <c r="AZ131" s="585"/>
      <c r="BA131" s="585"/>
      <c r="BB131" s="585"/>
      <c r="BC131" s="585"/>
      <c r="BD131" s="585"/>
      <c r="BE131" s="585"/>
      <c r="BF131" s="585"/>
      <c r="BG131" s="585"/>
      <c r="BH131" s="585"/>
      <c r="BI131" s="586"/>
      <c r="BJ131" s="587"/>
      <c r="BV131" s="304" t="s">
        <v>2746</v>
      </c>
      <c r="BW131" s="304" t="s">
        <v>2747</v>
      </c>
      <c r="BY131" s="94"/>
      <c r="BZ131" s="94"/>
      <c r="CA131" s="94"/>
      <c r="CB131" s="94"/>
      <c r="CC131" s="94"/>
      <c r="CD131" s="94"/>
      <c r="CE131" s="94"/>
      <c r="CF131" s="94"/>
      <c r="CG131" s="94"/>
      <c r="CH131" s="94"/>
      <c r="CI131" s="94"/>
      <c r="CJ131" s="94"/>
      <c r="CK131" s="94"/>
      <c r="CL131" s="94"/>
      <c r="CM131" s="94"/>
      <c r="CN131" s="94"/>
      <c r="CO131" s="94"/>
      <c r="CP131" s="94"/>
      <c r="CQ131" s="94"/>
      <c r="CR131" s="94"/>
      <c r="CS131" s="94"/>
      <c r="CT131" s="94"/>
      <c r="CU131" s="94"/>
      <c r="CV131" s="94"/>
      <c r="CW131" s="94"/>
      <c r="CX131" s="94"/>
      <c r="CY131" s="94"/>
      <c r="CZ131" s="94"/>
    </row>
    <row r="132" spans="1:104" ht="14.25">
      <c r="A132" s="25"/>
      <c r="B132" s="610" t="s">
        <v>2748</v>
      </c>
      <c r="C132" s="25"/>
      <c r="D132" s="25"/>
      <c r="E132" s="25"/>
      <c r="F132" s="25"/>
      <c r="G132" s="25"/>
      <c r="H132" s="25"/>
      <c r="I132" s="25"/>
      <c r="J132" s="25"/>
      <c r="K132" s="25"/>
      <c r="L132" s="25"/>
      <c r="M132" s="25"/>
      <c r="N132" s="25"/>
      <c r="O132" s="25"/>
      <c r="P132" s="25"/>
      <c r="Q132" s="60"/>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61" t="s">
        <v>2749</v>
      </c>
      <c r="BG132" s="25"/>
      <c r="BH132" s="924" t="str">
        <f>IF(BM126&gt;=1,SUM(BH126:BH130),"")</f>
        <v/>
      </c>
      <c r="BI132" s="924"/>
      <c r="BJ132" s="25"/>
      <c r="BV132" s="302">
        <f>SUM(BV126:BV130)</f>
        <v>0</v>
      </c>
      <c r="BW132" s="302">
        <f>SUM(BW126:BW130)</f>
        <v>0</v>
      </c>
      <c r="BY132" s="94"/>
      <c r="BZ132" s="94"/>
      <c r="CA132" s="94"/>
      <c r="CB132" s="94"/>
      <c r="CC132" s="94"/>
      <c r="CD132" s="94"/>
      <c r="CE132" s="94"/>
      <c r="CF132" s="94"/>
      <c r="CG132" s="94"/>
      <c r="CH132" s="94"/>
      <c r="CI132" s="94"/>
      <c r="CJ132" s="94"/>
      <c r="CK132" s="94"/>
      <c r="CL132" s="94"/>
      <c r="CM132" s="94"/>
      <c r="CN132" s="94"/>
      <c r="CO132" s="94"/>
      <c r="CP132" s="94"/>
      <c r="CQ132" s="94"/>
      <c r="CR132" s="94"/>
      <c r="CS132" s="94"/>
      <c r="CT132" s="94"/>
      <c r="CU132" s="94"/>
      <c r="CV132" s="94"/>
      <c r="CW132" s="94"/>
      <c r="CX132" s="94"/>
      <c r="CY132" s="94"/>
      <c r="CZ132" s="94"/>
    </row>
    <row r="133" spans="1:104" ht="14.25">
      <c r="A133" s="33" t="str">
        <f>Version</f>
        <v>MF (11/23)</v>
      </c>
      <c r="B133" s="609"/>
      <c r="C133" s="25"/>
      <c r="D133" s="25"/>
      <c r="E133" s="25"/>
      <c r="F133" s="25"/>
      <c r="G133" s="610"/>
      <c r="H133" s="25"/>
      <c r="I133" s="25"/>
      <c r="J133" s="25"/>
      <c r="K133" s="25"/>
      <c r="L133" s="25"/>
      <c r="M133" s="25"/>
      <c r="N133" s="25"/>
      <c r="O133" s="25"/>
      <c r="P133" s="25"/>
      <c r="Q133" s="606"/>
      <c r="R133" s="606"/>
      <c r="S133" s="606"/>
      <c r="T133" s="606"/>
      <c r="U133" s="606"/>
      <c r="V133" s="606"/>
      <c r="W133" s="606"/>
      <c r="X133" s="606"/>
      <c r="Y133" s="606"/>
      <c r="Z133" s="606"/>
      <c r="AA133" s="606"/>
      <c r="AB133" s="606"/>
      <c r="AC133" s="606"/>
      <c r="AD133" s="606"/>
      <c r="AE133" s="606"/>
      <c r="AF133" s="606"/>
      <c r="AG133" s="606"/>
      <c r="AH133" s="606"/>
      <c r="AI133" s="606"/>
      <c r="AJ133" s="606"/>
      <c r="AK133" s="606"/>
      <c r="AL133" s="606"/>
      <c r="AM133" s="606"/>
      <c r="AN133" s="606"/>
      <c r="AO133" s="606"/>
      <c r="AP133" s="606"/>
      <c r="AQ133" s="606"/>
      <c r="AR133" s="606"/>
      <c r="AS133" s="606"/>
      <c r="AT133" s="606"/>
      <c r="AU133" s="606"/>
      <c r="AV133" s="606"/>
      <c r="AW133" s="606"/>
      <c r="AX133" s="606"/>
      <c r="AY133" s="606"/>
      <c r="AZ133" s="606"/>
      <c r="BA133" s="606"/>
      <c r="BB133" s="606"/>
      <c r="BC133" s="606"/>
      <c r="BD133" s="606"/>
      <c r="BE133" s="606"/>
      <c r="BF133" s="606"/>
      <c r="BG133" s="606"/>
      <c r="BH133" s="606"/>
      <c r="BI133" s="606"/>
      <c r="BJ133" s="606"/>
      <c r="BY133" s="94"/>
      <c r="BZ133" s="94"/>
      <c r="CA133" s="94"/>
      <c r="CB133" s="94"/>
      <c r="CC133" s="94"/>
      <c r="CD133" s="94"/>
      <c r="CE133" s="94"/>
      <c r="CF133" s="94"/>
      <c r="CG133" s="94"/>
      <c r="CH133" s="94"/>
      <c r="CI133" s="94"/>
      <c r="CJ133" s="94"/>
      <c r="CK133" s="94"/>
      <c r="CL133" s="94"/>
      <c r="CM133" s="94"/>
      <c r="CN133" s="94"/>
      <c r="CO133" s="94"/>
      <c r="CP133" s="94"/>
      <c r="CQ133" s="94"/>
      <c r="CR133" s="94"/>
      <c r="CS133" s="94"/>
      <c r="CT133" s="94"/>
      <c r="CU133" s="94"/>
      <c r="CV133" s="94"/>
      <c r="CW133" s="94"/>
      <c r="CX133" s="94"/>
      <c r="CY133" s="94"/>
      <c r="CZ133" s="94"/>
    </row>
    <row r="134" spans="1:104" ht="12.7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c r="BC134" s="94"/>
      <c r="BD134" s="94"/>
      <c r="BE134" s="94"/>
      <c r="BF134" s="94"/>
      <c r="BG134" s="94"/>
      <c r="BH134" s="94"/>
      <c r="BI134" s="94"/>
      <c r="BJ134" s="94"/>
      <c r="BK134" s="94"/>
      <c r="BL134" s="94"/>
      <c r="BM134" s="94"/>
      <c r="BN134" s="94"/>
      <c r="BO134" s="94"/>
      <c r="BP134" s="94"/>
      <c r="BQ134" s="94"/>
      <c r="BR134" s="94"/>
      <c r="BS134" s="94"/>
      <c r="BT134" s="94"/>
      <c r="BU134" s="94"/>
      <c r="BV134" s="94"/>
      <c r="BW134" s="94"/>
      <c r="BX134" s="94"/>
      <c r="BY134" s="94"/>
      <c r="BZ134" s="94"/>
      <c r="CA134" s="94"/>
      <c r="CB134" s="94"/>
      <c r="CC134" s="94"/>
      <c r="CD134" s="94"/>
      <c r="CE134" s="94"/>
      <c r="CF134" s="94"/>
      <c r="CG134" s="94"/>
      <c r="CH134" s="94"/>
      <c r="CI134" s="94"/>
      <c r="CJ134" s="94"/>
      <c r="CK134" s="94"/>
      <c r="CL134" s="94"/>
      <c r="CM134" s="94"/>
      <c r="CN134" s="94"/>
      <c r="CO134" s="94"/>
      <c r="CP134" s="94"/>
      <c r="CQ134" s="94"/>
      <c r="CR134" s="94"/>
      <c r="CS134" s="94"/>
      <c r="CT134" s="94"/>
      <c r="CU134" s="94"/>
      <c r="CV134" s="94"/>
      <c r="CW134" s="94"/>
      <c r="CX134" s="94"/>
      <c r="CY134" s="94"/>
      <c r="CZ134" s="94"/>
    </row>
    <row r="135" spans="1:104" ht="12.7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94"/>
      <c r="CD135" s="94"/>
      <c r="CE135" s="94"/>
      <c r="CF135" s="94"/>
      <c r="CG135" s="94"/>
      <c r="CH135" s="94"/>
      <c r="CI135" s="94"/>
      <c r="CJ135" s="94"/>
      <c r="CK135" s="94"/>
      <c r="CL135" s="94"/>
      <c r="CM135" s="94"/>
      <c r="CN135" s="94"/>
      <c r="CO135" s="94"/>
      <c r="CP135" s="94"/>
      <c r="CQ135" s="94"/>
      <c r="CR135" s="94"/>
      <c r="CS135" s="94"/>
      <c r="CT135" s="94"/>
      <c r="CU135" s="94"/>
      <c r="CV135" s="94"/>
      <c r="CW135" s="94"/>
      <c r="CX135" s="94"/>
      <c r="CY135" s="94"/>
      <c r="CZ135" s="94"/>
    </row>
    <row r="136" spans="1:104" ht="12.7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94"/>
      <c r="CD136" s="94"/>
      <c r="CE136" s="94"/>
      <c r="CF136" s="94"/>
      <c r="CG136" s="94"/>
      <c r="CH136" s="94"/>
      <c r="CI136" s="94"/>
      <c r="CJ136" s="94"/>
      <c r="CK136" s="94"/>
      <c r="CL136" s="94"/>
      <c r="CM136" s="94"/>
      <c r="CN136" s="94"/>
      <c r="CO136" s="94"/>
      <c r="CP136" s="94"/>
      <c r="CQ136" s="94"/>
      <c r="CR136" s="94"/>
      <c r="CS136" s="94"/>
      <c r="CT136" s="94"/>
      <c r="CU136" s="94"/>
      <c r="CV136" s="94"/>
      <c r="CW136" s="94"/>
      <c r="CX136" s="94"/>
      <c r="CY136" s="94"/>
      <c r="CZ136" s="94"/>
    </row>
    <row r="137" spans="1:104" ht="12.7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94"/>
      <c r="CD137" s="94"/>
      <c r="CE137" s="94"/>
      <c r="CF137" s="94"/>
      <c r="CG137" s="94"/>
      <c r="CH137" s="94"/>
      <c r="CI137" s="94"/>
      <c r="CJ137" s="94"/>
      <c r="CK137" s="94"/>
      <c r="CL137" s="94"/>
      <c r="CM137" s="94"/>
      <c r="CN137" s="94"/>
      <c r="CO137" s="94"/>
      <c r="CP137" s="94"/>
      <c r="CQ137" s="94"/>
      <c r="CR137" s="94"/>
      <c r="CS137" s="94"/>
      <c r="CT137" s="94"/>
      <c r="CU137" s="94"/>
      <c r="CV137" s="94"/>
      <c r="CW137" s="94"/>
      <c r="CX137" s="94"/>
      <c r="CY137" s="94"/>
      <c r="CZ137" s="94"/>
    </row>
    <row r="138" spans="1:104" ht="12.7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94"/>
      <c r="CD138" s="94"/>
      <c r="CE138" s="94"/>
      <c r="CF138" s="94"/>
      <c r="CG138" s="94"/>
      <c r="CH138" s="94"/>
      <c r="CI138" s="94"/>
      <c r="CJ138" s="94"/>
      <c r="CK138" s="94"/>
      <c r="CL138" s="94"/>
      <c r="CM138" s="94"/>
      <c r="CN138" s="94"/>
      <c r="CO138" s="94"/>
      <c r="CP138" s="94"/>
      <c r="CQ138" s="94"/>
      <c r="CR138" s="94"/>
      <c r="CS138" s="94"/>
      <c r="CT138" s="94"/>
      <c r="CU138" s="94"/>
      <c r="CV138" s="94"/>
      <c r="CW138" s="94"/>
      <c r="CX138" s="94"/>
      <c r="CY138" s="94"/>
      <c r="CZ138" s="94"/>
    </row>
    <row r="139" spans="1:104" ht="12.7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94"/>
      <c r="CD139" s="94"/>
      <c r="CE139" s="94"/>
      <c r="CF139" s="94"/>
      <c r="CG139" s="94"/>
      <c r="CH139" s="94"/>
      <c r="CI139" s="94"/>
      <c r="CJ139" s="94"/>
      <c r="CK139" s="94"/>
      <c r="CL139" s="94"/>
      <c r="CM139" s="94"/>
      <c r="CN139" s="94"/>
      <c r="CO139" s="94"/>
      <c r="CP139" s="94"/>
      <c r="CQ139" s="94"/>
      <c r="CR139" s="94"/>
      <c r="CS139" s="94"/>
      <c r="CT139" s="94"/>
      <c r="CU139" s="94"/>
      <c r="CV139" s="94"/>
      <c r="CW139" s="94"/>
      <c r="CX139" s="94"/>
      <c r="CY139" s="94"/>
      <c r="CZ139" s="94"/>
    </row>
    <row r="140" spans="1:104" ht="12.75">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c r="BC140" s="94"/>
      <c r="BD140" s="94"/>
      <c r="BE140" s="94"/>
      <c r="BF140" s="94"/>
      <c r="BG140" s="94"/>
      <c r="BH140" s="94"/>
      <c r="BI140" s="94"/>
      <c r="BJ140" s="94"/>
      <c r="BK140" s="94"/>
      <c r="BL140" s="94"/>
      <c r="BM140" s="94"/>
      <c r="BN140" s="94"/>
      <c r="BO140" s="94"/>
      <c r="BP140" s="94"/>
      <c r="BQ140" s="94"/>
      <c r="BR140" s="94"/>
      <c r="BS140" s="94"/>
      <c r="BT140" s="94"/>
      <c r="BU140" s="94"/>
      <c r="BV140" s="94"/>
      <c r="BW140" s="94"/>
      <c r="BX140" s="94"/>
      <c r="BY140" s="94"/>
      <c r="BZ140" s="94"/>
      <c r="CA140" s="94"/>
      <c r="CB140" s="94"/>
      <c r="CC140" s="94"/>
      <c r="CD140" s="94"/>
      <c r="CE140" s="94"/>
      <c r="CF140" s="94"/>
      <c r="CG140" s="94"/>
      <c r="CH140" s="94"/>
      <c r="CI140" s="94"/>
      <c r="CJ140" s="94"/>
      <c r="CK140" s="94"/>
      <c r="CL140" s="94"/>
      <c r="CM140" s="94"/>
      <c r="CN140" s="94"/>
      <c r="CO140" s="94"/>
      <c r="CP140" s="94"/>
      <c r="CQ140" s="94"/>
      <c r="CR140" s="94"/>
      <c r="CS140" s="94"/>
      <c r="CT140" s="94"/>
      <c r="CU140" s="94"/>
      <c r="CV140" s="94"/>
      <c r="CW140" s="94"/>
      <c r="CX140" s="94"/>
      <c r="CY140" s="94"/>
      <c r="CZ140" s="94"/>
    </row>
    <row r="141" spans="1:104" ht="12.7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94"/>
      <c r="CD141" s="94"/>
      <c r="CE141" s="94"/>
      <c r="CF141" s="94"/>
      <c r="CG141" s="94"/>
      <c r="CH141" s="94"/>
      <c r="CI141" s="94"/>
      <c r="CJ141" s="94"/>
      <c r="CK141" s="94"/>
      <c r="CL141" s="94"/>
      <c r="CM141" s="94"/>
      <c r="CN141" s="94"/>
      <c r="CO141" s="94"/>
      <c r="CP141" s="94"/>
      <c r="CQ141" s="94"/>
      <c r="CR141" s="94"/>
      <c r="CS141" s="94"/>
      <c r="CT141" s="94"/>
      <c r="CU141" s="94"/>
      <c r="CV141" s="94"/>
      <c r="CW141" s="94"/>
      <c r="CX141" s="94"/>
      <c r="CY141" s="94"/>
      <c r="CZ141" s="94"/>
    </row>
    <row r="142" spans="1:104" ht="12.75">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94"/>
      <c r="CB142" s="94"/>
      <c r="CC142" s="94"/>
      <c r="CD142" s="94"/>
      <c r="CE142" s="94"/>
      <c r="CF142" s="94"/>
      <c r="CG142" s="94"/>
      <c r="CH142" s="94"/>
      <c r="CI142" s="94"/>
      <c r="CJ142" s="94"/>
      <c r="CK142" s="94"/>
      <c r="CL142" s="94"/>
      <c r="CM142" s="94"/>
      <c r="CN142" s="94"/>
      <c r="CO142" s="94"/>
      <c r="CP142" s="94"/>
      <c r="CQ142" s="94"/>
      <c r="CR142" s="94"/>
      <c r="CS142" s="94"/>
      <c r="CT142" s="94"/>
      <c r="CU142" s="94"/>
      <c r="CV142" s="94"/>
      <c r="CW142" s="94"/>
      <c r="CX142" s="94"/>
      <c r="CY142" s="94"/>
      <c r="CZ142" s="94"/>
    </row>
    <row r="143" spans="1:104" ht="12.75">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94"/>
      <c r="CD143" s="94"/>
      <c r="CE143" s="94"/>
      <c r="CF143" s="94"/>
      <c r="CG143" s="94"/>
      <c r="CH143" s="94"/>
      <c r="CI143" s="94"/>
      <c r="CJ143" s="94"/>
      <c r="CK143" s="94"/>
      <c r="CL143" s="94"/>
      <c r="CM143" s="94"/>
      <c r="CN143" s="94"/>
      <c r="CO143" s="94"/>
      <c r="CP143" s="94"/>
      <c r="CQ143" s="94"/>
      <c r="CR143" s="94"/>
      <c r="CS143" s="94"/>
      <c r="CT143" s="94"/>
      <c r="CU143" s="94"/>
      <c r="CV143" s="94"/>
      <c r="CW143" s="94"/>
      <c r="CX143" s="94"/>
      <c r="CY143" s="94"/>
      <c r="CZ143" s="94"/>
    </row>
    <row r="144" spans="1:104" ht="12.75">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94"/>
      <c r="CD144" s="94"/>
      <c r="CE144" s="94"/>
      <c r="CF144" s="94"/>
      <c r="CG144" s="94"/>
      <c r="CH144" s="94"/>
      <c r="CI144" s="94"/>
      <c r="CJ144" s="94"/>
      <c r="CK144" s="94"/>
      <c r="CL144" s="94"/>
      <c r="CM144" s="94"/>
      <c r="CN144" s="94"/>
      <c r="CO144" s="94"/>
      <c r="CP144" s="94"/>
      <c r="CQ144" s="94"/>
      <c r="CR144" s="94"/>
      <c r="CS144" s="94"/>
      <c r="CT144" s="94"/>
      <c r="CU144" s="94"/>
      <c r="CV144" s="94"/>
      <c r="CW144" s="94"/>
      <c r="CX144" s="94"/>
      <c r="CY144" s="94"/>
      <c r="CZ144" s="94"/>
    </row>
    <row r="145" spans="1:104" ht="12.75">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A145" s="94"/>
      <c r="CB145" s="94"/>
      <c r="CC145" s="94"/>
      <c r="CD145" s="94"/>
      <c r="CE145" s="94"/>
      <c r="CF145" s="94"/>
      <c r="CG145" s="94"/>
      <c r="CH145" s="94"/>
      <c r="CI145" s="94"/>
      <c r="CJ145" s="94"/>
      <c r="CK145" s="94"/>
      <c r="CL145" s="94"/>
      <c r="CM145" s="94"/>
      <c r="CN145" s="94"/>
      <c r="CO145" s="94"/>
      <c r="CP145" s="94"/>
      <c r="CQ145" s="94"/>
      <c r="CR145" s="94"/>
      <c r="CS145" s="94"/>
      <c r="CT145" s="94"/>
      <c r="CU145" s="94"/>
      <c r="CV145" s="94"/>
      <c r="CW145" s="94"/>
      <c r="CX145" s="94"/>
      <c r="CY145" s="94"/>
      <c r="CZ145" s="94"/>
    </row>
    <row r="146" spans="1:104" ht="12.75">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94"/>
      <c r="CD146" s="94"/>
      <c r="CE146" s="94"/>
      <c r="CF146" s="94"/>
      <c r="CG146" s="94"/>
      <c r="CH146" s="94"/>
      <c r="CI146" s="94"/>
      <c r="CJ146" s="94"/>
      <c r="CK146" s="94"/>
      <c r="CL146" s="94"/>
      <c r="CM146" s="94"/>
      <c r="CN146" s="94"/>
      <c r="CO146" s="94"/>
      <c r="CP146" s="94"/>
      <c r="CQ146" s="94"/>
      <c r="CR146" s="94"/>
      <c r="CS146" s="94"/>
      <c r="CT146" s="94"/>
      <c r="CU146" s="94"/>
      <c r="CV146" s="94"/>
      <c r="CW146" s="94"/>
      <c r="CX146" s="94"/>
      <c r="CY146" s="94"/>
      <c r="CZ146" s="94"/>
    </row>
    <row r="147" spans="1:104" ht="12.75">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94"/>
      <c r="CD147" s="94"/>
      <c r="CE147" s="94"/>
      <c r="CF147" s="94"/>
      <c r="CG147" s="94"/>
      <c r="CH147" s="94"/>
      <c r="CI147" s="94"/>
      <c r="CJ147" s="94"/>
      <c r="CK147" s="94"/>
      <c r="CL147" s="94"/>
      <c r="CM147" s="94"/>
      <c r="CN147" s="94"/>
      <c r="CO147" s="94"/>
      <c r="CP147" s="94"/>
      <c r="CQ147" s="94"/>
      <c r="CR147" s="94"/>
      <c r="CS147" s="94"/>
      <c r="CT147" s="94"/>
      <c r="CU147" s="94"/>
      <c r="CV147" s="94"/>
      <c r="CW147" s="94"/>
      <c r="CX147" s="94"/>
      <c r="CY147" s="94"/>
      <c r="CZ147" s="94"/>
    </row>
    <row r="148" spans="1:104" ht="12.75">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94"/>
      <c r="CD148" s="94"/>
      <c r="CE148" s="94"/>
      <c r="CF148" s="94"/>
      <c r="CG148" s="94"/>
      <c r="CH148" s="94"/>
      <c r="CI148" s="94"/>
      <c r="CJ148" s="94"/>
      <c r="CK148" s="94"/>
      <c r="CL148" s="94"/>
      <c r="CM148" s="94"/>
      <c r="CN148" s="94"/>
      <c r="CO148" s="94"/>
      <c r="CP148" s="94"/>
      <c r="CQ148" s="94"/>
      <c r="CR148" s="94"/>
      <c r="CS148" s="94"/>
      <c r="CT148" s="94"/>
      <c r="CU148" s="94"/>
      <c r="CV148" s="94"/>
      <c r="CW148" s="94"/>
      <c r="CX148" s="94"/>
      <c r="CY148" s="94"/>
      <c r="CZ148" s="94"/>
    </row>
    <row r="149" spans="1:104" ht="12.75">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94"/>
      <c r="CD149" s="94"/>
      <c r="CE149" s="94"/>
      <c r="CF149" s="94"/>
      <c r="CG149" s="94"/>
      <c r="CH149" s="94"/>
      <c r="CI149" s="94"/>
      <c r="CJ149" s="94"/>
      <c r="CK149" s="94"/>
      <c r="CL149" s="94"/>
      <c r="CM149" s="94"/>
      <c r="CN149" s="94"/>
      <c r="CO149" s="94"/>
      <c r="CP149" s="94"/>
      <c r="CQ149" s="94"/>
      <c r="CR149" s="94"/>
      <c r="CS149" s="94"/>
      <c r="CT149" s="94"/>
      <c r="CU149" s="94"/>
      <c r="CV149" s="94"/>
      <c r="CW149" s="94"/>
      <c r="CX149" s="94"/>
      <c r="CY149" s="94"/>
      <c r="CZ149" s="94"/>
    </row>
    <row r="150" spans="1:104" ht="12.75">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4"/>
      <c r="BB150" s="94"/>
      <c r="BC150" s="94"/>
      <c r="BD150" s="94"/>
      <c r="BE150" s="94"/>
      <c r="BF150" s="94"/>
      <c r="BG150" s="94"/>
      <c r="BH150" s="94"/>
      <c r="BI150" s="94"/>
      <c r="BJ150" s="94"/>
      <c r="BK150" s="94"/>
      <c r="BL150" s="94"/>
      <c r="BM150" s="94"/>
      <c r="BN150" s="94"/>
      <c r="BO150" s="94"/>
      <c r="BP150" s="94"/>
      <c r="BQ150" s="94"/>
      <c r="BR150" s="94"/>
      <c r="BS150" s="94"/>
      <c r="BT150" s="94"/>
      <c r="BU150" s="94"/>
      <c r="BV150" s="94"/>
      <c r="BW150" s="94"/>
      <c r="BX150" s="94"/>
      <c r="BY150" s="94"/>
      <c r="BZ150" s="94"/>
      <c r="CA150" s="94"/>
      <c r="CB150" s="94"/>
      <c r="CC150" s="94"/>
      <c r="CD150" s="94"/>
      <c r="CE150" s="94"/>
      <c r="CF150" s="94"/>
      <c r="CG150" s="94"/>
      <c r="CH150" s="94"/>
      <c r="CI150" s="94"/>
      <c r="CJ150" s="94"/>
      <c r="CK150" s="94"/>
      <c r="CL150" s="94"/>
      <c r="CM150" s="94"/>
      <c r="CN150" s="94"/>
      <c r="CO150" s="94"/>
      <c r="CP150" s="94"/>
      <c r="CQ150" s="94"/>
      <c r="CR150" s="94"/>
      <c r="CS150" s="94"/>
      <c r="CT150" s="94"/>
      <c r="CU150" s="94"/>
      <c r="CV150" s="94"/>
      <c r="CW150" s="94"/>
      <c r="CX150" s="94"/>
      <c r="CY150" s="94"/>
      <c r="CZ150" s="94"/>
    </row>
    <row r="151" spans="1:104" ht="12.75">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c r="BC151" s="94"/>
      <c r="BD151" s="94"/>
      <c r="BE151" s="94"/>
      <c r="BF151" s="94"/>
      <c r="BG151" s="94"/>
      <c r="BH151" s="94"/>
      <c r="BI151" s="94"/>
      <c r="BJ151" s="94"/>
      <c r="BK151" s="94"/>
      <c r="BL151" s="94"/>
      <c r="BM151" s="94"/>
      <c r="BN151" s="94"/>
      <c r="BO151" s="94"/>
      <c r="BP151" s="94"/>
      <c r="BQ151" s="94"/>
      <c r="BR151" s="94"/>
      <c r="BS151" s="94"/>
      <c r="BT151" s="94"/>
      <c r="BU151" s="94"/>
      <c r="BV151" s="94"/>
      <c r="BW151" s="94"/>
      <c r="BX151" s="94"/>
      <c r="BY151" s="94"/>
      <c r="BZ151" s="94"/>
      <c r="CA151" s="94"/>
      <c r="CB151" s="94"/>
      <c r="CC151" s="94"/>
      <c r="CD151" s="94"/>
      <c r="CE151" s="94"/>
      <c r="CF151" s="94"/>
      <c r="CG151" s="94"/>
      <c r="CH151" s="94"/>
      <c r="CI151" s="94"/>
      <c r="CJ151" s="94"/>
      <c r="CK151" s="94"/>
      <c r="CL151" s="94"/>
      <c r="CM151" s="94"/>
      <c r="CN151" s="94"/>
      <c r="CO151" s="94"/>
      <c r="CP151" s="94"/>
      <c r="CQ151" s="94"/>
      <c r="CR151" s="94"/>
      <c r="CS151" s="94"/>
      <c r="CT151" s="94"/>
      <c r="CU151" s="94"/>
      <c r="CV151" s="94"/>
      <c r="CW151" s="94"/>
      <c r="CX151" s="94"/>
      <c r="CY151" s="94"/>
      <c r="CZ151" s="94"/>
    </row>
    <row r="152" spans="1:104" ht="12.75">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row>
    <row r="153" spans="1:104" ht="12.75">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94"/>
      <c r="CD153" s="94"/>
      <c r="CE153" s="94"/>
      <c r="CF153" s="94"/>
      <c r="CG153" s="94"/>
      <c r="CH153" s="94"/>
      <c r="CI153" s="94"/>
      <c r="CJ153" s="94"/>
      <c r="CK153" s="94"/>
      <c r="CL153" s="94"/>
      <c r="CM153" s="94"/>
      <c r="CN153" s="94"/>
      <c r="CO153" s="94"/>
      <c r="CP153" s="94"/>
      <c r="CQ153" s="94"/>
      <c r="CR153" s="94"/>
      <c r="CS153" s="94"/>
      <c r="CT153" s="94"/>
      <c r="CU153" s="94"/>
      <c r="CV153" s="94"/>
      <c r="CW153" s="94"/>
      <c r="CX153" s="94"/>
      <c r="CY153" s="94"/>
      <c r="CZ153" s="94"/>
    </row>
    <row r="154" spans="1:104" ht="12.75">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c r="BB154" s="94"/>
      <c r="BC154" s="94"/>
      <c r="BD154" s="94"/>
      <c r="BE154" s="94"/>
      <c r="BF154" s="94"/>
      <c r="BG154" s="94"/>
      <c r="BH154" s="94"/>
      <c r="BI154" s="94"/>
      <c r="BJ154" s="94"/>
      <c r="BK154" s="94"/>
      <c r="BL154" s="94"/>
      <c r="BM154" s="94"/>
      <c r="BN154" s="94"/>
      <c r="BO154" s="94"/>
      <c r="BP154" s="94"/>
      <c r="BQ154" s="94"/>
      <c r="BR154" s="94"/>
      <c r="BS154" s="94"/>
      <c r="BT154" s="94"/>
      <c r="BU154" s="94"/>
      <c r="BV154" s="94"/>
      <c r="BW154" s="94"/>
      <c r="BX154" s="94"/>
      <c r="BY154" s="94"/>
      <c r="BZ154" s="94"/>
      <c r="CA154" s="94"/>
      <c r="CB154" s="94"/>
      <c r="CC154" s="94"/>
      <c r="CD154" s="94"/>
      <c r="CE154" s="94"/>
      <c r="CF154" s="94"/>
      <c r="CG154" s="94"/>
      <c r="CH154" s="94"/>
      <c r="CI154" s="94"/>
      <c r="CJ154" s="94"/>
      <c r="CK154" s="94"/>
      <c r="CL154" s="94"/>
      <c r="CM154" s="94"/>
      <c r="CN154" s="94"/>
      <c r="CO154" s="94"/>
      <c r="CP154" s="94"/>
      <c r="CQ154" s="94"/>
      <c r="CR154" s="94"/>
      <c r="CS154" s="94"/>
      <c r="CT154" s="94"/>
      <c r="CU154" s="94"/>
      <c r="CV154" s="94"/>
      <c r="CW154" s="94"/>
      <c r="CX154" s="94"/>
      <c r="CY154" s="94"/>
      <c r="CZ154" s="94"/>
    </row>
    <row r="155" spans="1:104" ht="12.75">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94"/>
      <c r="CD155" s="94"/>
      <c r="CE155" s="94"/>
      <c r="CF155" s="94"/>
      <c r="CG155" s="94"/>
      <c r="CH155" s="94"/>
      <c r="CI155" s="94"/>
      <c r="CJ155" s="94"/>
      <c r="CK155" s="94"/>
      <c r="CL155" s="94"/>
      <c r="CM155" s="94"/>
      <c r="CN155" s="94"/>
      <c r="CO155" s="94"/>
      <c r="CP155" s="94"/>
      <c r="CQ155" s="94"/>
      <c r="CR155" s="94"/>
      <c r="CS155" s="94"/>
      <c r="CT155" s="94"/>
      <c r="CU155" s="94"/>
      <c r="CV155" s="94"/>
      <c r="CW155" s="94"/>
      <c r="CX155" s="94"/>
      <c r="CY155" s="94"/>
      <c r="CZ155" s="94"/>
    </row>
    <row r="156" spans="1:104" ht="12.75">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94"/>
      <c r="CD156" s="94"/>
      <c r="CE156" s="94"/>
      <c r="CF156" s="94"/>
      <c r="CG156" s="94"/>
      <c r="CH156" s="94"/>
      <c r="CI156" s="94"/>
      <c r="CJ156" s="94"/>
      <c r="CK156" s="94"/>
      <c r="CL156" s="94"/>
      <c r="CM156" s="94"/>
      <c r="CN156" s="94"/>
      <c r="CO156" s="94"/>
      <c r="CP156" s="94"/>
      <c r="CQ156" s="94"/>
      <c r="CR156" s="94"/>
      <c r="CS156" s="94"/>
      <c r="CT156" s="94"/>
      <c r="CU156" s="94"/>
      <c r="CV156" s="94"/>
      <c r="CW156" s="94"/>
      <c r="CX156" s="94"/>
      <c r="CY156" s="94"/>
      <c r="CZ156" s="94"/>
    </row>
    <row r="157" spans="1:104" ht="12.75">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4"/>
      <c r="BB157" s="94"/>
      <c r="BC157" s="94"/>
      <c r="BD157" s="94"/>
      <c r="BE157" s="94"/>
      <c r="BF157" s="94"/>
      <c r="BG157" s="94"/>
      <c r="BH157" s="94"/>
      <c r="BI157" s="94"/>
      <c r="BJ157" s="94"/>
      <c r="BK157" s="94"/>
      <c r="BL157" s="94"/>
      <c r="BM157" s="94"/>
      <c r="BN157" s="94"/>
      <c r="BO157" s="94"/>
      <c r="BP157" s="94"/>
      <c r="BQ157" s="94"/>
      <c r="BR157" s="94"/>
      <c r="BS157" s="94"/>
      <c r="BT157" s="94"/>
      <c r="BU157" s="94"/>
      <c r="BV157" s="94"/>
      <c r="BW157" s="94"/>
      <c r="BX157" s="94"/>
      <c r="BY157" s="94"/>
      <c r="BZ157" s="94"/>
      <c r="CA157" s="94"/>
      <c r="CB157" s="94"/>
      <c r="CC157" s="94"/>
      <c r="CD157" s="94"/>
      <c r="CE157" s="94"/>
      <c r="CF157" s="94"/>
      <c r="CG157" s="94"/>
      <c r="CH157" s="94"/>
      <c r="CI157" s="94"/>
      <c r="CJ157" s="94"/>
      <c r="CK157" s="94"/>
      <c r="CL157" s="94"/>
      <c r="CM157" s="94"/>
      <c r="CN157" s="94"/>
      <c r="CO157" s="94"/>
      <c r="CP157" s="94"/>
      <c r="CQ157" s="94"/>
      <c r="CR157" s="94"/>
      <c r="CS157" s="94"/>
      <c r="CT157" s="94"/>
      <c r="CU157" s="94"/>
      <c r="CV157" s="94"/>
      <c r="CW157" s="94"/>
      <c r="CX157" s="94"/>
      <c r="CY157" s="94"/>
      <c r="CZ157" s="94"/>
    </row>
    <row r="158" spans="1:104" ht="12.75">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row>
    <row r="159" spans="1:104" ht="12.75">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row>
    <row r="160" spans="1:104" ht="12.75">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row>
    <row r="161" spans="1:104" ht="12.75">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row>
    <row r="162" spans="1:104" ht="12.75">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row>
    <row r="163" spans="1:104" ht="12.75">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row>
    <row r="164" spans="1:104" ht="12.75">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row>
    <row r="165" spans="1:104" ht="12.75">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94"/>
      <c r="CB165" s="94"/>
      <c r="CC165" s="94"/>
      <c r="CD165" s="94"/>
      <c r="CE165" s="94"/>
      <c r="CF165" s="94"/>
      <c r="CG165" s="94"/>
      <c r="CH165" s="94"/>
      <c r="CI165" s="94"/>
      <c r="CJ165" s="94"/>
      <c r="CK165" s="94"/>
      <c r="CL165" s="94"/>
      <c r="CM165" s="94"/>
      <c r="CN165" s="94"/>
      <c r="CO165" s="94"/>
      <c r="CP165" s="94"/>
      <c r="CQ165" s="94"/>
      <c r="CR165" s="94"/>
      <c r="CS165" s="94"/>
      <c r="CT165" s="94"/>
      <c r="CU165" s="94"/>
      <c r="CV165" s="94"/>
      <c r="CW165" s="94"/>
      <c r="CX165" s="94"/>
      <c r="CY165" s="94"/>
      <c r="CZ165" s="94"/>
    </row>
    <row r="166" spans="1:104" ht="12.75">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4"/>
      <c r="BB166" s="94"/>
      <c r="BC166" s="94"/>
      <c r="BD166" s="94"/>
      <c r="BE166" s="94"/>
      <c r="BF166" s="94"/>
      <c r="BG166" s="94"/>
      <c r="BH166" s="94"/>
      <c r="BI166" s="94"/>
      <c r="BJ166" s="94"/>
      <c r="BK166" s="94"/>
      <c r="BL166" s="94"/>
      <c r="BM166" s="94"/>
      <c r="BN166" s="94"/>
      <c r="BO166" s="94"/>
      <c r="BP166" s="94"/>
      <c r="BQ166" s="94"/>
      <c r="BR166" s="94"/>
      <c r="BS166" s="94"/>
      <c r="BT166" s="94"/>
      <c r="BU166" s="94"/>
      <c r="BV166" s="94"/>
      <c r="BW166" s="94"/>
      <c r="BX166" s="94"/>
      <c r="BY166" s="94"/>
      <c r="BZ166" s="94"/>
      <c r="CA166" s="94"/>
      <c r="CB166" s="94"/>
      <c r="CC166" s="94"/>
      <c r="CD166" s="94"/>
      <c r="CE166" s="94"/>
      <c r="CF166" s="94"/>
      <c r="CG166" s="94"/>
      <c r="CH166" s="94"/>
      <c r="CI166" s="94"/>
      <c r="CJ166" s="94"/>
      <c r="CK166" s="94"/>
      <c r="CL166" s="94"/>
      <c r="CM166" s="94"/>
      <c r="CN166" s="94"/>
      <c r="CO166" s="94"/>
      <c r="CP166" s="94"/>
      <c r="CQ166" s="94"/>
      <c r="CR166" s="94"/>
      <c r="CS166" s="94"/>
      <c r="CT166" s="94"/>
      <c r="CU166" s="94"/>
      <c r="CV166" s="94"/>
      <c r="CW166" s="94"/>
      <c r="CX166" s="94"/>
      <c r="CY166" s="94"/>
      <c r="CZ166" s="94"/>
    </row>
    <row r="167" spans="1:104" ht="12.75">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A167" s="94"/>
      <c r="CB167" s="94"/>
      <c r="CC167" s="94"/>
      <c r="CD167" s="94"/>
      <c r="CE167" s="94"/>
      <c r="CF167" s="94"/>
      <c r="CG167" s="94"/>
      <c r="CH167" s="94"/>
      <c r="CI167" s="94"/>
      <c r="CJ167" s="94"/>
      <c r="CK167" s="94"/>
      <c r="CL167" s="94"/>
      <c r="CM167" s="94"/>
      <c r="CN167" s="94"/>
      <c r="CO167" s="94"/>
      <c r="CP167" s="94"/>
      <c r="CQ167" s="94"/>
      <c r="CR167" s="94"/>
      <c r="CS167" s="94"/>
      <c r="CT167" s="94"/>
      <c r="CU167" s="94"/>
      <c r="CV167" s="94"/>
      <c r="CW167" s="94"/>
      <c r="CX167" s="94"/>
      <c r="CY167" s="94"/>
      <c r="CZ167" s="94"/>
    </row>
    <row r="168" spans="1:104" ht="12.75">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c r="CA168" s="94"/>
      <c r="CB168" s="94"/>
      <c r="CC168" s="94"/>
      <c r="CD168" s="94"/>
      <c r="CE168" s="94"/>
      <c r="CF168" s="94"/>
      <c r="CG168" s="94"/>
      <c r="CH168" s="94"/>
      <c r="CI168" s="94"/>
      <c r="CJ168" s="94"/>
      <c r="CK168" s="94"/>
      <c r="CL168" s="94"/>
      <c r="CM168" s="94"/>
      <c r="CN168" s="94"/>
      <c r="CO168" s="94"/>
      <c r="CP168" s="94"/>
      <c r="CQ168" s="94"/>
      <c r="CR168" s="94"/>
      <c r="CS168" s="94"/>
      <c r="CT168" s="94"/>
      <c r="CU168" s="94"/>
      <c r="CV168" s="94"/>
      <c r="CW168" s="94"/>
      <c r="CX168" s="94"/>
      <c r="CY168" s="94"/>
      <c r="CZ168" s="94"/>
    </row>
    <row r="169" spans="1:104" ht="12.75">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row>
    <row r="170" spans="1:104" ht="12.75">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row>
    <row r="171" spans="1:104" ht="12.75">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row>
    <row r="172" spans="1:104" ht="12.75">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row>
    <row r="173" spans="1:104" ht="12.75">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row>
    <row r="174" spans="1:104" ht="12.75">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row>
    <row r="175" spans="1:104" ht="12.75">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row>
    <row r="176" spans="1:104" ht="12.75">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94"/>
      <c r="CD176" s="94"/>
      <c r="CE176" s="94"/>
      <c r="CF176" s="94"/>
      <c r="CG176" s="94"/>
      <c r="CH176" s="94"/>
      <c r="CI176" s="94"/>
      <c r="CJ176" s="94"/>
      <c r="CK176" s="94"/>
      <c r="CL176" s="94"/>
      <c r="CM176" s="94"/>
      <c r="CN176" s="94"/>
      <c r="CO176" s="94"/>
      <c r="CP176" s="94"/>
      <c r="CQ176" s="94"/>
      <c r="CR176" s="94"/>
      <c r="CS176" s="94"/>
      <c r="CT176" s="94"/>
      <c r="CU176" s="94"/>
      <c r="CV176" s="94"/>
      <c r="CW176" s="94"/>
      <c r="CX176" s="94"/>
      <c r="CY176" s="94"/>
      <c r="CZ176" s="94"/>
    </row>
    <row r="177" spans="1:104" ht="12.75">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94"/>
      <c r="CD177" s="94"/>
      <c r="CE177" s="94"/>
      <c r="CF177" s="94"/>
      <c r="CG177" s="94"/>
      <c r="CH177" s="94"/>
      <c r="CI177" s="94"/>
      <c r="CJ177" s="94"/>
      <c r="CK177" s="94"/>
      <c r="CL177" s="94"/>
      <c r="CM177" s="94"/>
      <c r="CN177" s="94"/>
      <c r="CO177" s="94"/>
      <c r="CP177" s="94"/>
      <c r="CQ177" s="94"/>
      <c r="CR177" s="94"/>
      <c r="CS177" s="94"/>
      <c r="CT177" s="94"/>
      <c r="CU177" s="94"/>
      <c r="CV177" s="94"/>
      <c r="CW177" s="94"/>
      <c r="CX177" s="94"/>
      <c r="CY177" s="94"/>
      <c r="CZ177" s="94"/>
    </row>
    <row r="178" spans="1:104" ht="12.75">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row>
    <row r="179" spans="1:104" ht="12.75">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94"/>
      <c r="CD179" s="94"/>
      <c r="CE179" s="94"/>
      <c r="CF179" s="94"/>
      <c r="CG179" s="94"/>
      <c r="CH179" s="94"/>
      <c r="CI179" s="94"/>
      <c r="CJ179" s="94"/>
      <c r="CK179" s="94"/>
      <c r="CL179" s="94"/>
      <c r="CM179" s="94"/>
      <c r="CN179" s="94"/>
      <c r="CO179" s="94"/>
      <c r="CP179" s="94"/>
      <c r="CQ179" s="94"/>
      <c r="CR179" s="94"/>
      <c r="CS179" s="94"/>
      <c r="CT179" s="94"/>
      <c r="CU179" s="94"/>
      <c r="CV179" s="94"/>
      <c r="CW179" s="94"/>
      <c r="CX179" s="94"/>
      <c r="CY179" s="94"/>
      <c r="CZ179" s="94"/>
    </row>
    <row r="180" spans="1:104" ht="12.75">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94"/>
      <c r="CD180" s="94"/>
      <c r="CE180" s="94"/>
      <c r="CF180" s="94"/>
      <c r="CG180" s="94"/>
      <c r="CH180" s="94"/>
      <c r="CI180" s="94"/>
      <c r="CJ180" s="94"/>
      <c r="CK180" s="94"/>
      <c r="CL180" s="94"/>
      <c r="CM180" s="94"/>
      <c r="CN180" s="94"/>
      <c r="CO180" s="94"/>
      <c r="CP180" s="94"/>
      <c r="CQ180" s="94"/>
      <c r="CR180" s="94"/>
      <c r="CS180" s="94"/>
      <c r="CT180" s="94"/>
      <c r="CU180" s="94"/>
      <c r="CV180" s="94"/>
      <c r="CW180" s="94"/>
      <c r="CX180" s="94"/>
      <c r="CY180" s="94"/>
      <c r="CZ180" s="94"/>
    </row>
    <row r="181" spans="1:104" ht="12.75">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94"/>
      <c r="CD181" s="94"/>
      <c r="CE181" s="94"/>
      <c r="CF181" s="94"/>
      <c r="CG181" s="94"/>
      <c r="CH181" s="94"/>
      <c r="CI181" s="94"/>
      <c r="CJ181" s="94"/>
      <c r="CK181" s="94"/>
      <c r="CL181" s="94"/>
      <c r="CM181" s="94"/>
      <c r="CN181" s="94"/>
      <c r="CO181" s="94"/>
      <c r="CP181" s="94"/>
      <c r="CQ181" s="94"/>
      <c r="CR181" s="94"/>
      <c r="CS181" s="94"/>
      <c r="CT181" s="94"/>
      <c r="CU181" s="94"/>
      <c r="CV181" s="94"/>
      <c r="CW181" s="94"/>
      <c r="CX181" s="94"/>
      <c r="CY181" s="94"/>
      <c r="CZ181" s="94"/>
    </row>
    <row r="182" spans="1:104" ht="12.75">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94"/>
      <c r="CD182" s="94"/>
      <c r="CE182" s="94"/>
      <c r="CF182" s="94"/>
      <c r="CG182" s="94"/>
      <c r="CH182" s="94"/>
      <c r="CI182" s="94"/>
      <c r="CJ182" s="94"/>
      <c r="CK182" s="94"/>
      <c r="CL182" s="94"/>
      <c r="CM182" s="94"/>
      <c r="CN182" s="94"/>
      <c r="CO182" s="94"/>
      <c r="CP182" s="94"/>
      <c r="CQ182" s="94"/>
      <c r="CR182" s="94"/>
      <c r="CS182" s="94"/>
      <c r="CT182" s="94"/>
      <c r="CU182" s="94"/>
      <c r="CV182" s="94"/>
      <c r="CW182" s="94"/>
      <c r="CX182" s="94"/>
      <c r="CY182" s="94"/>
      <c r="CZ182" s="94"/>
    </row>
    <row r="183" spans="1:104" ht="12.75">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94"/>
      <c r="BF183" s="94"/>
      <c r="BG183" s="94"/>
      <c r="BH183" s="94"/>
      <c r="BI183" s="94"/>
      <c r="BJ183" s="94"/>
      <c r="BK183" s="94"/>
      <c r="BL183" s="94"/>
      <c r="BM183" s="94"/>
      <c r="BN183" s="94"/>
      <c r="BO183" s="94"/>
      <c r="BP183" s="94"/>
      <c r="BQ183" s="94"/>
      <c r="BR183" s="94"/>
      <c r="BS183" s="94"/>
      <c r="BT183" s="94"/>
      <c r="BU183" s="94"/>
      <c r="BV183" s="94"/>
      <c r="BW183" s="94"/>
      <c r="BX183" s="94"/>
      <c r="BY183" s="94"/>
      <c r="BZ183" s="94"/>
      <c r="CA183" s="94"/>
      <c r="CB183" s="94"/>
      <c r="CC183" s="94"/>
      <c r="CD183" s="94"/>
      <c r="CE183" s="94"/>
      <c r="CF183" s="94"/>
      <c r="CG183" s="94"/>
      <c r="CH183" s="94"/>
      <c r="CI183" s="94"/>
      <c r="CJ183" s="94"/>
      <c r="CK183" s="94"/>
      <c r="CL183" s="94"/>
      <c r="CM183" s="94"/>
      <c r="CN183" s="94"/>
      <c r="CO183" s="94"/>
      <c r="CP183" s="94"/>
      <c r="CQ183" s="94"/>
      <c r="CR183" s="94"/>
      <c r="CS183" s="94"/>
      <c r="CT183" s="94"/>
      <c r="CU183" s="94"/>
      <c r="CV183" s="94"/>
      <c r="CW183" s="94"/>
      <c r="CX183" s="94"/>
      <c r="CY183" s="94"/>
      <c r="CZ183" s="94"/>
    </row>
    <row r="184" spans="1:104" ht="12.75">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A184" s="94"/>
      <c r="CB184" s="94"/>
      <c r="CC184" s="94"/>
      <c r="CD184" s="94"/>
      <c r="CE184" s="94"/>
      <c r="CF184" s="94"/>
      <c r="CG184" s="94"/>
      <c r="CH184" s="94"/>
      <c r="CI184" s="94"/>
      <c r="CJ184" s="94"/>
      <c r="CK184" s="94"/>
      <c r="CL184" s="94"/>
      <c r="CM184" s="94"/>
      <c r="CN184" s="94"/>
      <c r="CO184" s="94"/>
      <c r="CP184" s="94"/>
      <c r="CQ184" s="94"/>
      <c r="CR184" s="94"/>
      <c r="CS184" s="94"/>
      <c r="CT184" s="94"/>
      <c r="CU184" s="94"/>
      <c r="CV184" s="94"/>
      <c r="CW184" s="94"/>
      <c r="CX184" s="94"/>
      <c r="CY184" s="94"/>
      <c r="CZ184" s="94"/>
    </row>
    <row r="185" spans="1:104" ht="12.75">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94"/>
      <c r="BI185" s="94"/>
      <c r="BJ185" s="94"/>
      <c r="BK185" s="94"/>
      <c r="BL185" s="94"/>
      <c r="BM185" s="94"/>
      <c r="BN185" s="94"/>
      <c r="BO185" s="94"/>
      <c r="BP185" s="94"/>
      <c r="BQ185" s="94"/>
      <c r="BR185" s="94"/>
      <c r="BS185" s="94"/>
      <c r="BT185" s="94"/>
      <c r="BU185" s="94"/>
      <c r="BV185" s="94"/>
      <c r="BW185" s="94"/>
      <c r="BX185" s="94"/>
      <c r="BY185" s="94"/>
      <c r="BZ185" s="94"/>
      <c r="CA185" s="94"/>
      <c r="CB185" s="94"/>
      <c r="CC185" s="94"/>
      <c r="CD185" s="94"/>
      <c r="CE185" s="94"/>
      <c r="CF185" s="94"/>
      <c r="CG185" s="94"/>
      <c r="CH185" s="94"/>
      <c r="CI185" s="94"/>
      <c r="CJ185" s="94"/>
      <c r="CK185" s="94"/>
      <c r="CL185" s="94"/>
      <c r="CM185" s="94"/>
      <c r="CN185" s="94"/>
      <c r="CO185" s="94"/>
      <c r="CP185" s="94"/>
      <c r="CQ185" s="94"/>
      <c r="CR185" s="94"/>
      <c r="CS185" s="94"/>
      <c r="CT185" s="94"/>
      <c r="CU185" s="94"/>
      <c r="CV185" s="94"/>
      <c r="CW185" s="94"/>
      <c r="CX185" s="94"/>
      <c r="CY185" s="94"/>
      <c r="CZ185" s="94"/>
    </row>
    <row r="186" spans="1:104" ht="12.75">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c r="AZ186" s="94"/>
      <c r="BA186" s="94"/>
      <c r="BB186" s="94"/>
      <c r="BC186" s="94"/>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94"/>
      <c r="CD186" s="94"/>
      <c r="CE186" s="94"/>
      <c r="CF186" s="94"/>
      <c r="CG186" s="94"/>
      <c r="CH186" s="94"/>
      <c r="CI186" s="94"/>
      <c r="CJ186" s="94"/>
      <c r="CK186" s="94"/>
      <c r="CL186" s="94"/>
      <c r="CM186" s="94"/>
      <c r="CN186" s="94"/>
      <c r="CO186" s="94"/>
      <c r="CP186" s="94"/>
      <c r="CQ186" s="94"/>
      <c r="CR186" s="94"/>
      <c r="CS186" s="94"/>
      <c r="CT186" s="94"/>
      <c r="CU186" s="94"/>
      <c r="CV186" s="94"/>
      <c r="CW186" s="94"/>
      <c r="CX186" s="94"/>
      <c r="CY186" s="94"/>
      <c r="CZ186" s="94"/>
    </row>
    <row r="187" spans="1:104" ht="12.75">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94"/>
      <c r="CD187" s="94"/>
      <c r="CE187" s="94"/>
      <c r="CF187" s="94"/>
      <c r="CG187" s="94"/>
      <c r="CH187" s="94"/>
      <c r="CI187" s="94"/>
      <c r="CJ187" s="94"/>
      <c r="CK187" s="94"/>
      <c r="CL187" s="94"/>
      <c r="CM187" s="94"/>
      <c r="CN187" s="94"/>
      <c r="CO187" s="94"/>
      <c r="CP187" s="94"/>
      <c r="CQ187" s="94"/>
      <c r="CR187" s="94"/>
      <c r="CS187" s="94"/>
      <c r="CT187" s="94"/>
      <c r="CU187" s="94"/>
      <c r="CV187" s="94"/>
      <c r="CW187" s="94"/>
      <c r="CX187" s="94"/>
      <c r="CY187" s="94"/>
      <c r="CZ187" s="94"/>
    </row>
    <row r="188" spans="1:104" ht="12.75">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94"/>
      <c r="CD188" s="94"/>
      <c r="CE188" s="94"/>
      <c r="CF188" s="94"/>
      <c r="CG188" s="94"/>
      <c r="CH188" s="94"/>
      <c r="CI188" s="94"/>
      <c r="CJ188" s="94"/>
      <c r="CK188" s="94"/>
      <c r="CL188" s="94"/>
      <c r="CM188" s="94"/>
      <c r="CN188" s="94"/>
      <c r="CO188" s="94"/>
      <c r="CP188" s="94"/>
      <c r="CQ188" s="94"/>
      <c r="CR188" s="94"/>
      <c r="CS188" s="94"/>
      <c r="CT188" s="94"/>
      <c r="CU188" s="94"/>
      <c r="CV188" s="94"/>
      <c r="CW188" s="94"/>
      <c r="CX188" s="94"/>
      <c r="CY188" s="94"/>
      <c r="CZ188" s="94"/>
    </row>
    <row r="189" spans="1:104" ht="12.75">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94"/>
      <c r="BU189" s="94"/>
      <c r="BV189" s="94"/>
      <c r="BW189" s="94"/>
      <c r="BX189" s="94"/>
      <c r="BY189" s="94"/>
      <c r="BZ189" s="94"/>
      <c r="CA189" s="94"/>
      <c r="CB189" s="94"/>
      <c r="CC189" s="94"/>
      <c r="CD189" s="94"/>
      <c r="CE189" s="94"/>
      <c r="CF189" s="94"/>
      <c r="CG189" s="94"/>
      <c r="CH189" s="94"/>
      <c r="CI189" s="94"/>
      <c r="CJ189" s="94"/>
      <c r="CK189" s="94"/>
      <c r="CL189" s="94"/>
      <c r="CM189" s="94"/>
      <c r="CN189" s="94"/>
      <c r="CO189" s="94"/>
      <c r="CP189" s="94"/>
      <c r="CQ189" s="94"/>
      <c r="CR189" s="94"/>
      <c r="CS189" s="94"/>
      <c r="CT189" s="94"/>
      <c r="CU189" s="94"/>
      <c r="CV189" s="94"/>
      <c r="CW189" s="94"/>
      <c r="CX189" s="94"/>
      <c r="CY189" s="94"/>
      <c r="CZ189" s="94"/>
    </row>
    <row r="190" spans="1:104" ht="12.75">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row>
    <row r="191" spans="1:104" ht="12.75">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94"/>
      <c r="CD191" s="94"/>
      <c r="CE191" s="94"/>
      <c r="CF191" s="94"/>
      <c r="CG191" s="94"/>
      <c r="CH191" s="94"/>
      <c r="CI191" s="94"/>
      <c r="CJ191" s="94"/>
      <c r="CK191" s="94"/>
      <c r="CL191" s="94"/>
      <c r="CM191" s="94"/>
      <c r="CN191" s="94"/>
      <c r="CO191" s="94"/>
      <c r="CP191" s="94"/>
      <c r="CQ191" s="94"/>
      <c r="CR191" s="94"/>
      <c r="CS191" s="94"/>
      <c r="CT191" s="94"/>
      <c r="CU191" s="94"/>
      <c r="CV191" s="94"/>
      <c r="CW191" s="94"/>
      <c r="CX191" s="94"/>
      <c r="CY191" s="94"/>
      <c r="CZ191" s="94"/>
    </row>
    <row r="192" spans="1:104" ht="12.75">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94"/>
      <c r="CD192" s="94"/>
      <c r="CE192" s="94"/>
      <c r="CF192" s="94"/>
      <c r="CG192" s="94"/>
      <c r="CH192" s="94"/>
      <c r="CI192" s="94"/>
      <c r="CJ192" s="94"/>
      <c r="CK192" s="94"/>
      <c r="CL192" s="94"/>
      <c r="CM192" s="94"/>
      <c r="CN192" s="94"/>
      <c r="CO192" s="94"/>
      <c r="CP192" s="94"/>
      <c r="CQ192" s="94"/>
      <c r="CR192" s="94"/>
      <c r="CS192" s="94"/>
      <c r="CT192" s="94"/>
      <c r="CU192" s="94"/>
      <c r="CV192" s="94"/>
      <c r="CW192" s="94"/>
      <c r="CX192" s="94"/>
      <c r="CY192" s="94"/>
      <c r="CZ192" s="94"/>
    </row>
    <row r="193" spans="1:104" ht="12.75">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94"/>
      <c r="CD193" s="94"/>
      <c r="CE193" s="94"/>
      <c r="CF193" s="94"/>
      <c r="CG193" s="94"/>
      <c r="CH193" s="94"/>
      <c r="CI193" s="94"/>
      <c r="CJ193" s="94"/>
      <c r="CK193" s="94"/>
      <c r="CL193" s="94"/>
      <c r="CM193" s="94"/>
      <c r="CN193" s="94"/>
      <c r="CO193" s="94"/>
      <c r="CP193" s="94"/>
      <c r="CQ193" s="94"/>
      <c r="CR193" s="94"/>
      <c r="CS193" s="94"/>
      <c r="CT193" s="94"/>
      <c r="CU193" s="94"/>
      <c r="CV193" s="94"/>
      <c r="CW193" s="94"/>
      <c r="CX193" s="94"/>
      <c r="CY193" s="94"/>
      <c r="CZ193" s="94"/>
    </row>
    <row r="194" spans="1:104" ht="12.75">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94"/>
      <c r="CD194" s="94"/>
      <c r="CE194" s="94"/>
      <c r="CF194" s="94"/>
      <c r="CG194" s="94"/>
      <c r="CH194" s="94"/>
      <c r="CI194" s="94"/>
      <c r="CJ194" s="94"/>
      <c r="CK194" s="94"/>
      <c r="CL194" s="94"/>
      <c r="CM194" s="94"/>
      <c r="CN194" s="94"/>
      <c r="CO194" s="94"/>
      <c r="CP194" s="94"/>
      <c r="CQ194" s="94"/>
      <c r="CR194" s="94"/>
      <c r="CS194" s="94"/>
      <c r="CT194" s="94"/>
      <c r="CU194" s="94"/>
      <c r="CV194" s="94"/>
      <c r="CW194" s="94"/>
      <c r="CX194" s="94"/>
      <c r="CY194" s="94"/>
      <c r="CZ194" s="94"/>
    </row>
    <row r="195" spans="1:104" ht="12.75">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94"/>
      <c r="CD195" s="94"/>
      <c r="CE195" s="94"/>
      <c r="CF195" s="94"/>
      <c r="CG195" s="94"/>
      <c r="CH195" s="94"/>
      <c r="CI195" s="94"/>
      <c r="CJ195" s="94"/>
      <c r="CK195" s="94"/>
      <c r="CL195" s="94"/>
      <c r="CM195" s="94"/>
      <c r="CN195" s="94"/>
      <c r="CO195" s="94"/>
      <c r="CP195" s="94"/>
      <c r="CQ195" s="94"/>
      <c r="CR195" s="94"/>
      <c r="CS195" s="94"/>
      <c r="CT195" s="94"/>
      <c r="CU195" s="94"/>
      <c r="CV195" s="94"/>
      <c r="CW195" s="94"/>
      <c r="CX195" s="94"/>
      <c r="CY195" s="94"/>
      <c r="CZ195" s="94"/>
    </row>
    <row r="196" spans="1:104" ht="12.75">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4"/>
      <c r="BB196" s="94"/>
      <c r="BC196" s="94"/>
      <c r="BD196" s="94"/>
      <c r="BE196" s="94"/>
      <c r="BF196" s="94"/>
      <c r="BG196" s="94"/>
      <c r="BH196" s="94"/>
      <c r="BI196" s="94"/>
      <c r="BJ196" s="94"/>
      <c r="BK196" s="94"/>
      <c r="BL196" s="94"/>
      <c r="BM196" s="94"/>
      <c r="BN196" s="94"/>
      <c r="BO196" s="94"/>
      <c r="BP196" s="94"/>
      <c r="BQ196" s="94"/>
      <c r="BR196" s="94"/>
      <c r="BS196" s="94"/>
      <c r="BT196" s="94"/>
      <c r="BU196" s="94"/>
      <c r="BV196" s="94"/>
      <c r="BW196" s="94"/>
      <c r="BX196" s="94"/>
      <c r="BY196" s="94"/>
      <c r="BZ196" s="94"/>
      <c r="CA196" s="94"/>
      <c r="CB196" s="94"/>
      <c r="CC196" s="94"/>
      <c r="CD196" s="94"/>
      <c r="CE196" s="94"/>
      <c r="CF196" s="94"/>
      <c r="CG196" s="94"/>
      <c r="CH196" s="94"/>
      <c r="CI196" s="94"/>
      <c r="CJ196" s="94"/>
      <c r="CK196" s="94"/>
      <c r="CL196" s="94"/>
      <c r="CM196" s="94"/>
      <c r="CN196" s="94"/>
      <c r="CO196" s="94"/>
      <c r="CP196" s="94"/>
      <c r="CQ196" s="94"/>
      <c r="CR196" s="94"/>
      <c r="CS196" s="94"/>
      <c r="CT196" s="94"/>
      <c r="CU196" s="94"/>
      <c r="CV196" s="94"/>
      <c r="CW196" s="94"/>
      <c r="CX196" s="94"/>
      <c r="CY196" s="94"/>
      <c r="CZ196" s="94"/>
    </row>
    <row r="197" spans="1:104" ht="12.75">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A197" s="94"/>
      <c r="CB197" s="94"/>
      <c r="CC197" s="94"/>
      <c r="CD197" s="94"/>
      <c r="CE197" s="94"/>
      <c r="CF197" s="94"/>
      <c r="CG197" s="94"/>
      <c r="CH197" s="94"/>
      <c r="CI197" s="94"/>
      <c r="CJ197" s="94"/>
      <c r="CK197" s="94"/>
      <c r="CL197" s="94"/>
      <c r="CM197" s="94"/>
      <c r="CN197" s="94"/>
      <c r="CO197" s="94"/>
      <c r="CP197" s="94"/>
      <c r="CQ197" s="94"/>
      <c r="CR197" s="94"/>
      <c r="CS197" s="94"/>
      <c r="CT197" s="94"/>
      <c r="CU197" s="94"/>
      <c r="CV197" s="94"/>
      <c r="CW197" s="94"/>
      <c r="CX197" s="94"/>
      <c r="CY197" s="94"/>
      <c r="CZ197" s="94"/>
    </row>
    <row r="198" spans="1:104" ht="12.75">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94"/>
      <c r="CD198" s="94"/>
      <c r="CE198" s="94"/>
      <c r="CF198" s="94"/>
      <c r="CG198" s="94"/>
      <c r="CH198" s="94"/>
      <c r="CI198" s="94"/>
      <c r="CJ198" s="94"/>
      <c r="CK198" s="94"/>
      <c r="CL198" s="94"/>
      <c r="CM198" s="94"/>
      <c r="CN198" s="94"/>
      <c r="CO198" s="94"/>
      <c r="CP198" s="94"/>
      <c r="CQ198" s="94"/>
      <c r="CR198" s="94"/>
      <c r="CS198" s="94"/>
      <c r="CT198" s="94"/>
      <c r="CU198" s="94"/>
      <c r="CV198" s="94"/>
      <c r="CW198" s="94"/>
      <c r="CX198" s="94"/>
      <c r="CY198" s="94"/>
      <c r="CZ198" s="94"/>
    </row>
    <row r="199" spans="1:104" ht="12.75">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94"/>
      <c r="CD199" s="94"/>
      <c r="CE199" s="94"/>
      <c r="CF199" s="94"/>
      <c r="CG199" s="94"/>
      <c r="CH199" s="94"/>
      <c r="CI199" s="94"/>
      <c r="CJ199" s="94"/>
      <c r="CK199" s="94"/>
      <c r="CL199" s="94"/>
      <c r="CM199" s="94"/>
      <c r="CN199" s="94"/>
      <c r="CO199" s="94"/>
      <c r="CP199" s="94"/>
      <c r="CQ199" s="94"/>
      <c r="CR199" s="94"/>
      <c r="CS199" s="94"/>
      <c r="CT199" s="94"/>
      <c r="CU199" s="94"/>
      <c r="CV199" s="94"/>
      <c r="CW199" s="94"/>
      <c r="CX199" s="94"/>
      <c r="CY199" s="94"/>
      <c r="CZ199" s="94"/>
    </row>
    <row r="200" spans="1:104" ht="12.75">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94"/>
      <c r="CD200" s="94"/>
      <c r="CE200" s="94"/>
      <c r="CF200" s="94"/>
      <c r="CG200" s="94"/>
      <c r="CH200" s="94"/>
      <c r="CI200" s="94"/>
      <c r="CJ200" s="94"/>
      <c r="CK200" s="94"/>
      <c r="CL200" s="94"/>
      <c r="CM200" s="94"/>
      <c r="CN200" s="94"/>
      <c r="CO200" s="94"/>
      <c r="CP200" s="94"/>
      <c r="CQ200" s="94"/>
      <c r="CR200" s="94"/>
      <c r="CS200" s="94"/>
      <c r="CT200" s="94"/>
      <c r="CU200" s="94"/>
      <c r="CV200" s="94"/>
      <c r="CW200" s="94"/>
      <c r="CX200" s="94"/>
      <c r="CY200" s="94"/>
      <c r="CZ200" s="94"/>
    </row>
    <row r="201" spans="1:104" ht="12.75">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94"/>
      <c r="CB201" s="94"/>
      <c r="CC201" s="94"/>
      <c r="CD201" s="94"/>
      <c r="CE201" s="94"/>
      <c r="CF201" s="94"/>
      <c r="CG201" s="94"/>
      <c r="CH201" s="94"/>
      <c r="CI201" s="94"/>
      <c r="CJ201" s="94"/>
      <c r="CK201" s="94"/>
      <c r="CL201" s="94"/>
      <c r="CM201" s="94"/>
      <c r="CN201" s="94"/>
      <c r="CO201" s="94"/>
      <c r="CP201" s="94"/>
      <c r="CQ201" s="94"/>
      <c r="CR201" s="94"/>
      <c r="CS201" s="94"/>
      <c r="CT201" s="94"/>
      <c r="CU201" s="94"/>
      <c r="CV201" s="94"/>
      <c r="CW201" s="94"/>
      <c r="CX201" s="94"/>
      <c r="CY201" s="94"/>
      <c r="CZ201" s="94"/>
    </row>
    <row r="202" spans="1:104" ht="12.75">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94"/>
      <c r="CD202" s="94"/>
      <c r="CE202" s="94"/>
      <c r="CF202" s="94"/>
      <c r="CG202" s="94"/>
      <c r="CH202" s="94"/>
      <c r="CI202" s="94"/>
      <c r="CJ202" s="94"/>
      <c r="CK202" s="94"/>
      <c r="CL202" s="94"/>
      <c r="CM202" s="94"/>
      <c r="CN202" s="94"/>
      <c r="CO202" s="94"/>
      <c r="CP202" s="94"/>
      <c r="CQ202" s="94"/>
      <c r="CR202" s="94"/>
      <c r="CS202" s="94"/>
      <c r="CT202" s="94"/>
      <c r="CU202" s="94"/>
      <c r="CV202" s="94"/>
      <c r="CW202" s="94"/>
      <c r="CX202" s="94"/>
      <c r="CY202" s="94"/>
      <c r="CZ202" s="94"/>
    </row>
    <row r="203" spans="1:104" ht="12.75">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94"/>
      <c r="CD203" s="94"/>
      <c r="CE203" s="94"/>
      <c r="CF203" s="94"/>
      <c r="CG203" s="94"/>
      <c r="CH203" s="94"/>
      <c r="CI203" s="94"/>
      <c r="CJ203" s="94"/>
      <c r="CK203" s="94"/>
      <c r="CL203" s="94"/>
      <c r="CM203" s="94"/>
      <c r="CN203" s="94"/>
      <c r="CO203" s="94"/>
      <c r="CP203" s="94"/>
      <c r="CQ203" s="94"/>
      <c r="CR203" s="94"/>
      <c r="CS203" s="94"/>
      <c r="CT203" s="94"/>
      <c r="CU203" s="94"/>
      <c r="CV203" s="94"/>
      <c r="CW203" s="94"/>
      <c r="CX203" s="94"/>
      <c r="CY203" s="94"/>
      <c r="CZ203" s="94"/>
    </row>
    <row r="204" spans="1:104" ht="12.75">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94"/>
      <c r="CD204" s="94"/>
      <c r="CE204" s="94"/>
      <c r="CF204" s="94"/>
      <c r="CG204" s="94"/>
      <c r="CH204" s="94"/>
      <c r="CI204" s="94"/>
      <c r="CJ204" s="94"/>
      <c r="CK204" s="94"/>
      <c r="CL204" s="94"/>
      <c r="CM204" s="94"/>
      <c r="CN204" s="94"/>
      <c r="CO204" s="94"/>
      <c r="CP204" s="94"/>
      <c r="CQ204" s="94"/>
      <c r="CR204" s="94"/>
      <c r="CS204" s="94"/>
      <c r="CT204" s="94"/>
      <c r="CU204" s="94"/>
      <c r="CV204" s="94"/>
      <c r="CW204" s="94"/>
      <c r="CX204" s="94"/>
      <c r="CY204" s="94"/>
      <c r="CZ204" s="94"/>
    </row>
    <row r="205" spans="1:104" ht="12.75">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94"/>
      <c r="CD205" s="94"/>
      <c r="CE205" s="94"/>
      <c r="CF205" s="94"/>
      <c r="CG205" s="94"/>
      <c r="CH205" s="94"/>
      <c r="CI205" s="94"/>
      <c r="CJ205" s="94"/>
      <c r="CK205" s="94"/>
      <c r="CL205" s="94"/>
      <c r="CM205" s="94"/>
      <c r="CN205" s="94"/>
      <c r="CO205" s="94"/>
      <c r="CP205" s="94"/>
      <c r="CQ205" s="94"/>
      <c r="CR205" s="94"/>
      <c r="CS205" s="94"/>
      <c r="CT205" s="94"/>
      <c r="CU205" s="94"/>
      <c r="CV205" s="94"/>
      <c r="CW205" s="94"/>
      <c r="CX205" s="94"/>
      <c r="CY205" s="94"/>
      <c r="CZ205" s="94"/>
    </row>
    <row r="206" spans="1:104" ht="12.75">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94"/>
      <c r="BU206" s="94"/>
      <c r="BV206" s="94"/>
      <c r="BW206" s="94"/>
      <c r="BX206" s="94"/>
      <c r="BY206" s="94"/>
      <c r="BZ206" s="94"/>
      <c r="CA206" s="94"/>
      <c r="CB206" s="94"/>
      <c r="CC206" s="94"/>
      <c r="CD206" s="94"/>
      <c r="CE206" s="94"/>
      <c r="CF206" s="94"/>
      <c r="CG206" s="94"/>
      <c r="CH206" s="94"/>
      <c r="CI206" s="94"/>
      <c r="CJ206" s="94"/>
      <c r="CK206" s="94"/>
      <c r="CL206" s="94"/>
      <c r="CM206" s="94"/>
      <c r="CN206" s="94"/>
      <c r="CO206" s="94"/>
      <c r="CP206" s="94"/>
      <c r="CQ206" s="94"/>
      <c r="CR206" s="94"/>
      <c r="CS206" s="94"/>
      <c r="CT206" s="94"/>
      <c r="CU206" s="94"/>
      <c r="CV206" s="94"/>
      <c r="CW206" s="94"/>
      <c r="CX206" s="94"/>
      <c r="CY206" s="94"/>
      <c r="CZ206" s="94"/>
    </row>
    <row r="207" spans="1:104" ht="12.75">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A207" s="94"/>
      <c r="CB207" s="94"/>
      <c r="CC207" s="94"/>
      <c r="CD207" s="94"/>
      <c r="CE207" s="94"/>
      <c r="CF207" s="94"/>
      <c r="CG207" s="94"/>
      <c r="CH207" s="94"/>
      <c r="CI207" s="94"/>
      <c r="CJ207" s="94"/>
      <c r="CK207" s="94"/>
      <c r="CL207" s="94"/>
      <c r="CM207" s="94"/>
      <c r="CN207" s="94"/>
      <c r="CO207" s="94"/>
      <c r="CP207" s="94"/>
      <c r="CQ207" s="94"/>
      <c r="CR207" s="94"/>
      <c r="CS207" s="94"/>
      <c r="CT207" s="94"/>
      <c r="CU207" s="94"/>
      <c r="CV207" s="94"/>
      <c r="CW207" s="94"/>
      <c r="CX207" s="94"/>
      <c r="CY207" s="94"/>
      <c r="CZ207" s="94"/>
    </row>
    <row r="208" spans="1:104" ht="12.75">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94"/>
      <c r="CD208" s="94"/>
      <c r="CE208" s="94"/>
      <c r="CF208" s="94"/>
      <c r="CG208" s="94"/>
      <c r="CH208" s="94"/>
      <c r="CI208" s="94"/>
      <c r="CJ208" s="94"/>
      <c r="CK208" s="94"/>
      <c r="CL208" s="94"/>
      <c r="CM208" s="94"/>
      <c r="CN208" s="94"/>
      <c r="CO208" s="94"/>
      <c r="CP208" s="94"/>
      <c r="CQ208" s="94"/>
      <c r="CR208" s="94"/>
      <c r="CS208" s="94"/>
      <c r="CT208" s="94"/>
      <c r="CU208" s="94"/>
      <c r="CV208" s="94"/>
      <c r="CW208" s="94"/>
      <c r="CX208" s="94"/>
      <c r="CY208" s="94"/>
      <c r="CZ208" s="94"/>
    </row>
    <row r="209" spans="1:104" ht="12.75">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94"/>
      <c r="CD209" s="94"/>
      <c r="CE209" s="94"/>
      <c r="CF209" s="94"/>
      <c r="CG209" s="94"/>
      <c r="CH209" s="94"/>
      <c r="CI209" s="94"/>
      <c r="CJ209" s="94"/>
      <c r="CK209" s="94"/>
      <c r="CL209" s="94"/>
      <c r="CM209" s="94"/>
      <c r="CN209" s="94"/>
      <c r="CO209" s="94"/>
      <c r="CP209" s="94"/>
      <c r="CQ209" s="94"/>
      <c r="CR209" s="94"/>
      <c r="CS209" s="94"/>
      <c r="CT209" s="94"/>
      <c r="CU209" s="94"/>
      <c r="CV209" s="94"/>
      <c r="CW209" s="94"/>
      <c r="CX209" s="94"/>
      <c r="CY209" s="94"/>
      <c r="CZ209" s="94"/>
    </row>
    <row r="210" spans="1:104" ht="12.75">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c r="CA210" s="94"/>
      <c r="CB210" s="94"/>
      <c r="CC210" s="94"/>
      <c r="CD210" s="94"/>
      <c r="CE210" s="94"/>
      <c r="CF210" s="94"/>
      <c r="CG210" s="94"/>
      <c r="CH210" s="94"/>
      <c r="CI210" s="94"/>
      <c r="CJ210" s="94"/>
      <c r="CK210" s="94"/>
      <c r="CL210" s="94"/>
      <c r="CM210" s="94"/>
      <c r="CN210" s="94"/>
      <c r="CO210" s="94"/>
      <c r="CP210" s="94"/>
      <c r="CQ210" s="94"/>
      <c r="CR210" s="94"/>
      <c r="CS210" s="94"/>
      <c r="CT210" s="94"/>
      <c r="CU210" s="94"/>
      <c r="CV210" s="94"/>
      <c r="CW210" s="94"/>
      <c r="CX210" s="94"/>
      <c r="CY210" s="94"/>
      <c r="CZ210" s="94"/>
    </row>
    <row r="211" spans="1:104" ht="12.75">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c r="BB211" s="94"/>
      <c r="BC211" s="94"/>
      <c r="BD211" s="94"/>
      <c r="BE211" s="94"/>
      <c r="BF211" s="94"/>
      <c r="BG211" s="94"/>
      <c r="BH211" s="94"/>
      <c r="BI211" s="94"/>
      <c r="BJ211" s="94"/>
      <c r="BK211" s="94"/>
      <c r="BL211" s="94"/>
      <c r="BM211" s="94"/>
      <c r="BN211" s="94"/>
      <c r="BO211" s="94"/>
      <c r="BP211" s="94"/>
      <c r="BQ211" s="94"/>
      <c r="BR211" s="94"/>
      <c r="BS211" s="94"/>
      <c r="BT211" s="94"/>
      <c r="BU211" s="94"/>
      <c r="BV211" s="94"/>
      <c r="BW211" s="94"/>
      <c r="BX211" s="94"/>
      <c r="BY211" s="94"/>
      <c r="BZ211" s="94"/>
      <c r="CA211" s="94"/>
      <c r="CB211" s="94"/>
      <c r="CC211" s="94"/>
      <c r="CD211" s="94"/>
      <c r="CE211" s="94"/>
      <c r="CF211" s="94"/>
      <c r="CG211" s="94"/>
      <c r="CH211" s="94"/>
      <c r="CI211" s="94"/>
      <c r="CJ211" s="94"/>
      <c r="CK211" s="94"/>
      <c r="CL211" s="94"/>
      <c r="CM211" s="94"/>
      <c r="CN211" s="94"/>
      <c r="CO211" s="94"/>
      <c r="CP211" s="94"/>
      <c r="CQ211" s="94"/>
      <c r="CR211" s="94"/>
      <c r="CS211" s="94"/>
      <c r="CT211" s="94"/>
      <c r="CU211" s="94"/>
      <c r="CV211" s="94"/>
      <c r="CW211" s="94"/>
      <c r="CX211" s="94"/>
      <c r="CY211" s="94"/>
      <c r="CZ211" s="94"/>
    </row>
    <row r="212" spans="1:104" ht="12.75">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row>
    <row r="213" spans="1:104" ht="12.75">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row>
    <row r="214" spans="1:104" ht="12.75">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row>
    <row r="215" spans="1:104" ht="12.75">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row>
    <row r="216" spans="1:104" ht="12.75">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row>
    <row r="217" spans="1:104" ht="12.75">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row>
    <row r="218" spans="1:104" ht="12.75">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row>
    <row r="219" spans="1:104" ht="12.75">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row>
    <row r="220" spans="1:104" ht="12.75">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row>
    <row r="221" spans="1:104" ht="12.75">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row>
    <row r="222" spans="1:104" ht="12.75">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row>
    <row r="223" spans="1:104" ht="12.75">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row>
    <row r="224" spans="1:104" ht="12.75">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row>
    <row r="225" spans="1:104" ht="12.75">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row>
    <row r="226" spans="1:104" ht="12.75">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c r="AI226" s="94"/>
      <c r="AJ226" s="94"/>
      <c r="AK226" s="94"/>
      <c r="AL226" s="94"/>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row>
    <row r="227" spans="1:104" ht="12.75">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row>
    <row r="228" spans="1:104" ht="12.75">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row>
    <row r="229" spans="1:104" ht="12.75">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row>
    <row r="230" spans="1:104" ht="12.75">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row>
    <row r="231" spans="1:104" ht="12.75">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row>
    <row r="232" spans="1:104" ht="12.75">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row>
    <row r="233" spans="1:104" ht="12.75">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row>
    <row r="234" spans="1:104" ht="12.75">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row>
    <row r="235" spans="1:104" ht="12.75">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row>
    <row r="236" spans="1:104" ht="12.75">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row>
    <row r="237" spans="1:104" ht="12.75">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row>
    <row r="238" spans="1:104" ht="12.75">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row>
    <row r="239" spans="1:104" ht="12.75">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row>
    <row r="240" spans="1:104" ht="12.75">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row>
    <row r="241" spans="1:104" ht="12.75">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row>
    <row r="242" spans="1:104" ht="12.75">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row>
    <row r="243" spans="1:104" ht="12.75">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row>
    <row r="244" spans="1:104" ht="12.75">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row>
    <row r="245" spans="1:104" ht="12.75">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c r="AG245" s="94"/>
      <c r="AH245" s="94"/>
      <c r="AI245" s="94"/>
      <c r="AJ245" s="94"/>
      <c r="AK245" s="94"/>
      <c r="AL245" s="94"/>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row>
    <row r="246" spans="1:104" ht="12.75">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row>
    <row r="247" spans="1:104" ht="12.75">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row>
    <row r="248" spans="1:104" ht="12.75">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row>
    <row r="249" spans="1:104" ht="12.75">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row>
    <row r="250" spans="1:104" ht="12.75">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row>
    <row r="251" spans="1:104" ht="12.75">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row>
    <row r="252" spans="1:104" ht="12.75">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row>
    <row r="253" spans="1:104" ht="12.75">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row>
    <row r="254" spans="1:104" ht="12.75">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row>
    <row r="255" spans="1:104" ht="12.75">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row>
    <row r="256" spans="1:104" ht="12.75">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row>
    <row r="257" spans="1:104" ht="12.75">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row>
    <row r="258" spans="1:104" ht="12.75">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row>
    <row r="259" spans="1:104" ht="12.75">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row>
    <row r="260" spans="1:104" ht="12.75">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row>
    <row r="261" spans="1:104" ht="12.75">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row>
    <row r="262" spans="1:104" ht="12.75">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row>
    <row r="263" spans="1:104" ht="12.75">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row>
    <row r="264" spans="1:104" ht="12.75">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row>
    <row r="265" spans="1:104" ht="12.75">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row>
    <row r="266" spans="1:104" ht="12.75">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row>
    <row r="267" spans="1:104" ht="12.75">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row>
    <row r="268" spans="1:104" ht="12.75">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102"/>
      <c r="BP268" s="102"/>
      <c r="BQ268" s="102"/>
      <c r="BR268" s="102"/>
      <c r="BS268" s="102"/>
      <c r="BT268" s="102"/>
      <c r="BU268" s="102"/>
      <c r="BV268" s="102"/>
      <c r="BW268" s="102"/>
      <c r="BX268" s="102"/>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row>
    <row r="269" spans="1:104" ht="12.75">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102"/>
      <c r="BP269" s="102"/>
      <c r="BQ269" s="102"/>
      <c r="BR269" s="102"/>
      <c r="BS269" s="102"/>
      <c r="BT269" s="102"/>
      <c r="BU269" s="102"/>
      <c r="BV269" s="102"/>
      <c r="BW269" s="102"/>
      <c r="BX269" s="102"/>
      <c r="BY269" s="94"/>
      <c r="BZ269" s="94"/>
      <c r="CA269" s="94"/>
      <c r="CB269" s="94"/>
      <c r="CC269" s="94"/>
      <c r="CD269" s="94"/>
      <c r="CE269" s="94"/>
      <c r="CF269" s="94"/>
      <c r="CG269" s="94"/>
      <c r="CH269" s="94"/>
      <c r="CI269" s="94"/>
      <c r="CJ269" s="94"/>
      <c r="CK269" s="94"/>
      <c r="CL269" s="94"/>
      <c r="CM269" s="94"/>
      <c r="CN269" s="94"/>
      <c r="CO269" s="94"/>
      <c r="CP269" s="94"/>
      <c r="CQ269" s="94"/>
      <c r="CR269" s="94"/>
      <c r="CS269" s="94"/>
      <c r="CT269" s="94"/>
      <c r="CU269" s="94"/>
      <c r="CV269" s="94"/>
      <c r="CW269" s="94"/>
      <c r="CX269" s="94"/>
      <c r="CY269" s="94"/>
      <c r="CZ269" s="94"/>
    </row>
    <row r="270" spans="1:104" ht="12.75">
      <c r="BK270" s="94"/>
      <c r="BL270" s="94"/>
      <c r="BM270" s="94"/>
      <c r="BN270" s="94"/>
      <c r="BO270" s="102"/>
      <c r="BP270" s="102"/>
      <c r="BQ270" s="102"/>
      <c r="BR270" s="102"/>
      <c r="BS270" s="102"/>
      <c r="BT270" s="102"/>
      <c r="BU270" s="102"/>
      <c r="BV270" s="102"/>
      <c r="BW270" s="102"/>
      <c r="BX270" s="102"/>
      <c r="BY270" s="94"/>
      <c r="BZ270" s="94"/>
      <c r="CA270" s="94"/>
      <c r="CB270" s="94"/>
      <c r="CC270" s="94"/>
      <c r="CD270" s="94"/>
      <c r="CE270" s="94"/>
      <c r="CF270" s="94"/>
      <c r="CG270" s="94"/>
      <c r="CH270" s="94"/>
      <c r="CI270" s="94"/>
      <c r="CJ270" s="94"/>
      <c r="CK270" s="94"/>
      <c r="CL270" s="94"/>
      <c r="CM270" s="94"/>
      <c r="CN270" s="94"/>
      <c r="CO270" s="94"/>
      <c r="CP270" s="94"/>
      <c r="CQ270" s="94"/>
      <c r="CR270" s="94"/>
      <c r="CS270" s="94"/>
      <c r="CT270" s="94"/>
      <c r="CU270" s="94"/>
      <c r="CV270" s="94"/>
      <c r="CW270" s="94"/>
      <c r="CX270" s="94"/>
      <c r="CY270" s="94"/>
      <c r="CZ270" s="94"/>
    </row>
    <row r="271" spans="1:104" ht="27" customHeight="1">
      <c r="B271" s="766" t="str">
        <f>B1</f>
        <v>Multifamily (5 units or more per building)</v>
      </c>
      <c r="C271" s="766"/>
      <c r="D271" s="766"/>
      <c r="E271" s="766"/>
      <c r="F271" s="766"/>
      <c r="G271" s="766"/>
      <c r="H271" s="766"/>
      <c r="I271" s="767"/>
      <c r="J271" s="767"/>
      <c r="K271" s="767"/>
      <c r="L271" s="767"/>
      <c r="M271" s="767"/>
      <c r="N271" s="767"/>
      <c r="O271" s="767"/>
      <c r="P271" s="767"/>
      <c r="Q271" s="767"/>
      <c r="R271" s="767"/>
      <c r="S271" s="767"/>
      <c r="T271" s="767"/>
      <c r="U271" s="16"/>
      <c r="V271" s="16"/>
      <c r="W271" s="16"/>
      <c r="X271" s="16"/>
      <c r="Y271" s="16"/>
      <c r="Z271" s="16"/>
      <c r="AA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66" t="str">
        <f>BH1</f>
        <v>Effective November 1, 2023</v>
      </c>
      <c r="AY271" s="16"/>
      <c r="AZ271" s="16"/>
      <c r="BA271" s="16"/>
      <c r="BB271" s="16"/>
      <c r="BC271" s="16"/>
      <c r="BD271" s="16"/>
      <c r="BE271" s="16"/>
      <c r="BF271" s="16"/>
      <c r="BG271" s="16"/>
      <c r="BI271" s="16"/>
      <c r="BJ271" s="16"/>
      <c r="BK271" s="16"/>
      <c r="BL271" s="16"/>
      <c r="BN271" s="66"/>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row>
    <row r="272" spans="1:104" ht="18">
      <c r="B272" s="18" t="str">
        <f>B2</f>
        <v>Energy Efficiency Incentives</v>
      </c>
      <c r="C272" s="67"/>
      <c r="D272" s="67"/>
      <c r="E272" s="67"/>
      <c r="F272" s="67"/>
      <c r="G272" s="67"/>
      <c r="H272" s="67"/>
      <c r="I272" s="67"/>
      <c r="J272" s="67"/>
      <c r="K272" s="67"/>
      <c r="L272" s="67"/>
      <c r="M272" s="67"/>
      <c r="N272" s="67"/>
      <c r="O272" s="67"/>
      <c r="P272" s="67"/>
      <c r="Q272" s="67"/>
      <c r="AX272" s="17" t="s">
        <v>102</v>
      </c>
      <c r="BG272" s="67"/>
      <c r="BI272" s="67"/>
      <c r="BJ272" s="67"/>
      <c r="BK272" s="67"/>
      <c r="BL272" s="67"/>
      <c r="BM272" s="67"/>
      <c r="BN272" s="67"/>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row>
    <row r="273" spans="1:178" ht="18">
      <c r="B273" s="67" t="str">
        <f>B3</f>
        <v>HVAC Worksheet Data Input for New Construction and Major Renovations</v>
      </c>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81" t="s">
        <v>152</v>
      </c>
      <c r="AY273" s="920" t="str">
        <f>IF('Final Application'!AF7="","",'Final Application'!AF7)</f>
        <v/>
      </c>
      <c r="AZ273" s="920"/>
      <c r="BA273" s="920"/>
      <c r="BB273" s="920"/>
      <c r="BC273" s="920"/>
      <c r="BD273" s="920"/>
      <c r="BE273" s="920"/>
      <c r="BF273" s="920"/>
      <c r="BG273" s="920"/>
      <c r="BH273" s="920"/>
      <c r="BI273" s="920"/>
      <c r="BN273" s="195"/>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row>
    <row r="274" spans="1:178" ht="12.75" customHeight="1">
      <c r="B274" s="9" t="str">
        <f>B4</f>
        <v>For question regarding this worksheet, please contact Idaho Power by emailing multifamily@idahopower.com</v>
      </c>
      <c r="C274" s="68"/>
      <c r="D274" s="68"/>
      <c r="E274" s="68"/>
      <c r="F274" s="68"/>
      <c r="G274" s="68"/>
      <c r="H274" s="68"/>
      <c r="I274" s="68"/>
      <c r="J274" s="68"/>
      <c r="K274" s="68"/>
      <c r="L274" s="68"/>
      <c r="M274" s="68"/>
      <c r="N274" s="68"/>
      <c r="O274" s="68"/>
      <c r="P274" s="68"/>
      <c r="Q274" s="68"/>
      <c r="AI274" s="68"/>
      <c r="AJ274" s="68"/>
      <c r="AK274" s="68"/>
      <c r="AL274" s="68"/>
      <c r="AM274" s="68"/>
      <c r="AN274" s="68"/>
      <c r="AO274" s="68"/>
      <c r="AP274" s="68"/>
      <c r="AQ274" s="68"/>
      <c r="AR274" s="68"/>
      <c r="AS274" s="68"/>
      <c r="AT274" s="68"/>
      <c r="AU274" s="68"/>
      <c r="AV274" s="68"/>
      <c r="AW274" s="68"/>
      <c r="AX274" s="17" t="s">
        <v>2653</v>
      </c>
      <c r="AY274" s="926" t="str">
        <f>IF('Final Application'!B7="","",'Final Application'!B7)</f>
        <v/>
      </c>
      <c r="AZ274" s="926"/>
      <c r="BA274" s="926"/>
      <c r="BB274" s="926"/>
      <c r="BC274" s="926"/>
      <c r="BD274" s="926"/>
      <c r="BE274" s="926"/>
      <c r="BF274" s="926"/>
      <c r="BG274" s="926"/>
      <c r="BH274" s="926"/>
      <c r="BI274" s="926"/>
      <c r="BN274" s="195"/>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row>
    <row r="275" spans="1:178" ht="7.15" customHeight="1">
      <c r="A275" s="648"/>
      <c r="B275" s="649"/>
      <c r="C275" s="649"/>
      <c r="D275" s="649"/>
      <c r="E275" s="649"/>
      <c r="F275" s="649"/>
      <c r="G275" s="649"/>
      <c r="H275" s="649"/>
      <c r="I275" s="649"/>
      <c r="J275" s="649"/>
      <c r="K275" s="649"/>
      <c r="L275" s="649"/>
      <c r="M275" s="649"/>
      <c r="N275" s="649"/>
      <c r="O275" s="649"/>
      <c r="P275" s="649"/>
      <c r="Q275" s="649"/>
      <c r="R275" s="648"/>
      <c r="S275" s="648"/>
      <c r="T275" s="648"/>
      <c r="U275" s="648"/>
      <c r="V275" s="648"/>
      <c r="W275" s="648"/>
      <c r="X275" s="648"/>
      <c r="Y275" s="648"/>
      <c r="Z275" s="648"/>
      <c r="AA275" s="648"/>
      <c r="AB275" s="648"/>
      <c r="AC275" s="648"/>
      <c r="AD275" s="648"/>
      <c r="AE275" s="648"/>
      <c r="AF275" s="648"/>
      <c r="AG275" s="648"/>
      <c r="AH275" s="648"/>
      <c r="AI275" s="649"/>
      <c r="AJ275" s="649"/>
      <c r="AK275" s="649"/>
      <c r="AL275" s="649"/>
      <c r="AM275" s="649"/>
      <c r="AN275" s="649"/>
      <c r="AO275" s="649"/>
      <c r="AP275" s="649"/>
      <c r="AQ275" s="649"/>
      <c r="AR275" s="649"/>
      <c r="AS275" s="649"/>
      <c r="AT275" s="649"/>
      <c r="AU275" s="649"/>
      <c r="AV275" s="649"/>
      <c r="AW275" s="649"/>
      <c r="AX275" s="649"/>
      <c r="AY275" s="649"/>
      <c r="AZ275" s="649"/>
      <c r="BA275" s="649"/>
      <c r="BB275" s="649"/>
      <c r="BC275" s="649"/>
      <c r="BD275" s="649"/>
      <c r="BE275" s="649"/>
      <c r="BF275" s="649"/>
      <c r="BG275" s="649"/>
      <c r="BH275" s="649"/>
      <c r="BI275" s="649"/>
      <c r="BJ275" s="649"/>
      <c r="BK275" s="648"/>
      <c r="BL275" s="648"/>
      <c r="BM275" s="648"/>
      <c r="BN275" s="650"/>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row>
    <row r="276" spans="1:178" ht="18">
      <c r="A276" s="625" t="str">
        <f>A6</f>
        <v>Dwelling Unit Energy Efficiency Incentives for New Construction and Major Renovations</v>
      </c>
      <c r="B276" s="67"/>
      <c r="C276" s="68"/>
      <c r="D276" s="68"/>
      <c r="E276" s="68"/>
      <c r="F276" s="68"/>
      <c r="G276" s="68"/>
      <c r="H276" s="68"/>
      <c r="I276" s="68"/>
      <c r="J276" s="68"/>
      <c r="K276" s="68"/>
      <c r="L276" s="68"/>
      <c r="M276" s="68"/>
      <c r="N276" s="68"/>
      <c r="O276" s="68"/>
      <c r="P276" s="68"/>
      <c r="Q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N276" s="195"/>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row>
    <row r="277" spans="1:178" ht="16.5" thickBot="1">
      <c r="A277" s="80" t="str">
        <f>A7</f>
        <v>MF1 - Ductless Mini-Split Heat Pump</v>
      </c>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c r="AU277" s="80"/>
      <c r="AV277" s="80"/>
      <c r="AW277" s="80"/>
      <c r="AX277" s="80"/>
      <c r="AY277" s="80"/>
      <c r="AZ277" s="80"/>
      <c r="BA277" s="80"/>
      <c r="BB277" s="80"/>
      <c r="BC277" s="80"/>
      <c r="BD277" s="80"/>
      <c r="BE277" s="80"/>
      <c r="BF277" s="80"/>
      <c r="BG277" s="280"/>
      <c r="BH277" s="20"/>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row>
    <row r="278" spans="1:178" s="22" customFormat="1" ht="12.75" customHeight="1">
      <c r="A278" s="588"/>
      <c r="B278" s="573"/>
      <c r="C278" s="573"/>
      <c r="D278" s="573"/>
      <c r="E278" s="573"/>
      <c r="F278" s="573"/>
      <c r="G278" s="573"/>
      <c r="H278" s="573"/>
      <c r="I278" s="573"/>
      <c r="J278" s="573"/>
      <c r="K278" s="573"/>
      <c r="L278" s="573"/>
      <c r="M278" s="573"/>
      <c r="N278" s="573"/>
      <c r="O278" s="573"/>
      <c r="P278" s="573"/>
      <c r="Q278" s="573"/>
      <c r="R278" s="573"/>
      <c r="S278" s="573"/>
      <c r="T278" s="573"/>
      <c r="U278" s="573"/>
      <c r="V278" s="573"/>
      <c r="W278" s="573"/>
      <c r="X278" s="573"/>
      <c r="Y278" s="573"/>
      <c r="Z278" s="573"/>
      <c r="AA278" s="573"/>
      <c r="AB278" s="573"/>
      <c r="AC278" s="573"/>
      <c r="AD278" s="573"/>
      <c r="AE278" s="573"/>
      <c r="AF278" s="573"/>
      <c r="AG278" s="573"/>
      <c r="AH278" s="573"/>
      <c r="AI278" s="573"/>
      <c r="AJ278" s="573"/>
      <c r="AK278" s="573"/>
      <c r="AL278" s="573"/>
      <c r="AM278" s="674"/>
      <c r="AN278" s="674"/>
      <c r="AO278" s="573"/>
      <c r="AP278" s="887" t="s">
        <v>2655</v>
      </c>
      <c r="AQ278" s="887"/>
      <c r="AR278" s="887"/>
      <c r="AS278" s="887"/>
      <c r="AT278" s="887"/>
      <c r="AU278" s="887"/>
      <c r="AV278" s="887"/>
      <c r="AW278" s="887"/>
      <c r="AX278" s="887"/>
      <c r="AY278" s="887"/>
      <c r="AZ278" s="887"/>
      <c r="BA278" s="887"/>
      <c r="BB278" s="887"/>
      <c r="BC278" s="887"/>
      <c r="BD278" s="887"/>
      <c r="BE278" s="887"/>
      <c r="BF278" s="887"/>
      <c r="BG278" s="589"/>
      <c r="BH278" s="888" t="str">
        <f>IF(BG8="","",BG8)</f>
        <v>Incentive
(tons x $125)</v>
      </c>
      <c r="BI278" s="888"/>
      <c r="BJ278" s="267"/>
      <c r="BK278" s="1"/>
      <c r="BL278" s="1"/>
      <c r="BM278" s="1"/>
      <c r="BN278" s="1"/>
      <c r="BO278" s="94"/>
      <c r="BP278" s="94"/>
      <c r="BQ278" s="94"/>
      <c r="BR278" s="94"/>
      <c r="BS278" s="94"/>
      <c r="BT278" s="94"/>
      <c r="BU278" s="94"/>
      <c r="BV278" s="94"/>
      <c r="BW278" s="94"/>
      <c r="BX278" s="94"/>
      <c r="BY278" s="102"/>
      <c r="BZ278" s="102"/>
      <c r="CA278" s="102"/>
      <c r="CB278" s="102"/>
      <c r="CC278" s="102"/>
      <c r="CD278" s="102"/>
      <c r="CE278" s="102"/>
      <c r="CF278" s="102"/>
      <c r="CG278" s="102"/>
      <c r="CH278" s="102"/>
      <c r="CI278" s="102"/>
      <c r="CJ278" s="102"/>
      <c r="CK278" s="102"/>
      <c r="CL278" s="102"/>
      <c r="CM278" s="102"/>
      <c r="CN278" s="102"/>
      <c r="CO278" s="102"/>
      <c r="CP278" s="102"/>
      <c r="CQ278" s="102"/>
      <c r="CR278" s="102"/>
      <c r="CS278" s="102"/>
      <c r="CT278" s="102"/>
      <c r="CU278" s="102"/>
      <c r="CV278" s="102"/>
      <c r="CW278" s="102"/>
      <c r="CX278" s="102"/>
      <c r="CY278" s="102"/>
      <c r="CZ278" s="102"/>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row>
    <row r="279" spans="1:178" s="22" customFormat="1" ht="12.75" customHeight="1">
      <c r="A279" s="69"/>
      <c r="B279" s="284"/>
      <c r="C279" s="70"/>
      <c r="D279" s="284"/>
      <c r="E279" s="284"/>
      <c r="F279" s="285"/>
      <c r="G279" s="285"/>
      <c r="H279" s="285"/>
      <c r="I279" s="285"/>
      <c r="J279" s="285"/>
      <c r="K279" s="285"/>
      <c r="L279" s="285"/>
      <c r="M279" s="285"/>
      <c r="N279" s="285"/>
      <c r="O279" s="285"/>
      <c r="P279" s="285"/>
      <c r="Q279" s="284"/>
      <c r="R279" s="632"/>
      <c r="S279" s="632"/>
      <c r="T279" s="632"/>
      <c r="U279" s="632"/>
      <c r="V279" s="289"/>
      <c r="W279" s="632"/>
      <c r="X279" s="632"/>
      <c r="Y279" s="632"/>
      <c r="Z279" s="632"/>
      <c r="AA279" s="632"/>
      <c r="AB279" s="632"/>
      <c r="AC279" s="289"/>
      <c r="AD279" s="289"/>
      <c r="AE279" s="289"/>
      <c r="AF279" s="289"/>
      <c r="AG279" s="289"/>
      <c r="AH279" s="71"/>
      <c r="AI279" s="71" t="str">
        <f t="shared" ref="AI279" si="96">IF(AI9="","",AI9)</f>
        <v>SEER2</v>
      </c>
      <c r="AJ279" s="289"/>
      <c r="AK279" s="72" t="str">
        <f t="shared" ref="AK279" si="97">IF(AK9="","",AK9)</f>
        <v>HSPF2</v>
      </c>
      <c r="AL279" s="289"/>
      <c r="AM279" s="289"/>
      <c r="AN279" s="289"/>
      <c r="AO279" s="289"/>
      <c r="AP279" s="880" t="str">
        <f>IF(AP9="","",AP9)</f>
        <v>ENERGY STAR®</v>
      </c>
      <c r="AQ279" s="880" t="str">
        <f t="shared" ref="AQ279:AX279" si="98">IF(AQ9="","",AQ9)</f>
        <v/>
      </c>
      <c r="AR279" s="880" t="str">
        <f t="shared" si="98"/>
        <v/>
      </c>
      <c r="AS279" s="880" t="str">
        <f t="shared" si="98"/>
        <v/>
      </c>
      <c r="AT279" s="880"/>
      <c r="AU279" s="880"/>
      <c r="AV279" s="880" t="str">
        <f t="shared" si="98"/>
        <v/>
      </c>
      <c r="AW279" s="880" t="str">
        <f t="shared" si="98"/>
        <v/>
      </c>
      <c r="AX279" s="880" t="str">
        <f t="shared" si="98"/>
        <v/>
      </c>
      <c r="AY279" s="284"/>
      <c r="AZ279" s="284"/>
      <c r="BA279" s="284"/>
      <c r="BB279" s="284"/>
      <c r="BC279" s="284"/>
      <c r="BD279" s="284"/>
      <c r="BE279" s="284"/>
      <c r="BF279" s="284"/>
      <c r="BG279"/>
      <c r="BH279" s="736"/>
      <c r="BI279" s="736"/>
      <c r="BJ279" s="73"/>
      <c r="BK279" s="1"/>
      <c r="BL279" s="1"/>
      <c r="BM279" s="1"/>
      <c r="BN279" s="1"/>
      <c r="BO279" s="94"/>
      <c r="BP279" s="94"/>
      <c r="BQ279" s="94"/>
      <c r="BR279" s="94"/>
      <c r="BS279" s="94"/>
      <c r="BT279" s="94"/>
      <c r="BU279" s="94"/>
      <c r="BV279" s="94"/>
      <c r="BW279" s="94"/>
      <c r="BX279" s="94"/>
      <c r="BY279" s="102"/>
      <c r="BZ279" s="102"/>
      <c r="CA279" s="102"/>
      <c r="CB279" s="102"/>
      <c r="CC279" s="102"/>
      <c r="CD279" s="102"/>
      <c r="CE279" s="102"/>
      <c r="CF279" s="102"/>
      <c r="CG279" s="102"/>
      <c r="CH279" s="102"/>
      <c r="CI279" s="102"/>
      <c r="CJ279" s="102"/>
      <c r="CK279" s="102"/>
      <c r="CL279" s="102"/>
      <c r="CM279" s="102"/>
      <c r="CN279" s="102"/>
      <c r="CO279" s="102"/>
      <c r="CP279" s="102"/>
      <c r="CQ279" s="102"/>
      <c r="CR279" s="102"/>
      <c r="CS279" s="102"/>
      <c r="CT279" s="102"/>
      <c r="CU279" s="102"/>
      <c r="CV279" s="102"/>
      <c r="CW279" s="102"/>
      <c r="CX279" s="102"/>
      <c r="CY279" s="102"/>
      <c r="CZ279" s="102"/>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row>
    <row r="280" spans="1:178" s="22" customFormat="1" ht="27.6" customHeight="1">
      <c r="A280" s="69"/>
      <c r="B280" s="246" t="str">
        <f t="shared" ref="B280:F306" si="99">IF(B10="","",B10)</f>
        <v>Qty</v>
      </c>
      <c r="C280" s="412"/>
      <c r="D280" s="246" t="str">
        <f t="shared" si="99"/>
        <v>Tons</v>
      </c>
      <c r="E280" s="246"/>
      <c r="F280" s="246" t="str">
        <f t="shared" si="99"/>
        <v>Description of Location</v>
      </c>
      <c r="G280" s="246"/>
      <c r="H280" s="246"/>
      <c r="I280" s="246"/>
      <c r="J280" s="246"/>
      <c r="K280" s="285"/>
      <c r="L280" s="285"/>
      <c r="M280" s="285"/>
      <c r="N280" s="285"/>
      <c r="O280" s="285"/>
      <c r="P280" s="285"/>
      <c r="Q280" s="284"/>
      <c r="R280" s="632"/>
      <c r="S280" s="632"/>
      <c r="T280" s="632"/>
      <c r="U280" s="632"/>
      <c r="V280" s="289"/>
      <c r="W280" s="632"/>
      <c r="X280" s="632"/>
      <c r="Y280" s="632"/>
      <c r="Z280" s="632"/>
      <c r="AA280" s="632"/>
      <c r="AB280" s="632"/>
      <c r="AC280" s="289"/>
      <c r="AD280" s="246" t="str">
        <f t="shared" ref="AD280" si="100">IF(AD10="","",AD10)</f>
        <v>Model / Designation</v>
      </c>
      <c r="AE280" s="281"/>
      <c r="AF280" s="246"/>
      <c r="AG280" s="246"/>
      <c r="AH280" s="413"/>
      <c r="AI280" s="246" t="str">
        <f t="shared" ref="AI280" si="101">IF(AI10="","",AI10)</f>
        <v>Actual Eff.</v>
      </c>
      <c r="AJ280" s="281"/>
      <c r="AK280" s="246" t="str">
        <f t="shared" ref="AK280" si="102">IF(AK10="","",AK10)</f>
        <v>Actual Eff.</v>
      </c>
      <c r="AL280" s="281"/>
      <c r="AM280" s="670"/>
      <c r="AN280" s="670"/>
      <c r="AO280" s="281"/>
      <c r="AP280" s="879" t="str">
        <f>IF(AP10="","",AP10)</f>
        <v>Ductless ($125/ ton)</v>
      </c>
      <c r="AQ280" s="863"/>
      <c r="AR280" s="863"/>
      <c r="AS280" s="863"/>
      <c r="AT280" s="863"/>
      <c r="AU280" s="863"/>
      <c r="AV280" s="863"/>
      <c r="AW280" s="863"/>
      <c r="AX280" s="246"/>
      <c r="AY280" s="281"/>
      <c r="AZ280" s="281"/>
      <c r="BA280" s="281"/>
      <c r="BB280" s="281"/>
      <c r="BC280" s="670"/>
      <c r="BD280" s="670"/>
      <c r="BE280" s="281"/>
      <c r="BF280" s="246"/>
      <c r="BG280"/>
      <c r="BH280" s="736"/>
      <c r="BI280" s="736"/>
      <c r="BJ280" s="73"/>
      <c r="BK280" s="1"/>
      <c r="BL280" s="1"/>
      <c r="BM280" s="1"/>
      <c r="BN280" s="1"/>
      <c r="BO280" s="94"/>
      <c r="BP280" s="94"/>
      <c r="BQ280" s="94"/>
      <c r="BR280" s="94"/>
      <c r="BS280" s="94"/>
      <c r="BT280" s="94"/>
      <c r="BU280" s="94"/>
      <c r="BV280" s="94"/>
      <c r="BW280" s="94"/>
      <c r="BX280" s="94"/>
      <c r="BY280" s="102"/>
      <c r="BZ280" s="102"/>
      <c r="CA280" s="102"/>
      <c r="CB280" s="102"/>
      <c r="CC280" s="102"/>
      <c r="CD280" s="102"/>
      <c r="CE280" s="102"/>
      <c r="CF280" s="102"/>
      <c r="CG280" s="102"/>
      <c r="CH280" s="102"/>
      <c r="CI280" s="102"/>
      <c r="CJ280" s="102"/>
      <c r="CK280" s="102"/>
      <c r="CL280" s="102"/>
      <c r="CM280" s="102"/>
      <c r="CN280" s="102"/>
      <c r="CO280" s="102"/>
      <c r="CP280" s="102"/>
      <c r="CQ280" s="102"/>
      <c r="CR280" s="102"/>
      <c r="CS280" s="102"/>
      <c r="CT280" s="102"/>
      <c r="CU280" s="102"/>
      <c r="CV280" s="102"/>
      <c r="CW280" s="102"/>
      <c r="CX280" s="102"/>
      <c r="CY280" s="102"/>
      <c r="CZ280" s="102"/>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row>
    <row r="281" spans="1:178" ht="12.75" customHeight="1">
      <c r="A281" s="74"/>
      <c r="B281" s="287" t="str">
        <f t="shared" si="99"/>
        <v/>
      </c>
      <c r="C281" s="9"/>
      <c r="D281" s="287" t="str">
        <f t="shared" ref="D281:D306" si="103">IF(D11="","",D11)</f>
        <v/>
      </c>
      <c r="E281" s="274"/>
      <c r="F281" s="883" t="str">
        <f t="shared" ref="F281:F306" si="104">IF(F11="","",F11)</f>
        <v/>
      </c>
      <c r="G281" s="883"/>
      <c r="H281" s="883"/>
      <c r="I281" s="883"/>
      <c r="J281" s="883"/>
      <c r="K281" s="883"/>
      <c r="L281" s="883"/>
      <c r="M281" s="883"/>
      <c r="N281" s="883"/>
      <c r="O281" s="883"/>
      <c r="P281" s="883"/>
      <c r="Q281" s="883"/>
      <c r="R281" s="883"/>
      <c r="S281" s="883"/>
      <c r="T281" s="883"/>
      <c r="U281" s="883"/>
      <c r="V281" s="883"/>
      <c r="W281" s="883"/>
      <c r="X281" s="883"/>
      <c r="Y281" s="883"/>
      <c r="Z281" s="883"/>
      <c r="AA281" s="883"/>
      <c r="AB281" s="274"/>
      <c r="AC281" s="289"/>
      <c r="AD281" s="886" t="str">
        <f t="shared" ref="AD281:AD306" si="105">IF(AD11="","",AD11)</f>
        <v/>
      </c>
      <c r="AE281" s="886"/>
      <c r="AF281" s="886"/>
      <c r="AG281" s="886"/>
      <c r="AH281" s="9"/>
      <c r="AI281" s="287" t="str">
        <f t="shared" ref="AI281:AL281" si="106">IF(AI11="","",AI11)</f>
        <v/>
      </c>
      <c r="AJ281" s="13" t="str">
        <f t="shared" si="106"/>
        <v/>
      </c>
      <c r="AK281" s="287" t="str">
        <f t="shared" si="106"/>
        <v/>
      </c>
      <c r="AL281" s="13" t="str">
        <f t="shared" si="106"/>
        <v/>
      </c>
      <c r="AM281" s="672"/>
      <c r="AN281" s="672"/>
      <c r="AO281" s="289"/>
      <c r="AP281" s="75" t="str">
        <f t="shared" ref="AP281:AS281" si="107">IF(AP11="","",AP11)</f>
        <v/>
      </c>
      <c r="AQ281" s="13" t="str">
        <f t="shared" si="107"/>
        <v/>
      </c>
      <c r="AR281" s="75" t="str">
        <f t="shared" si="107"/>
        <v/>
      </c>
      <c r="AS281" s="13" t="str">
        <f t="shared" si="107"/>
        <v/>
      </c>
      <c r="AT281" s="672"/>
      <c r="AU281" s="672"/>
      <c r="AV281" s="13"/>
      <c r="AW281" s="746" t="str">
        <f t="shared" ref="AW281:AW306" si="108">IF(AW11="","",AW11)</f>
        <v/>
      </c>
      <c r="AX281" s="746"/>
      <c r="AY281" s="417"/>
      <c r="AZ281" s="13"/>
      <c r="BA281" s="417"/>
      <c r="BB281" s="13"/>
      <c r="BC281" s="672"/>
      <c r="BD281" s="672"/>
      <c r="BE281" s="10"/>
      <c r="BF281" s="10"/>
      <c r="BG281" s="13" t="s">
        <v>142</v>
      </c>
      <c r="BH281" s="884" t="str">
        <f t="shared" ref="BH281:BH308" si="109">IF(BH11="","",BH11)</f>
        <v/>
      </c>
      <c r="BI281" s="884"/>
      <c r="BJ281" s="590"/>
      <c r="BM281" s="296">
        <f>COUNTIF(AW280:AW290,"Qualified")</f>
        <v>0</v>
      </c>
      <c r="BO281" s="94"/>
      <c r="BP281" s="94"/>
      <c r="BQ281" s="94"/>
      <c r="BR281" s="94"/>
      <c r="BS281" s="94"/>
      <c r="BT281" s="94"/>
      <c r="BU281" s="94"/>
      <c r="BV281" s="94"/>
      <c r="BW281" s="94"/>
      <c r="BX281" s="94"/>
      <c r="BY281" s="94"/>
      <c r="BZ281" s="94"/>
      <c r="CA281" s="94"/>
      <c r="CB281" s="94"/>
      <c r="CC281" s="94"/>
      <c r="CD281" s="94"/>
      <c r="CE281" s="94"/>
      <c r="CF281" s="94"/>
      <c r="CG281" s="94"/>
      <c r="CH281" s="94"/>
      <c r="CI281" s="94"/>
      <c r="CJ281" s="94"/>
      <c r="CK281" s="94"/>
      <c r="CL281" s="94"/>
      <c r="CM281" s="94"/>
      <c r="CN281" s="94"/>
      <c r="CO281" s="94"/>
      <c r="CP281" s="94"/>
      <c r="CQ281" s="94"/>
      <c r="CR281" s="94"/>
      <c r="CS281" s="94"/>
      <c r="CT281" s="94"/>
      <c r="CU281" s="94"/>
      <c r="CV281" s="94"/>
      <c r="CW281" s="94"/>
      <c r="CX281" s="94"/>
      <c r="CY281" s="94"/>
      <c r="CZ281" s="94"/>
    </row>
    <row r="282" spans="1:178" ht="12.75" customHeight="1">
      <c r="A282" s="74"/>
      <c r="B282" s="288" t="str">
        <f t="shared" si="99"/>
        <v/>
      </c>
      <c r="C282" s="9"/>
      <c r="D282" s="288" t="str">
        <f t="shared" si="103"/>
        <v/>
      </c>
      <c r="E282" s="274"/>
      <c r="F282" s="883" t="str">
        <f t="shared" si="104"/>
        <v/>
      </c>
      <c r="G282" s="883"/>
      <c r="H282" s="883"/>
      <c r="I282" s="883"/>
      <c r="J282" s="883"/>
      <c r="K282" s="883"/>
      <c r="L282" s="883"/>
      <c r="M282" s="883"/>
      <c r="N282" s="883"/>
      <c r="O282" s="883"/>
      <c r="P282" s="883"/>
      <c r="Q282" s="883"/>
      <c r="R282" s="883"/>
      <c r="S282" s="883"/>
      <c r="T282" s="883"/>
      <c r="U282" s="883"/>
      <c r="V282" s="883"/>
      <c r="W282" s="883"/>
      <c r="X282" s="883"/>
      <c r="Y282" s="883"/>
      <c r="Z282" s="883"/>
      <c r="AA282" s="883"/>
      <c r="AB282" s="274"/>
      <c r="AC282" s="289"/>
      <c r="AD282" s="885" t="str">
        <f t="shared" si="105"/>
        <v/>
      </c>
      <c r="AE282" s="885"/>
      <c r="AF282" s="885"/>
      <c r="AG282" s="885"/>
      <c r="AH282" s="9"/>
      <c r="AI282" s="288" t="str">
        <f t="shared" ref="AI282:AL282" si="110">IF(AI12="","",AI12)</f>
        <v/>
      </c>
      <c r="AJ282" s="13" t="str">
        <f t="shared" si="110"/>
        <v/>
      </c>
      <c r="AK282" s="288" t="str">
        <f t="shared" si="110"/>
        <v/>
      </c>
      <c r="AL282" s="13" t="str">
        <f t="shared" si="110"/>
        <v/>
      </c>
      <c r="AM282" s="672"/>
      <c r="AN282" s="672"/>
      <c r="AO282" s="289"/>
      <c r="AP282" s="273" t="str">
        <f t="shared" ref="AP282:AS282" si="111">IF(AP12="","",AP12)</f>
        <v/>
      </c>
      <c r="AQ282" s="13" t="str">
        <f t="shared" si="111"/>
        <v/>
      </c>
      <c r="AR282" s="273" t="str">
        <f t="shared" si="111"/>
        <v/>
      </c>
      <c r="AS282" s="13" t="str">
        <f t="shared" si="111"/>
        <v/>
      </c>
      <c r="AT282" s="672"/>
      <c r="AU282" s="672"/>
      <c r="AV282" s="13"/>
      <c r="AW282" s="746" t="str">
        <f t="shared" si="108"/>
        <v/>
      </c>
      <c r="AX282" s="746"/>
      <c r="AY282" s="417"/>
      <c r="AZ282" s="13"/>
      <c r="BA282" s="417"/>
      <c r="BB282" s="13"/>
      <c r="BC282" s="672"/>
      <c r="BD282" s="672"/>
      <c r="BE282" s="10"/>
      <c r="BF282" s="10"/>
      <c r="BG282" s="13" t="s">
        <v>142</v>
      </c>
      <c r="BH282" s="884" t="str">
        <f t="shared" si="109"/>
        <v/>
      </c>
      <c r="BI282" s="884"/>
      <c r="BJ282" s="590"/>
      <c r="BO282" s="94"/>
      <c r="BP282" s="94"/>
      <c r="BQ282" s="94"/>
      <c r="BR282" s="94"/>
      <c r="BS282" s="94"/>
      <c r="BT282" s="94"/>
      <c r="BU282" s="94"/>
      <c r="BV282" s="94"/>
      <c r="BW282" s="94"/>
      <c r="BX282" s="94"/>
      <c r="BY282" s="94"/>
      <c r="BZ282" s="94"/>
      <c r="CA282" s="94"/>
      <c r="CB282" s="94"/>
      <c r="CC282" s="94"/>
      <c r="CD282" s="94"/>
      <c r="CE282" s="94"/>
      <c r="CF282" s="94"/>
      <c r="CG282" s="94"/>
      <c r="CH282" s="94"/>
      <c r="CI282" s="94"/>
      <c r="CJ282" s="94"/>
      <c r="CK282" s="94"/>
      <c r="CL282" s="94"/>
      <c r="CM282" s="94"/>
      <c r="CN282" s="94"/>
      <c r="CO282" s="94"/>
      <c r="CP282" s="94"/>
      <c r="CQ282" s="94"/>
      <c r="CR282" s="94"/>
      <c r="CS282" s="94"/>
      <c r="CT282" s="94"/>
      <c r="CU282" s="94"/>
      <c r="CV282" s="94"/>
      <c r="CW282" s="94"/>
      <c r="CX282" s="94"/>
      <c r="CY282" s="94"/>
      <c r="CZ282" s="94"/>
    </row>
    <row r="283" spans="1:178" ht="12.75">
      <c r="A283" s="74"/>
      <c r="B283" s="288" t="str">
        <f t="shared" si="99"/>
        <v/>
      </c>
      <c r="C283" s="9"/>
      <c r="D283" s="288" t="str">
        <f t="shared" si="103"/>
        <v/>
      </c>
      <c r="E283" s="274"/>
      <c r="F283" s="883" t="str">
        <f t="shared" si="104"/>
        <v/>
      </c>
      <c r="G283" s="883"/>
      <c r="H283" s="883"/>
      <c r="I283" s="883"/>
      <c r="J283" s="883"/>
      <c r="K283" s="883"/>
      <c r="L283" s="883"/>
      <c r="M283" s="883"/>
      <c r="N283" s="883"/>
      <c r="O283" s="883"/>
      <c r="P283" s="883"/>
      <c r="Q283" s="883"/>
      <c r="R283" s="883"/>
      <c r="S283" s="883"/>
      <c r="T283" s="883"/>
      <c r="U283" s="883"/>
      <c r="V283" s="883"/>
      <c r="W283" s="883"/>
      <c r="X283" s="883"/>
      <c r="Y283" s="883"/>
      <c r="Z283" s="883"/>
      <c r="AA283" s="883"/>
      <c r="AB283" s="274"/>
      <c r="AC283" s="289"/>
      <c r="AD283" s="885" t="str">
        <f t="shared" si="105"/>
        <v/>
      </c>
      <c r="AE283" s="885"/>
      <c r="AF283" s="885"/>
      <c r="AG283" s="885"/>
      <c r="AH283" s="9"/>
      <c r="AI283" s="288" t="str">
        <f t="shared" ref="AI283:AL283" si="112">IF(AI13="","",AI13)</f>
        <v/>
      </c>
      <c r="AJ283" s="13" t="str">
        <f t="shared" si="112"/>
        <v/>
      </c>
      <c r="AK283" s="288" t="str">
        <f t="shared" si="112"/>
        <v/>
      </c>
      <c r="AL283" s="13" t="str">
        <f t="shared" si="112"/>
        <v/>
      </c>
      <c r="AM283" s="672"/>
      <c r="AN283" s="672"/>
      <c r="AO283" s="289"/>
      <c r="AP283" s="273" t="str">
        <f t="shared" ref="AP283:AS283" si="113">IF(AP13="","",AP13)</f>
        <v/>
      </c>
      <c r="AQ283" s="13" t="str">
        <f t="shared" si="113"/>
        <v/>
      </c>
      <c r="AR283" s="273" t="str">
        <f t="shared" si="113"/>
        <v/>
      </c>
      <c r="AS283" s="13" t="str">
        <f t="shared" si="113"/>
        <v/>
      </c>
      <c r="AT283" s="672"/>
      <c r="AU283" s="672"/>
      <c r="AV283" s="13"/>
      <c r="AW283" s="746" t="str">
        <f t="shared" si="108"/>
        <v/>
      </c>
      <c r="AX283" s="746"/>
      <c r="AY283" s="417"/>
      <c r="AZ283" s="13"/>
      <c r="BA283" s="417"/>
      <c r="BB283" s="13"/>
      <c r="BC283" s="672"/>
      <c r="BD283" s="672"/>
      <c r="BE283" s="10"/>
      <c r="BF283" s="10"/>
      <c r="BG283" s="13" t="s">
        <v>142</v>
      </c>
      <c r="BH283" s="884" t="str">
        <f t="shared" si="109"/>
        <v/>
      </c>
      <c r="BI283" s="884"/>
      <c r="BJ283" s="590"/>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row>
    <row r="284" spans="1:178" ht="12.75">
      <c r="A284" s="74"/>
      <c r="B284" s="288" t="str">
        <f t="shared" si="99"/>
        <v/>
      </c>
      <c r="C284" s="9"/>
      <c r="D284" s="288" t="str">
        <f t="shared" si="103"/>
        <v/>
      </c>
      <c r="E284" s="274"/>
      <c r="F284" s="883" t="str">
        <f t="shared" si="104"/>
        <v/>
      </c>
      <c r="G284" s="883"/>
      <c r="H284" s="883"/>
      <c r="I284" s="883"/>
      <c r="J284" s="883"/>
      <c r="K284" s="883"/>
      <c r="L284" s="883"/>
      <c r="M284" s="883"/>
      <c r="N284" s="883"/>
      <c r="O284" s="883"/>
      <c r="P284" s="883"/>
      <c r="Q284" s="883"/>
      <c r="R284" s="883"/>
      <c r="S284" s="883"/>
      <c r="T284" s="883"/>
      <c r="U284" s="883"/>
      <c r="V284" s="883"/>
      <c r="W284" s="883"/>
      <c r="X284" s="883"/>
      <c r="Y284" s="883"/>
      <c r="Z284" s="883"/>
      <c r="AA284" s="883"/>
      <c r="AB284" s="274"/>
      <c r="AC284" s="289"/>
      <c r="AD284" s="885" t="str">
        <f t="shared" si="105"/>
        <v/>
      </c>
      <c r="AE284" s="885"/>
      <c r="AF284" s="885"/>
      <c r="AG284" s="885"/>
      <c r="AH284" s="9"/>
      <c r="AI284" s="288" t="str">
        <f t="shared" ref="AI284:AL284" si="114">IF(AI14="","",AI14)</f>
        <v/>
      </c>
      <c r="AJ284" s="13" t="str">
        <f t="shared" si="114"/>
        <v/>
      </c>
      <c r="AK284" s="288" t="str">
        <f t="shared" si="114"/>
        <v/>
      </c>
      <c r="AL284" s="13" t="str">
        <f t="shared" si="114"/>
        <v/>
      </c>
      <c r="AM284" s="672"/>
      <c r="AN284" s="672"/>
      <c r="AO284" s="289"/>
      <c r="AP284" s="273" t="str">
        <f t="shared" ref="AP284:AS284" si="115">IF(AP14="","",AP14)</f>
        <v/>
      </c>
      <c r="AQ284" s="13" t="str">
        <f t="shared" si="115"/>
        <v/>
      </c>
      <c r="AR284" s="273" t="str">
        <f t="shared" si="115"/>
        <v/>
      </c>
      <c r="AS284" s="13" t="str">
        <f t="shared" si="115"/>
        <v/>
      </c>
      <c r="AT284" s="672"/>
      <c r="AU284" s="672"/>
      <c r="AV284" s="13"/>
      <c r="AW284" s="746" t="str">
        <f t="shared" si="108"/>
        <v/>
      </c>
      <c r="AX284" s="746"/>
      <c r="AY284" s="417"/>
      <c r="AZ284" s="13"/>
      <c r="BA284" s="417"/>
      <c r="BB284" s="13"/>
      <c r="BC284" s="672"/>
      <c r="BD284" s="672"/>
      <c r="BE284" s="10"/>
      <c r="BF284" s="10"/>
      <c r="BG284" s="13" t="s">
        <v>142</v>
      </c>
      <c r="BH284" s="884" t="str">
        <f t="shared" si="109"/>
        <v/>
      </c>
      <c r="BI284" s="884"/>
      <c r="BJ284" s="590"/>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row>
    <row r="285" spans="1:178" ht="12.75">
      <c r="A285" s="74"/>
      <c r="B285" s="288" t="str">
        <f t="shared" si="99"/>
        <v/>
      </c>
      <c r="C285" s="9"/>
      <c r="D285" s="288" t="str">
        <f t="shared" si="103"/>
        <v/>
      </c>
      <c r="E285" s="274"/>
      <c r="F285" s="883" t="str">
        <f t="shared" si="104"/>
        <v/>
      </c>
      <c r="G285" s="883"/>
      <c r="H285" s="883"/>
      <c r="I285" s="883"/>
      <c r="J285" s="883"/>
      <c r="K285" s="883"/>
      <c r="L285" s="883"/>
      <c r="M285" s="883"/>
      <c r="N285" s="883"/>
      <c r="O285" s="883"/>
      <c r="P285" s="883"/>
      <c r="Q285" s="883"/>
      <c r="R285" s="883"/>
      <c r="S285" s="883"/>
      <c r="T285" s="883"/>
      <c r="U285" s="883"/>
      <c r="V285" s="883"/>
      <c r="W285" s="883"/>
      <c r="X285" s="883"/>
      <c r="Y285" s="883"/>
      <c r="Z285" s="883"/>
      <c r="AA285" s="883"/>
      <c r="AB285" s="274"/>
      <c r="AC285" s="289"/>
      <c r="AD285" s="885" t="str">
        <f t="shared" si="105"/>
        <v/>
      </c>
      <c r="AE285" s="885"/>
      <c r="AF285" s="885"/>
      <c r="AG285" s="885"/>
      <c r="AH285" s="9"/>
      <c r="AI285" s="288" t="str">
        <f t="shared" ref="AI285:AL285" si="116">IF(AI15="","",AI15)</f>
        <v/>
      </c>
      <c r="AJ285" s="13" t="str">
        <f t="shared" si="116"/>
        <v/>
      </c>
      <c r="AK285" s="288" t="str">
        <f t="shared" si="116"/>
        <v/>
      </c>
      <c r="AL285" s="13" t="str">
        <f t="shared" si="116"/>
        <v/>
      </c>
      <c r="AM285" s="672"/>
      <c r="AN285" s="672"/>
      <c r="AO285" s="289"/>
      <c r="AP285" s="273" t="str">
        <f t="shared" ref="AP285:AS285" si="117">IF(AP15="","",AP15)</f>
        <v/>
      </c>
      <c r="AQ285" s="13" t="str">
        <f t="shared" si="117"/>
        <v/>
      </c>
      <c r="AR285" s="273" t="str">
        <f t="shared" si="117"/>
        <v/>
      </c>
      <c r="AS285" s="13" t="str">
        <f t="shared" si="117"/>
        <v/>
      </c>
      <c r="AT285" s="672"/>
      <c r="AU285" s="672"/>
      <c r="AV285" s="13"/>
      <c r="AW285" s="746" t="str">
        <f t="shared" si="108"/>
        <v/>
      </c>
      <c r="AX285" s="746"/>
      <c r="AY285" s="417"/>
      <c r="AZ285" s="13"/>
      <c r="BA285" s="417"/>
      <c r="BB285" s="13"/>
      <c r="BC285" s="672"/>
      <c r="BD285" s="672"/>
      <c r="BE285" s="10"/>
      <c r="BF285" s="10"/>
      <c r="BG285" s="13" t="s">
        <v>142</v>
      </c>
      <c r="BH285" s="884" t="str">
        <f t="shared" si="109"/>
        <v/>
      </c>
      <c r="BI285" s="884"/>
      <c r="BJ285" s="590"/>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row>
    <row r="286" spans="1:178" ht="12.75">
      <c r="A286" s="74"/>
      <c r="B286" s="288" t="str">
        <f t="shared" si="99"/>
        <v/>
      </c>
      <c r="C286" s="9"/>
      <c r="D286" s="288" t="str">
        <f t="shared" si="103"/>
        <v/>
      </c>
      <c r="E286" s="274"/>
      <c r="F286" s="883" t="str">
        <f t="shared" si="104"/>
        <v/>
      </c>
      <c r="G286" s="883"/>
      <c r="H286" s="883"/>
      <c r="I286" s="883"/>
      <c r="J286" s="883"/>
      <c r="K286" s="883"/>
      <c r="L286" s="883"/>
      <c r="M286" s="883"/>
      <c r="N286" s="883"/>
      <c r="O286" s="883"/>
      <c r="P286" s="883"/>
      <c r="Q286" s="883"/>
      <c r="R286" s="883"/>
      <c r="S286" s="883"/>
      <c r="T286" s="883"/>
      <c r="U286" s="883"/>
      <c r="V286" s="883"/>
      <c r="W286" s="883"/>
      <c r="X286" s="883"/>
      <c r="Y286" s="883"/>
      <c r="Z286" s="883"/>
      <c r="AA286" s="883"/>
      <c r="AB286" s="274"/>
      <c r="AC286" s="289"/>
      <c r="AD286" s="885" t="str">
        <f t="shared" si="105"/>
        <v/>
      </c>
      <c r="AE286" s="885"/>
      <c r="AF286" s="885"/>
      <c r="AG286" s="885"/>
      <c r="AH286" s="9"/>
      <c r="AI286" s="288" t="str">
        <f t="shared" ref="AI286:AL286" si="118">IF(AI16="","",AI16)</f>
        <v/>
      </c>
      <c r="AJ286" s="13" t="str">
        <f t="shared" si="118"/>
        <v/>
      </c>
      <c r="AK286" s="288" t="str">
        <f t="shared" si="118"/>
        <v/>
      </c>
      <c r="AL286" s="13" t="str">
        <f t="shared" si="118"/>
        <v/>
      </c>
      <c r="AM286" s="672"/>
      <c r="AN286" s="672"/>
      <c r="AO286" s="289"/>
      <c r="AP286" s="273" t="str">
        <f t="shared" ref="AP286:AS286" si="119">IF(AP16="","",AP16)</f>
        <v/>
      </c>
      <c r="AQ286" s="13" t="str">
        <f t="shared" si="119"/>
        <v/>
      </c>
      <c r="AR286" s="273" t="str">
        <f t="shared" si="119"/>
        <v/>
      </c>
      <c r="AS286" s="13" t="str">
        <f t="shared" si="119"/>
        <v/>
      </c>
      <c r="AT286" s="672"/>
      <c r="AU286" s="672"/>
      <c r="AV286" s="13"/>
      <c r="AW286" s="746" t="str">
        <f t="shared" si="108"/>
        <v/>
      </c>
      <c r="AX286" s="746"/>
      <c r="AY286" s="417"/>
      <c r="AZ286" s="13"/>
      <c r="BA286" s="417"/>
      <c r="BB286" s="13"/>
      <c r="BC286" s="672"/>
      <c r="BD286" s="672"/>
      <c r="BE286" s="10"/>
      <c r="BF286" s="10"/>
      <c r="BG286" s="13" t="s">
        <v>142</v>
      </c>
      <c r="BH286" s="884" t="str">
        <f t="shared" si="109"/>
        <v/>
      </c>
      <c r="BI286" s="884"/>
      <c r="BJ286" s="590"/>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row>
    <row r="287" spans="1:178" ht="12.75">
      <c r="A287" s="74"/>
      <c r="B287" s="288" t="str">
        <f t="shared" si="99"/>
        <v/>
      </c>
      <c r="C287" s="9"/>
      <c r="D287" s="288" t="str">
        <f t="shared" si="103"/>
        <v/>
      </c>
      <c r="E287" s="274"/>
      <c r="F287" s="883" t="str">
        <f t="shared" si="104"/>
        <v/>
      </c>
      <c r="G287" s="883"/>
      <c r="H287" s="883"/>
      <c r="I287" s="883"/>
      <c r="J287" s="883"/>
      <c r="K287" s="883"/>
      <c r="L287" s="883"/>
      <c r="M287" s="883"/>
      <c r="N287" s="883"/>
      <c r="O287" s="883"/>
      <c r="P287" s="883"/>
      <c r="Q287" s="883"/>
      <c r="R287" s="883"/>
      <c r="S287" s="883"/>
      <c r="T287" s="883"/>
      <c r="U287" s="883"/>
      <c r="V287" s="883"/>
      <c r="W287" s="883"/>
      <c r="X287" s="883"/>
      <c r="Y287" s="883"/>
      <c r="Z287" s="883"/>
      <c r="AA287" s="883"/>
      <c r="AB287" s="274"/>
      <c r="AC287" s="289"/>
      <c r="AD287" s="885" t="str">
        <f t="shared" si="105"/>
        <v/>
      </c>
      <c r="AE287" s="885"/>
      <c r="AF287" s="885"/>
      <c r="AG287" s="885"/>
      <c r="AH287" s="9"/>
      <c r="AI287" s="288" t="str">
        <f t="shared" ref="AI287:AL287" si="120">IF(AI17="","",AI17)</f>
        <v/>
      </c>
      <c r="AJ287" s="13" t="str">
        <f t="shared" si="120"/>
        <v/>
      </c>
      <c r="AK287" s="288" t="str">
        <f t="shared" si="120"/>
        <v/>
      </c>
      <c r="AL287" s="13" t="str">
        <f t="shared" si="120"/>
        <v/>
      </c>
      <c r="AM287" s="672"/>
      <c r="AN287" s="672"/>
      <c r="AO287" s="289"/>
      <c r="AP287" s="273" t="str">
        <f t="shared" ref="AP287:AS287" si="121">IF(AP17="","",AP17)</f>
        <v/>
      </c>
      <c r="AQ287" s="13" t="str">
        <f t="shared" si="121"/>
        <v/>
      </c>
      <c r="AR287" s="273" t="str">
        <f t="shared" si="121"/>
        <v/>
      </c>
      <c r="AS287" s="13" t="str">
        <f t="shared" si="121"/>
        <v/>
      </c>
      <c r="AT287" s="672"/>
      <c r="AU287" s="672"/>
      <c r="AV287" s="13"/>
      <c r="AW287" s="746" t="str">
        <f t="shared" si="108"/>
        <v/>
      </c>
      <c r="AX287" s="746"/>
      <c r="AY287" s="417"/>
      <c r="AZ287" s="13"/>
      <c r="BA287" s="417"/>
      <c r="BB287" s="13"/>
      <c r="BC287" s="672"/>
      <c r="BD287" s="672"/>
      <c r="BE287" s="10"/>
      <c r="BF287" s="10"/>
      <c r="BG287" s="13" t="s">
        <v>142</v>
      </c>
      <c r="BH287" s="884" t="str">
        <f t="shared" si="109"/>
        <v/>
      </c>
      <c r="BI287" s="884"/>
      <c r="BJ287" s="590"/>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row>
    <row r="288" spans="1:178" ht="12.75">
      <c r="A288" s="74"/>
      <c r="B288" s="288" t="str">
        <f t="shared" si="99"/>
        <v/>
      </c>
      <c r="C288" s="9"/>
      <c r="D288" s="288" t="str">
        <f t="shared" si="103"/>
        <v/>
      </c>
      <c r="E288" s="274"/>
      <c r="F288" s="883" t="str">
        <f t="shared" si="104"/>
        <v/>
      </c>
      <c r="G288" s="883"/>
      <c r="H288" s="883"/>
      <c r="I288" s="883"/>
      <c r="J288" s="883"/>
      <c r="K288" s="883"/>
      <c r="L288" s="883"/>
      <c r="M288" s="883"/>
      <c r="N288" s="883"/>
      <c r="O288" s="883"/>
      <c r="P288" s="883"/>
      <c r="Q288" s="883"/>
      <c r="R288" s="883"/>
      <c r="S288" s="883"/>
      <c r="T288" s="883"/>
      <c r="U288" s="883"/>
      <c r="V288" s="883"/>
      <c r="W288" s="883"/>
      <c r="X288" s="883"/>
      <c r="Y288" s="883"/>
      <c r="Z288" s="883"/>
      <c r="AA288" s="883"/>
      <c r="AB288" s="274"/>
      <c r="AC288" s="289"/>
      <c r="AD288" s="885" t="str">
        <f t="shared" si="105"/>
        <v/>
      </c>
      <c r="AE288" s="885"/>
      <c r="AF288" s="885"/>
      <c r="AG288" s="885"/>
      <c r="AH288" s="9"/>
      <c r="AI288" s="288" t="str">
        <f t="shared" ref="AI288:AL288" si="122">IF(AI18="","",AI18)</f>
        <v/>
      </c>
      <c r="AJ288" s="13" t="str">
        <f t="shared" si="122"/>
        <v/>
      </c>
      <c r="AK288" s="288" t="str">
        <f t="shared" si="122"/>
        <v/>
      </c>
      <c r="AL288" s="13" t="str">
        <f t="shared" si="122"/>
        <v/>
      </c>
      <c r="AM288" s="672"/>
      <c r="AN288" s="672"/>
      <c r="AO288" s="289"/>
      <c r="AP288" s="273" t="str">
        <f t="shared" ref="AP288:AS288" si="123">IF(AP18="","",AP18)</f>
        <v/>
      </c>
      <c r="AQ288" s="13" t="str">
        <f t="shared" si="123"/>
        <v/>
      </c>
      <c r="AR288" s="273" t="str">
        <f t="shared" si="123"/>
        <v/>
      </c>
      <c r="AS288" s="13" t="str">
        <f t="shared" si="123"/>
        <v/>
      </c>
      <c r="AT288" s="672"/>
      <c r="AU288" s="672"/>
      <c r="AV288" s="13"/>
      <c r="AW288" s="746" t="str">
        <f t="shared" si="108"/>
        <v/>
      </c>
      <c r="AX288" s="746"/>
      <c r="AY288" s="417"/>
      <c r="AZ288" s="13"/>
      <c r="BA288" s="417"/>
      <c r="BB288" s="13"/>
      <c r="BC288" s="672"/>
      <c r="BD288" s="672"/>
      <c r="BE288" s="10"/>
      <c r="BF288" s="10"/>
      <c r="BG288" s="13" t="s">
        <v>142</v>
      </c>
      <c r="BH288" s="884" t="str">
        <f t="shared" si="109"/>
        <v/>
      </c>
      <c r="BI288" s="884"/>
      <c r="BJ288" s="590"/>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c r="CK288" s="94"/>
      <c r="CL288" s="94"/>
      <c r="CM288" s="94"/>
      <c r="CN288" s="94"/>
      <c r="CO288" s="94"/>
      <c r="CP288" s="94"/>
      <c r="CQ288" s="94"/>
      <c r="CR288" s="94"/>
      <c r="CS288" s="94"/>
      <c r="CT288" s="94"/>
      <c r="CU288" s="94"/>
      <c r="CV288" s="94"/>
      <c r="CW288" s="94"/>
      <c r="CX288" s="94"/>
      <c r="CY288" s="94"/>
      <c r="CZ288" s="94"/>
    </row>
    <row r="289" spans="1:178" ht="12.75">
      <c r="A289" s="74"/>
      <c r="B289" s="288" t="str">
        <f t="shared" si="99"/>
        <v/>
      </c>
      <c r="C289" s="9"/>
      <c r="D289" s="288" t="str">
        <f t="shared" si="103"/>
        <v/>
      </c>
      <c r="E289" s="274"/>
      <c r="F289" s="883" t="str">
        <f t="shared" si="104"/>
        <v/>
      </c>
      <c r="G289" s="883"/>
      <c r="H289" s="883"/>
      <c r="I289" s="883"/>
      <c r="J289" s="883"/>
      <c r="K289" s="883"/>
      <c r="L289" s="883"/>
      <c r="M289" s="883"/>
      <c r="N289" s="883"/>
      <c r="O289" s="883"/>
      <c r="P289" s="883"/>
      <c r="Q289" s="883"/>
      <c r="R289" s="883"/>
      <c r="S289" s="883"/>
      <c r="T289" s="883"/>
      <c r="U289" s="883"/>
      <c r="V289" s="883"/>
      <c r="W289" s="883"/>
      <c r="X289" s="883"/>
      <c r="Y289" s="883"/>
      <c r="Z289" s="883"/>
      <c r="AA289" s="883"/>
      <c r="AB289" s="274"/>
      <c r="AC289" s="289"/>
      <c r="AD289" s="885" t="str">
        <f t="shared" si="105"/>
        <v/>
      </c>
      <c r="AE289" s="885"/>
      <c r="AF289" s="885"/>
      <c r="AG289" s="885"/>
      <c r="AH289" s="9"/>
      <c r="AI289" s="288" t="str">
        <f t="shared" ref="AI289:AL290" si="124">IF(AI19="","",AI19)</f>
        <v/>
      </c>
      <c r="AJ289" s="13" t="str">
        <f t="shared" si="124"/>
        <v/>
      </c>
      <c r="AK289" s="288" t="str">
        <f t="shared" si="124"/>
        <v/>
      </c>
      <c r="AL289" s="13" t="str">
        <f t="shared" si="124"/>
        <v/>
      </c>
      <c r="AM289" s="672"/>
      <c r="AN289" s="672"/>
      <c r="AO289" s="289"/>
      <c r="AP289" s="273" t="str">
        <f t="shared" ref="AP289:AS290" si="125">IF(AP19="","",AP19)</f>
        <v/>
      </c>
      <c r="AQ289" s="13" t="str">
        <f t="shared" si="125"/>
        <v/>
      </c>
      <c r="AR289" s="273" t="str">
        <f t="shared" si="125"/>
        <v/>
      </c>
      <c r="AS289" s="13" t="str">
        <f t="shared" si="125"/>
        <v/>
      </c>
      <c r="AT289" s="672"/>
      <c r="AU289" s="672"/>
      <c r="AV289" s="13"/>
      <c r="AW289" s="746" t="str">
        <f t="shared" si="108"/>
        <v/>
      </c>
      <c r="AX289" s="746"/>
      <c r="AY289" s="417"/>
      <c r="AZ289" s="13"/>
      <c r="BA289" s="417"/>
      <c r="BB289" s="13"/>
      <c r="BC289" s="672"/>
      <c r="BD289" s="672"/>
      <c r="BE289" s="10"/>
      <c r="BF289" s="10"/>
      <c r="BG289" s="13" t="s">
        <v>142</v>
      </c>
      <c r="BH289" s="884" t="str">
        <f t="shared" si="109"/>
        <v/>
      </c>
      <c r="BI289" s="884"/>
      <c r="BJ289" s="590"/>
      <c r="BO289" s="94"/>
      <c r="BP289" s="94"/>
      <c r="BQ289" s="94"/>
      <c r="BR289" s="94"/>
      <c r="BS289" s="94"/>
      <c r="BT289" s="94"/>
      <c r="BU289" s="94"/>
      <c r="BV289" s="94"/>
      <c r="BW289" s="94"/>
      <c r="BX289" s="94"/>
      <c r="BY289" s="94"/>
      <c r="BZ289" s="94"/>
      <c r="CA289" s="94"/>
      <c r="CB289" s="94"/>
      <c r="CC289" s="94"/>
      <c r="CD289" s="94"/>
      <c r="CE289" s="94"/>
      <c r="CF289" s="94"/>
      <c r="CG289" s="94"/>
      <c r="CH289" s="94"/>
      <c r="CI289" s="94"/>
      <c r="CJ289" s="94"/>
      <c r="CK289" s="94"/>
      <c r="CL289" s="94"/>
      <c r="CM289" s="94"/>
      <c r="CN289" s="94"/>
      <c r="CO289" s="94"/>
      <c r="CP289" s="94"/>
      <c r="CQ289" s="94"/>
      <c r="CR289" s="94"/>
      <c r="CS289" s="94"/>
      <c r="CT289" s="94"/>
      <c r="CU289" s="94"/>
      <c r="CV289" s="94"/>
      <c r="CW289" s="94"/>
      <c r="CX289" s="94"/>
      <c r="CY289" s="94"/>
      <c r="CZ289" s="94"/>
    </row>
    <row r="290" spans="1:178" ht="12.75">
      <c r="A290" s="74"/>
      <c r="B290" s="288" t="str">
        <f t="shared" si="99"/>
        <v/>
      </c>
      <c r="C290" s="9"/>
      <c r="D290" s="288" t="str">
        <f t="shared" si="103"/>
        <v/>
      </c>
      <c r="E290" s="274"/>
      <c r="F290" s="883" t="str">
        <f t="shared" si="104"/>
        <v/>
      </c>
      <c r="G290" s="883"/>
      <c r="H290" s="883"/>
      <c r="I290" s="883"/>
      <c r="J290" s="883"/>
      <c r="K290" s="883"/>
      <c r="L290" s="883"/>
      <c r="M290" s="883"/>
      <c r="N290" s="883"/>
      <c r="O290" s="883"/>
      <c r="P290" s="883"/>
      <c r="Q290" s="883"/>
      <c r="R290" s="883"/>
      <c r="S290" s="883"/>
      <c r="T290" s="883"/>
      <c r="U290" s="883"/>
      <c r="V290" s="883"/>
      <c r="W290" s="883"/>
      <c r="X290" s="883"/>
      <c r="Y290" s="883"/>
      <c r="Z290" s="883"/>
      <c r="AA290" s="883"/>
      <c r="AB290" s="274"/>
      <c r="AC290" s="289"/>
      <c r="AD290" s="885" t="str">
        <f t="shared" si="105"/>
        <v/>
      </c>
      <c r="AE290" s="885"/>
      <c r="AF290" s="885"/>
      <c r="AG290" s="885"/>
      <c r="AH290" s="9"/>
      <c r="AI290" s="288" t="str">
        <f t="shared" si="124"/>
        <v/>
      </c>
      <c r="AJ290" s="13" t="str">
        <f t="shared" si="124"/>
        <v/>
      </c>
      <c r="AK290" s="288" t="str">
        <f t="shared" si="124"/>
        <v/>
      </c>
      <c r="AL290" s="13" t="str">
        <f t="shared" si="124"/>
        <v/>
      </c>
      <c r="AM290" s="672"/>
      <c r="AN290" s="672"/>
      <c r="AO290" s="289"/>
      <c r="AP290" s="273" t="str">
        <f t="shared" si="125"/>
        <v/>
      </c>
      <c r="AQ290" s="13" t="str">
        <f t="shared" si="125"/>
        <v/>
      </c>
      <c r="AR290" s="273" t="str">
        <f t="shared" si="125"/>
        <v/>
      </c>
      <c r="AS290" s="13" t="str">
        <f t="shared" si="125"/>
        <v/>
      </c>
      <c r="AT290" s="672"/>
      <c r="AU290" s="672"/>
      <c r="AV290" s="13"/>
      <c r="AW290" s="746" t="str">
        <f t="shared" si="108"/>
        <v/>
      </c>
      <c r="AX290" s="746"/>
      <c r="AY290" s="417"/>
      <c r="AZ290" s="13"/>
      <c r="BA290" s="417"/>
      <c r="BB290" s="13"/>
      <c r="BC290" s="672"/>
      <c r="BD290" s="672"/>
      <c r="BE290" s="10"/>
      <c r="BF290" s="10"/>
      <c r="BG290" s="13" t="s">
        <v>142</v>
      </c>
      <c r="BH290" s="884" t="str">
        <f t="shared" si="109"/>
        <v/>
      </c>
      <c r="BI290" s="884"/>
      <c r="BJ290" s="590"/>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row>
    <row r="291" spans="1:178" ht="13.5" thickBot="1">
      <c r="A291" s="76"/>
      <c r="B291" s="651"/>
      <c r="C291" s="276"/>
      <c r="D291" s="651"/>
      <c r="E291" s="651"/>
      <c r="F291" s="652"/>
      <c r="G291" s="652"/>
      <c r="H291" s="652"/>
      <c r="I291" s="652"/>
      <c r="J291" s="652"/>
      <c r="K291" s="652"/>
      <c r="L291" s="652"/>
      <c r="M291" s="652"/>
      <c r="N291" s="652"/>
      <c r="O291" s="652"/>
      <c r="P291" s="652"/>
      <c r="Q291" s="653"/>
      <c r="R291" s="651"/>
      <c r="S291" s="651"/>
      <c r="T291" s="651"/>
      <c r="U291" s="651"/>
      <c r="V291" s="654"/>
      <c r="W291" s="651"/>
      <c r="X291" s="651"/>
      <c r="Y291" s="651"/>
      <c r="Z291" s="651"/>
      <c r="AA291" s="651"/>
      <c r="AB291" s="651"/>
      <c r="AC291" s="654"/>
      <c r="AD291" s="655"/>
      <c r="AE291" s="655"/>
      <c r="AF291" s="655"/>
      <c r="AG291" s="655"/>
      <c r="AH291" s="276"/>
      <c r="AI291" s="651"/>
      <c r="AJ291" s="656"/>
      <c r="AK291" s="651"/>
      <c r="AL291" s="656"/>
      <c r="AM291" s="656"/>
      <c r="AN291" s="656"/>
      <c r="AO291" s="654"/>
      <c r="AP291" s="657"/>
      <c r="AQ291" s="656"/>
      <c r="AR291" s="657"/>
      <c r="AS291" s="656"/>
      <c r="AT291" s="656"/>
      <c r="AU291" s="656"/>
      <c r="AV291" s="656"/>
      <c r="AW291" s="658"/>
      <c r="AX291" s="658"/>
      <c r="AY291" s="657"/>
      <c r="AZ291" s="656"/>
      <c r="BA291" s="657"/>
      <c r="BB291" s="656"/>
      <c r="BC291" s="656"/>
      <c r="BD291" s="656"/>
      <c r="BE291" s="658"/>
      <c r="BF291" s="658"/>
      <c r="BG291" s="656"/>
      <c r="BH291" s="659"/>
      <c r="BI291" s="659"/>
      <c r="BJ291" s="660"/>
      <c r="BO291" s="102"/>
      <c r="BP291" s="102"/>
      <c r="BQ291" s="102"/>
      <c r="BR291" s="102"/>
      <c r="BS291" s="102"/>
      <c r="BT291" s="102"/>
      <c r="BU291" s="102"/>
      <c r="BV291" s="102"/>
      <c r="BW291" s="102"/>
      <c r="BX291" s="102"/>
      <c r="BY291" s="94"/>
      <c r="BZ291" s="94"/>
      <c r="CA291" s="94"/>
      <c r="CB291" s="94"/>
      <c r="CC291" s="94"/>
      <c r="CD291" s="94"/>
      <c r="CE291" s="94"/>
      <c r="CF291" s="94"/>
      <c r="CG291" s="94"/>
      <c r="CH291" s="94"/>
      <c r="CI291" s="94"/>
      <c r="CJ291" s="94"/>
      <c r="CK291" s="94"/>
      <c r="CL291" s="94"/>
      <c r="CM291" s="94"/>
      <c r="CN291" s="94"/>
      <c r="CO291" s="94"/>
      <c r="CP291" s="94"/>
      <c r="CQ291" s="94"/>
      <c r="CR291" s="94"/>
      <c r="CS291" s="94"/>
      <c r="CT291" s="94"/>
      <c r="CU291" s="94"/>
      <c r="CV291" s="94"/>
      <c r="CW291" s="94"/>
      <c r="CX291" s="94"/>
      <c r="CY291" s="94"/>
      <c r="CZ291" s="94"/>
    </row>
    <row r="292" spans="1:178" ht="12.75">
      <c r="B292" s="274"/>
      <c r="C292" s="9"/>
      <c r="D292" s="274"/>
      <c r="E292" s="274"/>
      <c r="F292" s="415"/>
      <c r="G292" s="415"/>
      <c r="H292" s="415"/>
      <c r="I292" s="415"/>
      <c r="J292" s="415"/>
      <c r="K292" s="415"/>
      <c r="L292" s="415"/>
      <c r="M292" s="415"/>
      <c r="N292" s="415"/>
      <c r="O292" s="415"/>
      <c r="P292" s="415"/>
      <c r="Q292" s="284"/>
      <c r="R292" s="274"/>
      <c r="S292" s="274"/>
      <c r="T292" s="274"/>
      <c r="U292" s="274"/>
      <c r="V292" s="289"/>
      <c r="W292" s="274"/>
      <c r="X292" s="274"/>
      <c r="Y292" s="274"/>
      <c r="Z292" s="274"/>
      <c r="AA292" s="274"/>
      <c r="AB292" s="274"/>
      <c r="AC292" s="289"/>
      <c r="AD292" s="416"/>
      <c r="AE292" s="416"/>
      <c r="AF292" s="416"/>
      <c r="AG292" s="416"/>
      <c r="AH292" s="9"/>
      <c r="AI292" s="274"/>
      <c r="AJ292" s="13"/>
      <c r="AK292" s="274"/>
      <c r="AL292" s="13"/>
      <c r="AM292" s="672"/>
      <c r="AN292" s="672"/>
      <c r="AO292" s="289"/>
      <c r="AP292" s="417"/>
      <c r="AQ292" s="13"/>
      <c r="AR292" s="417"/>
      <c r="AS292" s="13"/>
      <c r="AT292" s="672"/>
      <c r="AU292" s="672"/>
      <c r="AV292" s="13"/>
      <c r="AW292" s="10"/>
      <c r="AX292" s="10"/>
      <c r="AY292" s="417"/>
      <c r="AZ292" s="13"/>
      <c r="BA292" s="417"/>
      <c r="BB292" s="13"/>
      <c r="BC292" s="672"/>
      <c r="BD292" s="672"/>
      <c r="BE292" s="10"/>
      <c r="BF292" s="10"/>
      <c r="BG292" s="13" t="s">
        <v>142</v>
      </c>
      <c r="BH292" s="884" t="str">
        <f t="shared" si="109"/>
        <v/>
      </c>
      <c r="BI292" s="884"/>
      <c r="BJ292" s="592"/>
      <c r="BO292" s="102"/>
      <c r="BP292" s="102"/>
      <c r="BQ292" s="102"/>
      <c r="BR292" s="102"/>
      <c r="BS292" s="102"/>
      <c r="BT292" s="102"/>
      <c r="BU292" s="102"/>
      <c r="BV292" s="102"/>
      <c r="BW292" s="102"/>
      <c r="BX292" s="102"/>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row>
    <row r="293" spans="1:178" ht="16.5" thickBot="1">
      <c r="A293" s="80" t="str">
        <f>A23</f>
        <v>MF2 - Air Source Heat Pumps</v>
      </c>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280"/>
      <c r="BH293" s="20"/>
      <c r="BO293" s="94"/>
      <c r="BP293" s="94"/>
      <c r="BQ293" s="94"/>
      <c r="BR293" s="94"/>
      <c r="BS293" s="94"/>
      <c r="BT293" s="94"/>
      <c r="BU293" s="94"/>
      <c r="BV293" s="94"/>
      <c r="BW293" s="94"/>
      <c r="BX293" s="94"/>
      <c r="BY293" s="94"/>
      <c r="BZ293" s="94"/>
      <c r="CA293" s="94"/>
      <c r="CB293" s="94"/>
      <c r="CC293" s="94"/>
      <c r="CD293" s="94"/>
      <c r="CE293" s="94"/>
      <c r="CF293" s="94"/>
      <c r="CG293" s="94"/>
      <c r="CH293" s="94"/>
      <c r="CI293" s="94"/>
      <c r="CJ293" s="94"/>
      <c r="CK293" s="94"/>
      <c r="CL293" s="94"/>
      <c r="CM293" s="94"/>
      <c r="CN293" s="94"/>
      <c r="CO293" s="94"/>
      <c r="CP293" s="94"/>
      <c r="CQ293" s="94"/>
      <c r="CR293" s="94"/>
      <c r="CS293" s="94"/>
      <c r="CT293" s="94"/>
      <c r="CU293" s="94"/>
      <c r="CV293" s="94"/>
      <c r="CW293" s="94"/>
      <c r="CX293" s="94"/>
      <c r="CY293" s="94"/>
      <c r="CZ293" s="94"/>
    </row>
    <row r="294" spans="1:178" s="22" customFormat="1" ht="12.75" customHeight="1">
      <c r="A294" s="588"/>
      <c r="B294" s="573"/>
      <c r="C294" s="573"/>
      <c r="D294" s="573"/>
      <c r="E294" s="573"/>
      <c r="F294" s="573"/>
      <c r="G294" s="573"/>
      <c r="H294" s="573"/>
      <c r="I294" s="573"/>
      <c r="J294" s="573"/>
      <c r="K294" s="573"/>
      <c r="L294" s="573"/>
      <c r="M294" s="573"/>
      <c r="N294" s="573"/>
      <c r="O294" s="573"/>
      <c r="P294" s="573"/>
      <c r="Q294" s="573"/>
      <c r="R294" s="573"/>
      <c r="S294" s="573"/>
      <c r="T294" s="573"/>
      <c r="U294" s="573"/>
      <c r="V294" s="573"/>
      <c r="W294" s="573"/>
      <c r="X294" s="573"/>
      <c r="Y294" s="573"/>
      <c r="Z294" s="573"/>
      <c r="AA294" s="573"/>
      <c r="AB294" s="573"/>
      <c r="AC294" s="573"/>
      <c r="AD294" s="573"/>
      <c r="AE294" s="573"/>
      <c r="AF294" s="573"/>
      <c r="AG294" s="573"/>
      <c r="AH294" s="573"/>
      <c r="AI294" s="573"/>
      <c r="AJ294" s="573"/>
      <c r="AK294" s="573"/>
      <c r="AL294" s="573"/>
      <c r="AM294" s="674"/>
      <c r="AN294" s="674"/>
      <c r="AO294" s="573"/>
      <c r="AP294" s="887" t="s">
        <v>2655</v>
      </c>
      <c r="AQ294" s="887"/>
      <c r="AR294" s="887"/>
      <c r="AS294" s="887"/>
      <c r="AT294" s="887"/>
      <c r="AU294" s="887"/>
      <c r="AV294" s="887"/>
      <c r="AW294" s="887"/>
      <c r="AX294" s="887"/>
      <c r="AY294" s="887"/>
      <c r="AZ294" s="887"/>
      <c r="BA294" s="887"/>
      <c r="BB294" s="887"/>
      <c r="BC294" s="887"/>
      <c r="BD294" s="887"/>
      <c r="BE294" s="887"/>
      <c r="BF294" s="887"/>
      <c r="BG294" s="589"/>
      <c r="BH294" s="888" t="str">
        <f>IF(BG24="","",BG24)</f>
        <v>Incentive
(tons x $75 or $125)</v>
      </c>
      <c r="BI294" s="888"/>
      <c r="BJ294" s="267"/>
      <c r="BK294" s="1"/>
      <c r="BL294" s="1"/>
      <c r="BM294" s="1"/>
      <c r="BN294" s="1"/>
      <c r="BO294" s="94"/>
      <c r="BP294" s="94"/>
      <c r="BQ294" s="94"/>
      <c r="BR294" s="94"/>
      <c r="BS294" s="94"/>
      <c r="BT294" s="94"/>
      <c r="BU294" s="94"/>
      <c r="BV294" s="94"/>
      <c r="BW294" s="94"/>
      <c r="BX294" s="94"/>
      <c r="BY294" s="102"/>
      <c r="BZ294" s="102"/>
      <c r="CA294" s="102"/>
      <c r="CB294" s="102"/>
      <c r="CC294" s="102"/>
      <c r="CD294" s="102"/>
      <c r="CE294" s="102"/>
      <c r="CF294" s="102"/>
      <c r="CG294" s="102"/>
      <c r="CH294" s="102"/>
      <c r="CI294" s="102"/>
      <c r="CJ294" s="102"/>
      <c r="CK294" s="102"/>
      <c r="CL294" s="102"/>
      <c r="CM294" s="102"/>
      <c r="CN294" s="102"/>
      <c r="CO294" s="102"/>
      <c r="CP294" s="102"/>
      <c r="CQ294" s="102"/>
      <c r="CR294" s="102"/>
      <c r="CS294" s="102"/>
      <c r="CT294" s="102"/>
      <c r="CU294" s="102"/>
      <c r="CV294" s="102"/>
      <c r="CW294" s="102"/>
      <c r="CX294" s="102"/>
      <c r="CY294" s="102"/>
      <c r="CZ294" s="102"/>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row>
    <row r="295" spans="1:178" s="22" customFormat="1" ht="12.75" customHeight="1">
      <c r="A295" s="69"/>
      <c r="B295" s="284"/>
      <c r="C295" s="70"/>
      <c r="D295" s="284"/>
      <c r="E295" s="284"/>
      <c r="F295" s="285"/>
      <c r="G295" s="285"/>
      <c r="H295" s="285"/>
      <c r="I295" s="285"/>
      <c r="J295" s="285"/>
      <c r="K295" s="285"/>
      <c r="L295" s="285"/>
      <c r="M295" s="285"/>
      <c r="N295" s="285"/>
      <c r="O295" s="285"/>
      <c r="P295" s="285"/>
      <c r="Q295" s="284"/>
      <c r="R295" s="632"/>
      <c r="S295" s="632"/>
      <c r="T295" s="632"/>
      <c r="U295" s="632"/>
      <c r="V295" s="289"/>
      <c r="W295" s="781" t="str">
        <f>IF(W25="","",W25)</f>
        <v>Split or Single</v>
      </c>
      <c r="X295" s="781"/>
      <c r="Y295" s="781"/>
      <c r="Z295" s="781"/>
      <c r="AA295" s="781"/>
      <c r="AB295" s="781"/>
      <c r="AC295" s="289"/>
      <c r="AD295" s="289"/>
      <c r="AE295" s="289"/>
      <c r="AF295" s="289"/>
      <c r="AG295" s="289"/>
      <c r="AH295" s="71"/>
      <c r="AI295" s="71" t="str">
        <f t="shared" ref="AI295:AI296" si="126">IF(AI25="","",AI25)</f>
        <v>SEER</v>
      </c>
      <c r="AJ295" s="289"/>
      <c r="AK295" s="72" t="str">
        <f t="shared" ref="AK295:AM296" si="127">IF(AK25="","",AK25)</f>
        <v>EER</v>
      </c>
      <c r="AL295" s="289"/>
      <c r="AM295" s="72" t="str">
        <f t="shared" si="127"/>
        <v>HSPF</v>
      </c>
      <c r="AN295" s="289"/>
      <c r="AO295" s="289"/>
      <c r="AP295" s="880" t="str">
        <f>IF(AP25="","",AP25)</f>
        <v>Tier 1</v>
      </c>
      <c r="AQ295" s="880" t="str">
        <f t="shared" ref="AQ295:AX295" si="128">IF(AQ25="","",AQ25)</f>
        <v/>
      </c>
      <c r="AR295" s="880" t="str">
        <f t="shared" si="128"/>
        <v/>
      </c>
      <c r="AS295" s="880" t="str">
        <f t="shared" si="128"/>
        <v/>
      </c>
      <c r="AT295" s="880"/>
      <c r="AU295" s="880"/>
      <c r="AV295" s="880" t="str">
        <f t="shared" si="128"/>
        <v/>
      </c>
      <c r="AW295" s="880" t="str">
        <f t="shared" si="128"/>
        <v/>
      </c>
      <c r="AX295" s="880" t="str">
        <f t="shared" si="128"/>
        <v/>
      </c>
      <c r="AY295" s="880" t="str">
        <f>IF(AY25="","",AY25)</f>
        <v>Tier 2</v>
      </c>
      <c r="AZ295" s="880" t="str">
        <f t="shared" ref="AZ295:BG295" si="129">IF(AZ25="","",AZ25)</f>
        <v/>
      </c>
      <c r="BA295" s="880" t="str">
        <f t="shared" si="129"/>
        <v/>
      </c>
      <c r="BB295" s="880" t="str">
        <f t="shared" si="129"/>
        <v/>
      </c>
      <c r="BC295" s="880"/>
      <c r="BD295" s="880"/>
      <c r="BE295" s="880" t="str">
        <f t="shared" si="129"/>
        <v/>
      </c>
      <c r="BF295" s="880" t="str">
        <f t="shared" si="129"/>
        <v/>
      </c>
      <c r="BG295" s="880" t="str">
        <f t="shared" si="129"/>
        <v/>
      </c>
      <c r="BH295" s="736"/>
      <c r="BI295" s="736"/>
      <c r="BJ295" s="73"/>
      <c r="BK295" s="1"/>
      <c r="BL295" s="1"/>
      <c r="BM295" s="1"/>
      <c r="BN295" s="1"/>
      <c r="BO295" s="94"/>
      <c r="BP295" s="94"/>
      <c r="BQ295" s="94"/>
      <c r="BR295" s="94"/>
      <c r="BS295" s="94"/>
      <c r="BT295" s="94"/>
      <c r="BU295" s="94"/>
      <c r="BV295" s="94"/>
      <c r="BW295" s="94"/>
      <c r="BX295" s="94"/>
      <c r="BY295" s="102"/>
      <c r="BZ295" s="102"/>
      <c r="CA295" s="102"/>
      <c r="CB295" s="102"/>
      <c r="CC295" s="102"/>
      <c r="CD295" s="102"/>
      <c r="CE295" s="102"/>
      <c r="CF295" s="102"/>
      <c r="CG295" s="102"/>
      <c r="CH295" s="102"/>
      <c r="CI295" s="102"/>
      <c r="CJ295" s="102"/>
      <c r="CK295" s="102"/>
      <c r="CL295" s="102"/>
      <c r="CM295" s="102"/>
      <c r="CN295" s="102"/>
      <c r="CO295" s="102"/>
      <c r="CP295" s="102"/>
      <c r="CQ295" s="102"/>
      <c r="CR295" s="102"/>
      <c r="CS295" s="102"/>
      <c r="CT295" s="102"/>
      <c r="CU295" s="102"/>
      <c r="CV295" s="102"/>
      <c r="CW295" s="102"/>
      <c r="CX295" s="102"/>
      <c r="CY295" s="102"/>
      <c r="CZ295" s="102"/>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row>
    <row r="296" spans="1:178" s="22" customFormat="1" ht="27.6" customHeight="1">
      <c r="A296" s="69"/>
      <c r="B296" s="246" t="str">
        <f t="shared" si="99"/>
        <v>Qty</v>
      </c>
      <c r="C296" s="412"/>
      <c r="D296" s="246" t="str">
        <f t="shared" si="99"/>
        <v>Tons</v>
      </c>
      <c r="E296" s="246"/>
      <c r="F296" s="246" t="str">
        <f t="shared" si="99"/>
        <v>Description of Location</v>
      </c>
      <c r="G296" s="246"/>
      <c r="H296" s="246"/>
      <c r="I296" s="246"/>
      <c r="J296" s="246"/>
      <c r="K296" s="285"/>
      <c r="L296" s="285"/>
      <c r="M296" s="285"/>
      <c r="N296" s="285"/>
      <c r="O296" s="285"/>
      <c r="P296" s="285"/>
      <c r="Q296" s="284"/>
      <c r="R296" s="632"/>
      <c r="S296" s="632"/>
      <c r="T296" s="632"/>
      <c r="U296" s="632"/>
      <c r="V296" s="289"/>
      <c r="W296" s="781"/>
      <c r="X296" s="781"/>
      <c r="Y296" s="781"/>
      <c r="Z296" s="781"/>
      <c r="AA296" s="781"/>
      <c r="AB296" s="781"/>
      <c r="AC296" s="289"/>
      <c r="AD296" s="246" t="str">
        <f>IF(AD26="","",AD26)</f>
        <v>Model / Designation</v>
      </c>
      <c r="AE296" s="281"/>
      <c r="AF296" s="246"/>
      <c r="AG296" s="246"/>
      <c r="AH296" s="413"/>
      <c r="AI296" s="246" t="str">
        <f t="shared" si="126"/>
        <v>Actual Eff.</v>
      </c>
      <c r="AJ296" s="281"/>
      <c r="AK296" s="246" t="str">
        <f t="shared" si="127"/>
        <v>Actual Eff.</v>
      </c>
      <c r="AL296" s="281"/>
      <c r="AM296" s="246" t="str">
        <f t="shared" si="127"/>
        <v>Actual Eff.</v>
      </c>
      <c r="AN296" s="679"/>
      <c r="AO296" s="281"/>
      <c r="AP296" s="879" t="str">
        <f>IF(AP26="","",AP26)</f>
        <v>Air Source HP ($75/ton)</v>
      </c>
      <c r="AQ296" s="863"/>
      <c r="AR296" s="863"/>
      <c r="AS296" s="863"/>
      <c r="AT296" s="863"/>
      <c r="AU296" s="863"/>
      <c r="AV296" s="863"/>
      <c r="AW296" s="863"/>
      <c r="AX296" s="246"/>
      <c r="AY296" s="879" t="str">
        <f>IF(AY26="","",AY26)</f>
        <v>Air Source HP ($125/ ton)</v>
      </c>
      <c r="AZ296" s="863"/>
      <c r="BA296" s="863"/>
      <c r="BB296" s="863"/>
      <c r="BC296" s="863"/>
      <c r="BD296" s="863"/>
      <c r="BE296" s="863"/>
      <c r="BF296" s="863"/>
      <c r="BG296" s="246"/>
      <c r="BH296" s="736"/>
      <c r="BI296" s="736"/>
      <c r="BJ296" s="73"/>
      <c r="BK296" s="1"/>
      <c r="BL296" s="1"/>
      <c r="BM296" s="1"/>
      <c r="BN296" s="1"/>
      <c r="BO296" s="94"/>
      <c r="BP296" s="94"/>
      <c r="BQ296" s="94"/>
      <c r="BR296" s="94"/>
      <c r="BS296" s="94"/>
      <c r="BT296" s="94"/>
      <c r="BU296" s="94"/>
      <c r="BV296" s="94"/>
      <c r="BW296" s="94"/>
      <c r="BX296" s="94"/>
      <c r="BY296" s="102"/>
      <c r="BZ296" s="102"/>
      <c r="CA296" s="102"/>
      <c r="CB296" s="102"/>
      <c r="CC296" s="102"/>
      <c r="CD296" s="102"/>
      <c r="CE296" s="102"/>
      <c r="CF296" s="102"/>
      <c r="CG296" s="102"/>
      <c r="CH296" s="102"/>
      <c r="CI296" s="102"/>
      <c r="CJ296" s="102"/>
      <c r="CK296" s="102"/>
      <c r="CL296" s="102"/>
      <c r="CM296" s="102"/>
      <c r="CN296" s="102"/>
      <c r="CO296" s="102"/>
      <c r="CP296" s="102"/>
      <c r="CQ296" s="102"/>
      <c r="CR296" s="102"/>
      <c r="CS296" s="102"/>
      <c r="CT296" s="102"/>
      <c r="CU296" s="102"/>
      <c r="CV296" s="102"/>
      <c r="CW296" s="102"/>
      <c r="CX296" s="102"/>
      <c r="CY296" s="102"/>
      <c r="CZ296" s="102"/>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row>
    <row r="297" spans="1:178" ht="12.75" customHeight="1">
      <c r="A297" s="74"/>
      <c r="B297" s="287" t="str">
        <f t="shared" si="99"/>
        <v/>
      </c>
      <c r="C297" s="9"/>
      <c r="D297" s="287" t="str">
        <f t="shared" si="103"/>
        <v/>
      </c>
      <c r="E297" s="274"/>
      <c r="F297" s="883" t="str">
        <f t="shared" si="104"/>
        <v/>
      </c>
      <c r="G297" s="883"/>
      <c r="H297" s="883"/>
      <c r="I297" s="883"/>
      <c r="J297" s="883"/>
      <c r="K297" s="883"/>
      <c r="L297" s="883"/>
      <c r="M297" s="883"/>
      <c r="N297" s="883"/>
      <c r="O297" s="883"/>
      <c r="P297" s="883"/>
      <c r="Q297" s="883"/>
      <c r="R297" s="883"/>
      <c r="S297" s="883"/>
      <c r="T297" s="883"/>
      <c r="U297" s="883"/>
      <c r="V297" s="289"/>
      <c r="W297" s="915" t="str">
        <f t="shared" ref="W297:W306" si="130">IF(W27="","",W27)</f>
        <v/>
      </c>
      <c r="X297" s="915"/>
      <c r="Y297" s="915"/>
      <c r="Z297" s="915"/>
      <c r="AA297" s="915"/>
      <c r="AB297" s="915"/>
      <c r="AC297" s="289"/>
      <c r="AD297" s="886" t="str">
        <f t="shared" si="105"/>
        <v/>
      </c>
      <c r="AE297" s="886"/>
      <c r="AF297" s="886"/>
      <c r="AG297" s="886"/>
      <c r="AH297" s="9"/>
      <c r="AI297" s="287" t="str">
        <f t="shared" ref="AI297:AL297" si="131">IF(AI27="","",AI27)</f>
        <v/>
      </c>
      <c r="AJ297" s="13" t="str">
        <f t="shared" si="131"/>
        <v/>
      </c>
      <c r="AK297" s="287" t="str">
        <f t="shared" si="131"/>
        <v/>
      </c>
      <c r="AL297" s="13" t="str">
        <f t="shared" si="131"/>
        <v/>
      </c>
      <c r="AM297" s="682" t="str">
        <f t="shared" ref="AM297:AN297" si="132">IF(AM27="","",AM27)</f>
        <v/>
      </c>
      <c r="AN297" s="680" t="str">
        <f t="shared" si="132"/>
        <v/>
      </c>
      <c r="AO297" s="289"/>
      <c r="AP297" s="75" t="str">
        <f t="shared" ref="AP297:AU297" si="133">IF(AP27="","",AP27)</f>
        <v/>
      </c>
      <c r="AQ297" s="13" t="str">
        <f t="shared" si="133"/>
        <v/>
      </c>
      <c r="AR297" s="75" t="str">
        <f t="shared" si="133"/>
        <v/>
      </c>
      <c r="AS297" s="13" t="str">
        <f t="shared" si="133"/>
        <v/>
      </c>
      <c r="AT297" s="75" t="str">
        <f t="shared" si="133"/>
        <v/>
      </c>
      <c r="AU297" s="680" t="str">
        <f t="shared" si="133"/>
        <v/>
      </c>
      <c r="AV297" s="13"/>
      <c r="AW297" s="746" t="str">
        <f t="shared" si="108"/>
        <v/>
      </c>
      <c r="AX297" s="746"/>
      <c r="AY297" s="75" t="str">
        <f t="shared" ref="AY297:BE297" si="134">IF(AY27="","",AY27)</f>
        <v/>
      </c>
      <c r="AZ297" s="13" t="str">
        <f t="shared" si="134"/>
        <v/>
      </c>
      <c r="BA297" s="75" t="str">
        <f t="shared" si="134"/>
        <v/>
      </c>
      <c r="BB297" s="13" t="str">
        <f t="shared" si="134"/>
        <v/>
      </c>
      <c r="BC297" s="75" t="str">
        <f t="shared" si="134"/>
        <v/>
      </c>
      <c r="BD297" s="680" t="str">
        <f t="shared" si="134"/>
        <v/>
      </c>
      <c r="BE297" s="746" t="str">
        <f t="shared" si="134"/>
        <v/>
      </c>
      <c r="BF297" s="746"/>
      <c r="BG297" s="13" t="s">
        <v>142</v>
      </c>
      <c r="BH297" s="884" t="str">
        <f t="shared" si="109"/>
        <v/>
      </c>
      <c r="BI297" s="884"/>
      <c r="BJ297" s="590"/>
      <c r="BM297" s="296">
        <f>COUNTIF(AW296:AW306,"Qualified")+COUNTIF(BE296:BE306,"Qualified")</f>
        <v>0</v>
      </c>
      <c r="BO297" s="94"/>
      <c r="BP297" s="94"/>
      <c r="BQ297" s="94"/>
      <c r="BR297" s="94"/>
      <c r="BS297" s="94"/>
      <c r="BT297" s="94"/>
      <c r="BU297" s="94"/>
      <c r="BV297" s="94"/>
      <c r="BW297" s="94"/>
      <c r="BX297" s="94"/>
      <c r="BY297" s="94"/>
      <c r="BZ297" s="94"/>
      <c r="CA297" s="94"/>
      <c r="CB297" s="94"/>
      <c r="CC297" s="94"/>
      <c r="CD297" s="94"/>
      <c r="CE297" s="94"/>
      <c r="CF297" s="94"/>
      <c r="CG297" s="94"/>
      <c r="CH297" s="94"/>
      <c r="CI297" s="94"/>
      <c r="CJ297" s="94"/>
      <c r="CK297" s="94"/>
      <c r="CL297" s="94"/>
      <c r="CM297" s="94"/>
      <c r="CN297" s="94"/>
      <c r="CO297" s="94"/>
      <c r="CP297" s="94"/>
      <c r="CQ297" s="94"/>
      <c r="CR297" s="94"/>
      <c r="CS297" s="94"/>
      <c r="CT297" s="94"/>
      <c r="CU297" s="94"/>
      <c r="CV297" s="94"/>
      <c r="CW297" s="94"/>
      <c r="CX297" s="94"/>
      <c r="CY297" s="94"/>
      <c r="CZ297" s="94"/>
    </row>
    <row r="298" spans="1:178" ht="12.75" customHeight="1">
      <c r="A298" s="74"/>
      <c r="B298" s="288" t="str">
        <f t="shared" si="99"/>
        <v/>
      </c>
      <c r="C298" s="9"/>
      <c r="D298" s="288" t="str">
        <f t="shared" si="103"/>
        <v/>
      </c>
      <c r="E298" s="274"/>
      <c r="F298" s="883" t="str">
        <f t="shared" si="104"/>
        <v/>
      </c>
      <c r="G298" s="883"/>
      <c r="H298" s="883"/>
      <c r="I298" s="883"/>
      <c r="J298" s="883"/>
      <c r="K298" s="883"/>
      <c r="L298" s="883"/>
      <c r="M298" s="883"/>
      <c r="N298" s="883"/>
      <c r="O298" s="883"/>
      <c r="P298" s="883"/>
      <c r="Q298" s="883"/>
      <c r="R298" s="883"/>
      <c r="S298" s="883"/>
      <c r="T298" s="883"/>
      <c r="U298" s="883"/>
      <c r="V298" s="289"/>
      <c r="W298" s="889" t="str">
        <f t="shared" si="130"/>
        <v/>
      </c>
      <c r="X298" s="889"/>
      <c r="Y298" s="889"/>
      <c r="Z298" s="889"/>
      <c r="AA298" s="889"/>
      <c r="AB298" s="889"/>
      <c r="AC298" s="289"/>
      <c r="AD298" s="885" t="str">
        <f t="shared" si="105"/>
        <v/>
      </c>
      <c r="AE298" s="885"/>
      <c r="AF298" s="885"/>
      <c r="AG298" s="885"/>
      <c r="AH298" s="9"/>
      <c r="AI298" s="288" t="str">
        <f t="shared" ref="AI298:AL298" si="135">IF(AI28="","",AI28)</f>
        <v/>
      </c>
      <c r="AJ298" s="13" t="str">
        <f t="shared" si="135"/>
        <v/>
      </c>
      <c r="AK298" s="288" t="str">
        <f t="shared" si="135"/>
        <v/>
      </c>
      <c r="AL298" s="13" t="str">
        <f t="shared" si="135"/>
        <v/>
      </c>
      <c r="AM298" s="681" t="str">
        <f t="shared" ref="AM298:AN298" si="136">IF(AM28="","",AM28)</f>
        <v/>
      </c>
      <c r="AN298" s="680" t="str">
        <f t="shared" si="136"/>
        <v/>
      </c>
      <c r="AO298" s="289"/>
      <c r="AP298" s="273" t="str">
        <f t="shared" ref="AP298:AU298" si="137">IF(AP28="","",AP28)</f>
        <v/>
      </c>
      <c r="AQ298" s="13" t="str">
        <f t="shared" si="137"/>
        <v/>
      </c>
      <c r="AR298" s="273" t="str">
        <f t="shared" si="137"/>
        <v/>
      </c>
      <c r="AS298" s="13" t="str">
        <f t="shared" si="137"/>
        <v/>
      </c>
      <c r="AT298" s="75" t="str">
        <f t="shared" si="137"/>
        <v/>
      </c>
      <c r="AU298" s="680" t="str">
        <f t="shared" si="137"/>
        <v/>
      </c>
      <c r="AV298" s="13"/>
      <c r="AW298" s="746" t="str">
        <f t="shared" si="108"/>
        <v/>
      </c>
      <c r="AX298" s="746"/>
      <c r="AY298" s="75" t="str">
        <f t="shared" ref="AY298:BE298" si="138">IF(AY28="","",AY28)</f>
        <v/>
      </c>
      <c r="AZ298" s="13" t="str">
        <f t="shared" si="138"/>
        <v/>
      </c>
      <c r="BA298" s="75" t="str">
        <f t="shared" si="138"/>
        <v/>
      </c>
      <c r="BB298" s="13" t="str">
        <f t="shared" si="138"/>
        <v/>
      </c>
      <c r="BC298" s="75" t="str">
        <f t="shared" si="138"/>
        <v/>
      </c>
      <c r="BD298" s="680" t="str">
        <f t="shared" si="138"/>
        <v/>
      </c>
      <c r="BE298" s="746" t="str">
        <f t="shared" si="138"/>
        <v/>
      </c>
      <c r="BF298" s="746"/>
      <c r="BG298" s="13" t="s">
        <v>142</v>
      </c>
      <c r="BH298" s="884" t="str">
        <f t="shared" si="109"/>
        <v/>
      </c>
      <c r="BI298" s="884"/>
      <c r="BJ298" s="590"/>
      <c r="BO298" s="94"/>
      <c r="BP298" s="94"/>
      <c r="BQ298" s="94"/>
      <c r="BR298" s="94"/>
      <c r="BS298" s="94"/>
      <c r="BT298" s="94"/>
      <c r="BU298" s="94"/>
      <c r="BV298" s="94"/>
      <c r="BW298" s="94"/>
      <c r="BX298" s="94"/>
      <c r="BY298" s="94"/>
      <c r="BZ298" s="94"/>
      <c r="CA298" s="94"/>
      <c r="CB298" s="94"/>
      <c r="CC298" s="94"/>
      <c r="CD298" s="94"/>
      <c r="CE298" s="94"/>
      <c r="CF298" s="94"/>
      <c r="CG298" s="94"/>
      <c r="CH298" s="94"/>
      <c r="CI298" s="94"/>
      <c r="CJ298" s="94"/>
      <c r="CK298" s="94"/>
      <c r="CL298" s="94"/>
      <c r="CM298" s="94"/>
      <c r="CN298" s="94"/>
      <c r="CO298" s="94"/>
      <c r="CP298" s="94"/>
      <c r="CQ298" s="94"/>
      <c r="CR298" s="94"/>
      <c r="CS298" s="94"/>
      <c r="CT298" s="94"/>
      <c r="CU298" s="94"/>
      <c r="CV298" s="94"/>
      <c r="CW298" s="94"/>
      <c r="CX298" s="94"/>
      <c r="CY298" s="94"/>
      <c r="CZ298" s="94"/>
    </row>
    <row r="299" spans="1:178" ht="12.75">
      <c r="A299" s="74"/>
      <c r="B299" s="288" t="str">
        <f t="shared" si="99"/>
        <v/>
      </c>
      <c r="C299" s="9"/>
      <c r="D299" s="288" t="str">
        <f t="shared" si="103"/>
        <v/>
      </c>
      <c r="E299" s="274"/>
      <c r="F299" s="883" t="str">
        <f t="shared" si="104"/>
        <v/>
      </c>
      <c r="G299" s="883"/>
      <c r="H299" s="883"/>
      <c r="I299" s="883"/>
      <c r="J299" s="883"/>
      <c r="K299" s="883"/>
      <c r="L299" s="883"/>
      <c r="M299" s="883"/>
      <c r="N299" s="883"/>
      <c r="O299" s="883"/>
      <c r="P299" s="883"/>
      <c r="Q299" s="883"/>
      <c r="R299" s="883"/>
      <c r="S299" s="883"/>
      <c r="T299" s="883"/>
      <c r="U299" s="883"/>
      <c r="V299" s="289"/>
      <c r="W299" s="889" t="str">
        <f t="shared" si="130"/>
        <v/>
      </c>
      <c r="X299" s="889"/>
      <c r="Y299" s="889"/>
      <c r="Z299" s="889"/>
      <c r="AA299" s="889"/>
      <c r="AB299" s="889"/>
      <c r="AC299" s="289"/>
      <c r="AD299" s="885" t="str">
        <f t="shared" si="105"/>
        <v/>
      </c>
      <c r="AE299" s="885"/>
      <c r="AF299" s="885"/>
      <c r="AG299" s="885"/>
      <c r="AH299" s="9"/>
      <c r="AI299" s="288" t="str">
        <f t="shared" ref="AI299:AL299" si="139">IF(AI29="","",AI29)</f>
        <v/>
      </c>
      <c r="AJ299" s="13" t="str">
        <f t="shared" si="139"/>
        <v/>
      </c>
      <c r="AK299" s="288" t="str">
        <f t="shared" si="139"/>
        <v/>
      </c>
      <c r="AL299" s="13" t="str">
        <f t="shared" si="139"/>
        <v/>
      </c>
      <c r="AM299" s="681" t="str">
        <f t="shared" ref="AM299:AN299" si="140">IF(AM29="","",AM29)</f>
        <v/>
      </c>
      <c r="AN299" s="680" t="str">
        <f t="shared" si="140"/>
        <v/>
      </c>
      <c r="AO299" s="289"/>
      <c r="AP299" s="273" t="str">
        <f t="shared" ref="AP299:AU299" si="141">IF(AP29="","",AP29)</f>
        <v/>
      </c>
      <c r="AQ299" s="13" t="str">
        <f t="shared" si="141"/>
        <v/>
      </c>
      <c r="AR299" s="273" t="str">
        <f t="shared" si="141"/>
        <v/>
      </c>
      <c r="AS299" s="13" t="str">
        <f t="shared" si="141"/>
        <v/>
      </c>
      <c r="AT299" s="75" t="str">
        <f t="shared" si="141"/>
        <v/>
      </c>
      <c r="AU299" s="680" t="str">
        <f t="shared" si="141"/>
        <v/>
      </c>
      <c r="AV299" s="13"/>
      <c r="AW299" s="746" t="str">
        <f t="shared" si="108"/>
        <v/>
      </c>
      <c r="AX299" s="746"/>
      <c r="AY299" s="75" t="str">
        <f t="shared" ref="AY299:BE299" si="142">IF(AY29="","",AY29)</f>
        <v/>
      </c>
      <c r="AZ299" s="13" t="str">
        <f t="shared" si="142"/>
        <v/>
      </c>
      <c r="BA299" s="75" t="str">
        <f t="shared" si="142"/>
        <v/>
      </c>
      <c r="BB299" s="13" t="str">
        <f t="shared" si="142"/>
        <v/>
      </c>
      <c r="BC299" s="75" t="str">
        <f t="shared" si="142"/>
        <v/>
      </c>
      <c r="BD299" s="680" t="str">
        <f t="shared" si="142"/>
        <v/>
      </c>
      <c r="BE299" s="746" t="str">
        <f t="shared" si="142"/>
        <v/>
      </c>
      <c r="BF299" s="746"/>
      <c r="BG299" s="13" t="s">
        <v>142</v>
      </c>
      <c r="BH299" s="884" t="str">
        <f t="shared" si="109"/>
        <v/>
      </c>
      <c r="BI299" s="884"/>
      <c r="BJ299" s="590"/>
      <c r="BO299" s="94"/>
      <c r="BP299" s="94"/>
      <c r="BQ299" s="94"/>
      <c r="BR299" s="94"/>
      <c r="BS299" s="94"/>
      <c r="BT299" s="94"/>
      <c r="BU299" s="94"/>
      <c r="BV299" s="94"/>
      <c r="BW299" s="94"/>
      <c r="BX299" s="94"/>
      <c r="BY299" s="94"/>
      <c r="BZ299" s="94"/>
      <c r="CA299" s="94"/>
      <c r="CB299" s="94"/>
      <c r="CC299" s="94"/>
      <c r="CD299" s="94"/>
      <c r="CE299" s="94"/>
      <c r="CF299" s="94"/>
      <c r="CG299" s="94"/>
      <c r="CH299" s="94"/>
      <c r="CI299" s="94"/>
      <c r="CJ299" s="94"/>
      <c r="CK299" s="94"/>
      <c r="CL299" s="94"/>
      <c r="CM299" s="94"/>
      <c r="CN299" s="94"/>
      <c r="CO299" s="94"/>
      <c r="CP299" s="94"/>
      <c r="CQ299" s="94"/>
      <c r="CR299" s="94"/>
      <c r="CS299" s="94"/>
      <c r="CT299" s="94"/>
      <c r="CU299" s="94"/>
      <c r="CV299" s="94"/>
      <c r="CW299" s="94"/>
      <c r="CX299" s="94"/>
      <c r="CY299" s="94"/>
      <c r="CZ299" s="94"/>
    </row>
    <row r="300" spans="1:178" ht="12.75">
      <c r="A300" s="74"/>
      <c r="B300" s="288" t="str">
        <f t="shared" si="99"/>
        <v/>
      </c>
      <c r="C300" s="9"/>
      <c r="D300" s="288" t="str">
        <f t="shared" si="103"/>
        <v/>
      </c>
      <c r="E300" s="274"/>
      <c r="F300" s="883" t="str">
        <f t="shared" si="104"/>
        <v/>
      </c>
      <c r="G300" s="883"/>
      <c r="H300" s="883"/>
      <c r="I300" s="883"/>
      <c r="J300" s="883"/>
      <c r="K300" s="883"/>
      <c r="L300" s="883"/>
      <c r="M300" s="883"/>
      <c r="N300" s="883"/>
      <c r="O300" s="883"/>
      <c r="P300" s="883"/>
      <c r="Q300" s="883"/>
      <c r="R300" s="883"/>
      <c r="S300" s="883"/>
      <c r="T300" s="883"/>
      <c r="U300" s="883"/>
      <c r="V300" s="289"/>
      <c r="W300" s="889" t="str">
        <f t="shared" si="130"/>
        <v/>
      </c>
      <c r="X300" s="889"/>
      <c r="Y300" s="889"/>
      <c r="Z300" s="889"/>
      <c r="AA300" s="889"/>
      <c r="AB300" s="889"/>
      <c r="AC300" s="289"/>
      <c r="AD300" s="885" t="str">
        <f t="shared" si="105"/>
        <v/>
      </c>
      <c r="AE300" s="885"/>
      <c r="AF300" s="885"/>
      <c r="AG300" s="885"/>
      <c r="AH300" s="9"/>
      <c r="AI300" s="288" t="str">
        <f t="shared" ref="AI300:AL300" si="143">IF(AI30="","",AI30)</f>
        <v/>
      </c>
      <c r="AJ300" s="13" t="str">
        <f t="shared" si="143"/>
        <v/>
      </c>
      <c r="AK300" s="288" t="str">
        <f t="shared" si="143"/>
        <v/>
      </c>
      <c r="AL300" s="13" t="str">
        <f t="shared" si="143"/>
        <v/>
      </c>
      <c r="AM300" s="681" t="str">
        <f t="shared" ref="AM300:AN300" si="144">IF(AM30="","",AM30)</f>
        <v/>
      </c>
      <c r="AN300" s="680" t="str">
        <f t="shared" si="144"/>
        <v/>
      </c>
      <c r="AO300" s="289"/>
      <c r="AP300" s="273" t="str">
        <f t="shared" ref="AP300:AU300" si="145">IF(AP30="","",AP30)</f>
        <v/>
      </c>
      <c r="AQ300" s="13" t="str">
        <f t="shared" si="145"/>
        <v/>
      </c>
      <c r="AR300" s="273" t="str">
        <f t="shared" si="145"/>
        <v/>
      </c>
      <c r="AS300" s="13" t="str">
        <f t="shared" si="145"/>
        <v/>
      </c>
      <c r="AT300" s="75" t="str">
        <f t="shared" si="145"/>
        <v/>
      </c>
      <c r="AU300" s="680" t="str">
        <f t="shared" si="145"/>
        <v/>
      </c>
      <c r="AV300" s="13"/>
      <c r="AW300" s="746" t="str">
        <f t="shared" si="108"/>
        <v/>
      </c>
      <c r="AX300" s="746"/>
      <c r="AY300" s="75" t="str">
        <f t="shared" ref="AY300:BE300" si="146">IF(AY30="","",AY30)</f>
        <v/>
      </c>
      <c r="AZ300" s="13" t="str">
        <f t="shared" si="146"/>
        <v/>
      </c>
      <c r="BA300" s="75" t="str">
        <f t="shared" si="146"/>
        <v/>
      </c>
      <c r="BB300" s="13" t="str">
        <f t="shared" si="146"/>
        <v/>
      </c>
      <c r="BC300" s="75" t="str">
        <f t="shared" si="146"/>
        <v/>
      </c>
      <c r="BD300" s="680" t="str">
        <f t="shared" si="146"/>
        <v/>
      </c>
      <c r="BE300" s="746" t="str">
        <f t="shared" si="146"/>
        <v/>
      </c>
      <c r="BF300" s="746"/>
      <c r="BG300" s="13" t="s">
        <v>142</v>
      </c>
      <c r="BH300" s="884" t="str">
        <f t="shared" si="109"/>
        <v/>
      </c>
      <c r="BI300" s="884"/>
      <c r="BJ300" s="590"/>
      <c r="BO300" s="94"/>
      <c r="BP300" s="94"/>
      <c r="BQ300" s="94"/>
      <c r="BR300" s="94"/>
      <c r="BS300" s="94"/>
      <c r="BT300" s="94"/>
      <c r="BU300" s="94"/>
      <c r="BV300" s="94"/>
      <c r="BW300" s="94"/>
      <c r="BX300" s="94"/>
      <c r="BY300" s="94"/>
      <c r="BZ300" s="94"/>
      <c r="CA300" s="94"/>
      <c r="CB300" s="94"/>
      <c r="CC300" s="94"/>
      <c r="CD300" s="94"/>
      <c r="CE300" s="94"/>
      <c r="CF300" s="94"/>
      <c r="CG300" s="94"/>
      <c r="CH300" s="94"/>
      <c r="CI300" s="94"/>
      <c r="CJ300" s="94"/>
      <c r="CK300" s="94"/>
      <c r="CL300" s="94"/>
      <c r="CM300" s="94"/>
      <c r="CN300" s="94"/>
      <c r="CO300" s="94"/>
      <c r="CP300" s="94"/>
      <c r="CQ300" s="94"/>
      <c r="CR300" s="94"/>
      <c r="CS300" s="94"/>
      <c r="CT300" s="94"/>
      <c r="CU300" s="94"/>
      <c r="CV300" s="94"/>
      <c r="CW300" s="94"/>
      <c r="CX300" s="94"/>
      <c r="CY300" s="94"/>
      <c r="CZ300" s="94"/>
    </row>
    <row r="301" spans="1:178" ht="12.75">
      <c r="A301" s="74"/>
      <c r="B301" s="288" t="str">
        <f t="shared" si="99"/>
        <v/>
      </c>
      <c r="C301" s="9"/>
      <c r="D301" s="288" t="str">
        <f t="shared" si="103"/>
        <v/>
      </c>
      <c r="E301" s="274"/>
      <c r="F301" s="883" t="str">
        <f t="shared" si="104"/>
        <v/>
      </c>
      <c r="G301" s="883"/>
      <c r="H301" s="883"/>
      <c r="I301" s="883"/>
      <c r="J301" s="883"/>
      <c r="K301" s="883"/>
      <c r="L301" s="883"/>
      <c r="M301" s="883"/>
      <c r="N301" s="883"/>
      <c r="O301" s="883"/>
      <c r="P301" s="883"/>
      <c r="Q301" s="883"/>
      <c r="R301" s="883"/>
      <c r="S301" s="883"/>
      <c r="T301" s="883"/>
      <c r="U301" s="883"/>
      <c r="V301" s="289"/>
      <c r="W301" s="889" t="str">
        <f t="shared" si="130"/>
        <v/>
      </c>
      <c r="X301" s="889"/>
      <c r="Y301" s="889"/>
      <c r="Z301" s="889"/>
      <c r="AA301" s="889"/>
      <c r="AB301" s="889"/>
      <c r="AC301" s="289"/>
      <c r="AD301" s="885" t="str">
        <f t="shared" si="105"/>
        <v/>
      </c>
      <c r="AE301" s="885"/>
      <c r="AF301" s="885"/>
      <c r="AG301" s="885"/>
      <c r="AH301" s="9"/>
      <c r="AI301" s="288" t="str">
        <f t="shared" ref="AI301:AL301" si="147">IF(AI31="","",AI31)</f>
        <v/>
      </c>
      <c r="AJ301" s="13" t="str">
        <f t="shared" si="147"/>
        <v/>
      </c>
      <c r="AK301" s="288" t="str">
        <f t="shared" si="147"/>
        <v/>
      </c>
      <c r="AL301" s="13" t="str">
        <f t="shared" si="147"/>
        <v/>
      </c>
      <c r="AM301" s="681" t="str">
        <f t="shared" ref="AM301:AN301" si="148">IF(AM31="","",AM31)</f>
        <v/>
      </c>
      <c r="AN301" s="680" t="str">
        <f t="shared" si="148"/>
        <v/>
      </c>
      <c r="AO301" s="289"/>
      <c r="AP301" s="273" t="str">
        <f t="shared" ref="AP301:AU301" si="149">IF(AP31="","",AP31)</f>
        <v/>
      </c>
      <c r="AQ301" s="13" t="str">
        <f t="shared" si="149"/>
        <v/>
      </c>
      <c r="AR301" s="273" t="str">
        <f t="shared" si="149"/>
        <v/>
      </c>
      <c r="AS301" s="13" t="str">
        <f t="shared" si="149"/>
        <v/>
      </c>
      <c r="AT301" s="75" t="str">
        <f t="shared" si="149"/>
        <v/>
      </c>
      <c r="AU301" s="680" t="str">
        <f t="shared" si="149"/>
        <v/>
      </c>
      <c r="AV301" s="13"/>
      <c r="AW301" s="746" t="str">
        <f t="shared" si="108"/>
        <v/>
      </c>
      <c r="AX301" s="746"/>
      <c r="AY301" s="75" t="str">
        <f t="shared" ref="AY301:BE301" si="150">IF(AY31="","",AY31)</f>
        <v/>
      </c>
      <c r="AZ301" s="13" t="str">
        <f t="shared" si="150"/>
        <v/>
      </c>
      <c r="BA301" s="75" t="str">
        <f t="shared" si="150"/>
        <v/>
      </c>
      <c r="BB301" s="13" t="str">
        <f t="shared" si="150"/>
        <v/>
      </c>
      <c r="BC301" s="75" t="str">
        <f t="shared" si="150"/>
        <v/>
      </c>
      <c r="BD301" s="680" t="str">
        <f t="shared" si="150"/>
        <v/>
      </c>
      <c r="BE301" s="746" t="str">
        <f t="shared" si="150"/>
        <v/>
      </c>
      <c r="BF301" s="746"/>
      <c r="BG301" s="13" t="s">
        <v>142</v>
      </c>
      <c r="BH301" s="884" t="str">
        <f t="shared" si="109"/>
        <v/>
      </c>
      <c r="BI301" s="884"/>
      <c r="BJ301" s="590"/>
      <c r="BO301" s="94"/>
      <c r="BP301" s="94"/>
      <c r="BQ301" s="94"/>
      <c r="BR301" s="94"/>
      <c r="BS301" s="94"/>
      <c r="BT301" s="94"/>
      <c r="BU301" s="94"/>
      <c r="BV301" s="94"/>
      <c r="BW301" s="94"/>
      <c r="BX301" s="94"/>
      <c r="BY301" s="94"/>
      <c r="BZ301" s="94"/>
      <c r="CA301" s="94"/>
      <c r="CB301" s="94"/>
      <c r="CC301" s="94"/>
      <c r="CD301" s="94"/>
      <c r="CE301" s="94"/>
      <c r="CF301" s="94"/>
      <c r="CG301" s="94"/>
      <c r="CH301" s="94"/>
      <c r="CI301" s="94"/>
      <c r="CJ301" s="94"/>
      <c r="CK301" s="94"/>
      <c r="CL301" s="94"/>
      <c r="CM301" s="94"/>
      <c r="CN301" s="94"/>
      <c r="CO301" s="94"/>
      <c r="CP301" s="94"/>
      <c r="CQ301" s="94"/>
      <c r="CR301" s="94"/>
      <c r="CS301" s="94"/>
      <c r="CT301" s="94"/>
      <c r="CU301" s="94"/>
      <c r="CV301" s="94"/>
      <c r="CW301" s="94"/>
      <c r="CX301" s="94"/>
      <c r="CY301" s="94"/>
      <c r="CZ301" s="94"/>
    </row>
    <row r="302" spans="1:178" ht="12.75">
      <c r="A302" s="74"/>
      <c r="B302" s="288" t="str">
        <f t="shared" si="99"/>
        <v/>
      </c>
      <c r="C302" s="9"/>
      <c r="D302" s="288" t="str">
        <f t="shared" si="103"/>
        <v/>
      </c>
      <c r="E302" s="274"/>
      <c r="F302" s="883" t="str">
        <f t="shared" si="104"/>
        <v/>
      </c>
      <c r="G302" s="883"/>
      <c r="H302" s="883"/>
      <c r="I302" s="883"/>
      <c r="J302" s="883"/>
      <c r="K302" s="883"/>
      <c r="L302" s="883"/>
      <c r="M302" s="883"/>
      <c r="N302" s="883"/>
      <c r="O302" s="883"/>
      <c r="P302" s="883"/>
      <c r="Q302" s="883"/>
      <c r="R302" s="883"/>
      <c r="S302" s="883"/>
      <c r="T302" s="883"/>
      <c r="U302" s="883"/>
      <c r="V302" s="289"/>
      <c r="W302" s="889" t="str">
        <f t="shared" si="130"/>
        <v/>
      </c>
      <c r="X302" s="889"/>
      <c r="Y302" s="889"/>
      <c r="Z302" s="889"/>
      <c r="AA302" s="889"/>
      <c r="AB302" s="889"/>
      <c r="AC302" s="289"/>
      <c r="AD302" s="885" t="str">
        <f t="shared" si="105"/>
        <v/>
      </c>
      <c r="AE302" s="885"/>
      <c r="AF302" s="885"/>
      <c r="AG302" s="885"/>
      <c r="AH302" s="9"/>
      <c r="AI302" s="288" t="str">
        <f t="shared" ref="AI302:AL302" si="151">IF(AI32="","",AI32)</f>
        <v/>
      </c>
      <c r="AJ302" s="13" t="str">
        <f t="shared" si="151"/>
        <v/>
      </c>
      <c r="AK302" s="288" t="str">
        <f t="shared" si="151"/>
        <v/>
      </c>
      <c r="AL302" s="13" t="str">
        <f t="shared" si="151"/>
        <v/>
      </c>
      <c r="AM302" s="681" t="str">
        <f t="shared" ref="AM302:AN302" si="152">IF(AM32="","",AM32)</f>
        <v/>
      </c>
      <c r="AN302" s="680" t="str">
        <f t="shared" si="152"/>
        <v/>
      </c>
      <c r="AO302" s="289"/>
      <c r="AP302" s="273" t="str">
        <f t="shared" ref="AP302:AU302" si="153">IF(AP32="","",AP32)</f>
        <v/>
      </c>
      <c r="AQ302" s="13" t="str">
        <f t="shared" si="153"/>
        <v/>
      </c>
      <c r="AR302" s="273" t="str">
        <f t="shared" si="153"/>
        <v/>
      </c>
      <c r="AS302" s="13" t="str">
        <f t="shared" si="153"/>
        <v/>
      </c>
      <c r="AT302" s="75" t="str">
        <f t="shared" si="153"/>
        <v/>
      </c>
      <c r="AU302" s="680" t="str">
        <f t="shared" si="153"/>
        <v/>
      </c>
      <c r="AV302" s="13"/>
      <c r="AW302" s="746" t="str">
        <f t="shared" si="108"/>
        <v/>
      </c>
      <c r="AX302" s="746"/>
      <c r="AY302" s="75" t="str">
        <f t="shared" ref="AY302:BE302" si="154">IF(AY32="","",AY32)</f>
        <v/>
      </c>
      <c r="AZ302" s="13" t="str">
        <f t="shared" si="154"/>
        <v/>
      </c>
      <c r="BA302" s="75" t="str">
        <f t="shared" si="154"/>
        <v/>
      </c>
      <c r="BB302" s="13" t="str">
        <f t="shared" si="154"/>
        <v/>
      </c>
      <c r="BC302" s="75" t="str">
        <f t="shared" si="154"/>
        <v/>
      </c>
      <c r="BD302" s="680" t="str">
        <f t="shared" si="154"/>
        <v/>
      </c>
      <c r="BE302" s="746" t="str">
        <f t="shared" si="154"/>
        <v/>
      </c>
      <c r="BF302" s="746"/>
      <c r="BG302" s="13" t="s">
        <v>142</v>
      </c>
      <c r="BH302" s="884" t="str">
        <f t="shared" si="109"/>
        <v/>
      </c>
      <c r="BI302" s="884"/>
      <c r="BJ302" s="590"/>
      <c r="BO302" s="94"/>
      <c r="BP302" s="94"/>
      <c r="BQ302" s="94"/>
      <c r="BR302" s="94"/>
      <c r="BS302" s="94"/>
      <c r="BT302" s="94"/>
      <c r="BU302" s="94"/>
      <c r="BV302" s="94"/>
      <c r="BW302" s="94"/>
      <c r="BX302" s="94"/>
      <c r="BY302" s="94"/>
      <c r="BZ302" s="94"/>
      <c r="CA302" s="94"/>
      <c r="CB302" s="94"/>
      <c r="CC302" s="94"/>
      <c r="CD302" s="94"/>
      <c r="CE302" s="94"/>
      <c r="CF302" s="94"/>
      <c r="CG302" s="94"/>
      <c r="CH302" s="94"/>
      <c r="CI302" s="94"/>
      <c r="CJ302" s="94"/>
      <c r="CK302" s="94"/>
      <c r="CL302" s="94"/>
      <c r="CM302" s="94"/>
      <c r="CN302" s="94"/>
      <c r="CO302" s="94"/>
      <c r="CP302" s="94"/>
      <c r="CQ302" s="94"/>
      <c r="CR302" s="94"/>
      <c r="CS302" s="94"/>
      <c r="CT302" s="94"/>
      <c r="CU302" s="94"/>
      <c r="CV302" s="94"/>
      <c r="CW302" s="94"/>
      <c r="CX302" s="94"/>
      <c r="CY302" s="94"/>
      <c r="CZ302" s="94"/>
    </row>
    <row r="303" spans="1:178" ht="12.75">
      <c r="A303" s="74"/>
      <c r="B303" s="288" t="str">
        <f t="shared" si="99"/>
        <v/>
      </c>
      <c r="C303" s="9"/>
      <c r="D303" s="288" t="str">
        <f t="shared" si="103"/>
        <v/>
      </c>
      <c r="E303" s="274"/>
      <c r="F303" s="883" t="str">
        <f t="shared" si="104"/>
        <v/>
      </c>
      <c r="G303" s="883"/>
      <c r="H303" s="883"/>
      <c r="I303" s="883"/>
      <c r="J303" s="883"/>
      <c r="K303" s="883"/>
      <c r="L303" s="883"/>
      <c r="M303" s="883"/>
      <c r="N303" s="883"/>
      <c r="O303" s="883"/>
      <c r="P303" s="883"/>
      <c r="Q303" s="883"/>
      <c r="R303" s="883"/>
      <c r="S303" s="883"/>
      <c r="T303" s="883"/>
      <c r="U303" s="883"/>
      <c r="V303" s="289"/>
      <c r="W303" s="889" t="str">
        <f t="shared" si="130"/>
        <v/>
      </c>
      <c r="X303" s="889"/>
      <c r="Y303" s="889"/>
      <c r="Z303" s="889"/>
      <c r="AA303" s="889"/>
      <c r="AB303" s="889"/>
      <c r="AC303" s="289"/>
      <c r="AD303" s="885" t="str">
        <f t="shared" si="105"/>
        <v/>
      </c>
      <c r="AE303" s="885"/>
      <c r="AF303" s="885"/>
      <c r="AG303" s="885"/>
      <c r="AH303" s="9"/>
      <c r="AI303" s="288" t="str">
        <f t="shared" ref="AI303:AL303" si="155">IF(AI33="","",AI33)</f>
        <v/>
      </c>
      <c r="AJ303" s="13" t="str">
        <f t="shared" si="155"/>
        <v/>
      </c>
      <c r="AK303" s="288" t="str">
        <f t="shared" si="155"/>
        <v/>
      </c>
      <c r="AL303" s="13" t="str">
        <f t="shared" si="155"/>
        <v/>
      </c>
      <c r="AM303" s="681" t="str">
        <f t="shared" ref="AM303:AN303" si="156">IF(AM33="","",AM33)</f>
        <v/>
      </c>
      <c r="AN303" s="680" t="str">
        <f t="shared" si="156"/>
        <v/>
      </c>
      <c r="AO303" s="289"/>
      <c r="AP303" s="273" t="str">
        <f t="shared" ref="AP303:AU303" si="157">IF(AP33="","",AP33)</f>
        <v/>
      </c>
      <c r="AQ303" s="13" t="str">
        <f t="shared" si="157"/>
        <v/>
      </c>
      <c r="AR303" s="273" t="str">
        <f t="shared" si="157"/>
        <v/>
      </c>
      <c r="AS303" s="13" t="str">
        <f t="shared" si="157"/>
        <v/>
      </c>
      <c r="AT303" s="75" t="str">
        <f t="shared" si="157"/>
        <v/>
      </c>
      <c r="AU303" s="680" t="str">
        <f t="shared" si="157"/>
        <v/>
      </c>
      <c r="AV303" s="13"/>
      <c r="AW303" s="746" t="str">
        <f t="shared" si="108"/>
        <v/>
      </c>
      <c r="AX303" s="746"/>
      <c r="AY303" s="75" t="str">
        <f t="shared" ref="AY303:BE303" si="158">IF(AY33="","",AY33)</f>
        <v/>
      </c>
      <c r="AZ303" s="13" t="str">
        <f t="shared" si="158"/>
        <v/>
      </c>
      <c r="BA303" s="75" t="str">
        <f t="shared" si="158"/>
        <v/>
      </c>
      <c r="BB303" s="13" t="str">
        <f t="shared" si="158"/>
        <v/>
      </c>
      <c r="BC303" s="75" t="str">
        <f t="shared" si="158"/>
        <v/>
      </c>
      <c r="BD303" s="680" t="str">
        <f t="shared" si="158"/>
        <v/>
      </c>
      <c r="BE303" s="746" t="str">
        <f t="shared" si="158"/>
        <v/>
      </c>
      <c r="BF303" s="746"/>
      <c r="BG303" s="13" t="s">
        <v>142</v>
      </c>
      <c r="BH303" s="884" t="str">
        <f t="shared" si="109"/>
        <v/>
      </c>
      <c r="BI303" s="884"/>
      <c r="BJ303" s="590"/>
      <c r="BO303" s="94"/>
      <c r="BP303" s="94"/>
      <c r="BQ303" s="94"/>
      <c r="BR303" s="94"/>
      <c r="BS303" s="94"/>
      <c r="BT303" s="94"/>
      <c r="BU303" s="94"/>
      <c r="BV303" s="94"/>
      <c r="BW303" s="94"/>
      <c r="BX303" s="94"/>
      <c r="BY303" s="94"/>
      <c r="BZ303" s="94"/>
      <c r="CA303" s="94"/>
      <c r="CB303" s="94"/>
      <c r="CC303" s="94"/>
      <c r="CD303" s="94"/>
      <c r="CE303" s="94"/>
      <c r="CF303" s="94"/>
      <c r="CG303" s="94"/>
      <c r="CH303" s="94"/>
      <c r="CI303" s="94"/>
      <c r="CJ303" s="94"/>
      <c r="CK303" s="94"/>
      <c r="CL303" s="94"/>
      <c r="CM303" s="94"/>
      <c r="CN303" s="94"/>
      <c r="CO303" s="94"/>
      <c r="CP303" s="94"/>
      <c r="CQ303" s="94"/>
      <c r="CR303" s="94"/>
      <c r="CS303" s="94"/>
      <c r="CT303" s="94"/>
      <c r="CU303" s="94"/>
      <c r="CV303" s="94"/>
      <c r="CW303" s="94"/>
      <c r="CX303" s="94"/>
      <c r="CY303" s="94"/>
      <c r="CZ303" s="94"/>
    </row>
    <row r="304" spans="1:178" ht="12.75">
      <c r="A304" s="74"/>
      <c r="B304" s="288" t="str">
        <f t="shared" si="99"/>
        <v/>
      </c>
      <c r="C304" s="9"/>
      <c r="D304" s="288" t="str">
        <f t="shared" si="103"/>
        <v/>
      </c>
      <c r="E304" s="274"/>
      <c r="F304" s="883" t="str">
        <f t="shared" si="104"/>
        <v/>
      </c>
      <c r="G304" s="883"/>
      <c r="H304" s="883"/>
      <c r="I304" s="883"/>
      <c r="J304" s="883"/>
      <c r="K304" s="883"/>
      <c r="L304" s="883"/>
      <c r="M304" s="883"/>
      <c r="N304" s="883"/>
      <c r="O304" s="883"/>
      <c r="P304" s="883"/>
      <c r="Q304" s="883"/>
      <c r="R304" s="883"/>
      <c r="S304" s="883"/>
      <c r="T304" s="883"/>
      <c r="U304" s="883"/>
      <c r="V304" s="289"/>
      <c r="W304" s="889" t="str">
        <f t="shared" si="130"/>
        <v/>
      </c>
      <c r="X304" s="889"/>
      <c r="Y304" s="889"/>
      <c r="Z304" s="889"/>
      <c r="AA304" s="889"/>
      <c r="AB304" s="889"/>
      <c r="AC304" s="289"/>
      <c r="AD304" s="885" t="str">
        <f t="shared" si="105"/>
        <v/>
      </c>
      <c r="AE304" s="885"/>
      <c r="AF304" s="885"/>
      <c r="AG304" s="885"/>
      <c r="AH304" s="9"/>
      <c r="AI304" s="288" t="str">
        <f t="shared" ref="AI304:AL304" si="159">IF(AI34="","",AI34)</f>
        <v/>
      </c>
      <c r="AJ304" s="13" t="str">
        <f t="shared" si="159"/>
        <v/>
      </c>
      <c r="AK304" s="288" t="str">
        <f t="shared" si="159"/>
        <v/>
      </c>
      <c r="AL304" s="13" t="str">
        <f t="shared" si="159"/>
        <v/>
      </c>
      <c r="AM304" s="681" t="str">
        <f t="shared" ref="AM304:AN304" si="160">IF(AM34="","",AM34)</f>
        <v/>
      </c>
      <c r="AN304" s="680" t="str">
        <f t="shared" si="160"/>
        <v/>
      </c>
      <c r="AO304" s="289"/>
      <c r="AP304" s="273" t="str">
        <f t="shared" ref="AP304:AU304" si="161">IF(AP34="","",AP34)</f>
        <v/>
      </c>
      <c r="AQ304" s="13" t="str">
        <f t="shared" si="161"/>
        <v/>
      </c>
      <c r="AR304" s="273" t="str">
        <f t="shared" si="161"/>
        <v/>
      </c>
      <c r="AS304" s="13" t="str">
        <f t="shared" si="161"/>
        <v/>
      </c>
      <c r="AT304" s="75" t="str">
        <f t="shared" si="161"/>
        <v/>
      </c>
      <c r="AU304" s="680" t="str">
        <f t="shared" si="161"/>
        <v/>
      </c>
      <c r="AV304" s="13"/>
      <c r="AW304" s="746" t="str">
        <f t="shared" si="108"/>
        <v/>
      </c>
      <c r="AX304" s="746"/>
      <c r="AY304" s="75" t="str">
        <f t="shared" ref="AY304:BE304" si="162">IF(AY34="","",AY34)</f>
        <v/>
      </c>
      <c r="AZ304" s="13" t="str">
        <f t="shared" si="162"/>
        <v/>
      </c>
      <c r="BA304" s="75" t="str">
        <f t="shared" si="162"/>
        <v/>
      </c>
      <c r="BB304" s="13" t="str">
        <f t="shared" si="162"/>
        <v/>
      </c>
      <c r="BC304" s="75" t="str">
        <f t="shared" si="162"/>
        <v/>
      </c>
      <c r="BD304" s="680" t="str">
        <f t="shared" si="162"/>
        <v/>
      </c>
      <c r="BE304" s="746" t="str">
        <f t="shared" si="162"/>
        <v/>
      </c>
      <c r="BF304" s="746"/>
      <c r="BG304" s="13" t="s">
        <v>142</v>
      </c>
      <c r="BH304" s="884" t="str">
        <f t="shared" si="109"/>
        <v/>
      </c>
      <c r="BI304" s="884"/>
      <c r="BJ304" s="590"/>
      <c r="BO304" s="94"/>
      <c r="BP304" s="94"/>
      <c r="BQ304" s="94"/>
      <c r="BR304" s="94"/>
      <c r="BS304" s="94"/>
      <c r="BT304" s="94"/>
      <c r="BU304" s="94"/>
      <c r="BV304" s="94"/>
      <c r="BW304" s="94"/>
      <c r="BX304" s="94"/>
      <c r="BY304" s="94"/>
      <c r="BZ304" s="94"/>
      <c r="CA304" s="94"/>
      <c r="CB304" s="94"/>
      <c r="CC304" s="94"/>
      <c r="CD304" s="94"/>
      <c r="CE304" s="94"/>
      <c r="CF304" s="94"/>
      <c r="CG304" s="94"/>
      <c r="CH304" s="94"/>
      <c r="CI304" s="94"/>
      <c r="CJ304" s="94"/>
      <c r="CK304" s="94"/>
      <c r="CL304" s="94"/>
      <c r="CM304" s="94"/>
      <c r="CN304" s="94"/>
      <c r="CO304" s="94"/>
      <c r="CP304" s="94"/>
      <c r="CQ304" s="94"/>
      <c r="CR304" s="94"/>
      <c r="CS304" s="94"/>
      <c r="CT304" s="94"/>
      <c r="CU304" s="94"/>
      <c r="CV304" s="94"/>
      <c r="CW304" s="94"/>
      <c r="CX304" s="94"/>
      <c r="CY304" s="94"/>
      <c r="CZ304" s="94"/>
    </row>
    <row r="305" spans="1:178" ht="12.75">
      <c r="A305" s="74"/>
      <c r="B305" s="288" t="str">
        <f t="shared" si="99"/>
        <v/>
      </c>
      <c r="C305" s="9"/>
      <c r="D305" s="288" t="str">
        <f t="shared" si="103"/>
        <v/>
      </c>
      <c r="E305" s="274"/>
      <c r="F305" s="883" t="str">
        <f t="shared" si="104"/>
        <v/>
      </c>
      <c r="G305" s="883"/>
      <c r="H305" s="883"/>
      <c r="I305" s="883"/>
      <c r="J305" s="883"/>
      <c r="K305" s="883"/>
      <c r="L305" s="883"/>
      <c r="M305" s="883"/>
      <c r="N305" s="883"/>
      <c r="O305" s="883"/>
      <c r="P305" s="883"/>
      <c r="Q305" s="883"/>
      <c r="R305" s="883"/>
      <c r="S305" s="883"/>
      <c r="T305" s="883"/>
      <c r="U305" s="883"/>
      <c r="V305" s="289"/>
      <c r="W305" s="889" t="str">
        <f t="shared" si="130"/>
        <v/>
      </c>
      <c r="X305" s="889"/>
      <c r="Y305" s="889"/>
      <c r="Z305" s="889"/>
      <c r="AA305" s="889"/>
      <c r="AB305" s="889"/>
      <c r="AC305" s="289"/>
      <c r="AD305" s="885" t="str">
        <f t="shared" si="105"/>
        <v/>
      </c>
      <c r="AE305" s="885"/>
      <c r="AF305" s="885"/>
      <c r="AG305" s="885"/>
      <c r="AH305" s="9"/>
      <c r="AI305" s="288" t="str">
        <f t="shared" ref="AI305:AL305" si="163">IF(AI35="","",AI35)</f>
        <v/>
      </c>
      <c r="AJ305" s="13" t="str">
        <f t="shared" si="163"/>
        <v/>
      </c>
      <c r="AK305" s="288" t="str">
        <f t="shared" si="163"/>
        <v/>
      </c>
      <c r="AL305" s="13" t="str">
        <f t="shared" si="163"/>
        <v/>
      </c>
      <c r="AM305" s="681" t="str">
        <f t="shared" ref="AM305:AN305" si="164">IF(AM35="","",AM35)</f>
        <v/>
      </c>
      <c r="AN305" s="680" t="str">
        <f t="shared" si="164"/>
        <v/>
      </c>
      <c r="AO305" s="289"/>
      <c r="AP305" s="273" t="str">
        <f t="shared" ref="AP305:AU305" si="165">IF(AP35="","",AP35)</f>
        <v/>
      </c>
      <c r="AQ305" s="13" t="str">
        <f t="shared" si="165"/>
        <v/>
      </c>
      <c r="AR305" s="273" t="str">
        <f t="shared" si="165"/>
        <v/>
      </c>
      <c r="AS305" s="13" t="str">
        <f t="shared" si="165"/>
        <v/>
      </c>
      <c r="AT305" s="75" t="str">
        <f t="shared" si="165"/>
        <v/>
      </c>
      <c r="AU305" s="680" t="str">
        <f t="shared" si="165"/>
        <v/>
      </c>
      <c r="AV305" s="13"/>
      <c r="AW305" s="746" t="str">
        <f t="shared" si="108"/>
        <v/>
      </c>
      <c r="AX305" s="746"/>
      <c r="AY305" s="75" t="str">
        <f t="shared" ref="AY305:BE305" si="166">IF(AY35="","",AY35)</f>
        <v/>
      </c>
      <c r="AZ305" s="13" t="str">
        <f t="shared" si="166"/>
        <v/>
      </c>
      <c r="BA305" s="75" t="str">
        <f t="shared" si="166"/>
        <v/>
      </c>
      <c r="BB305" s="13" t="str">
        <f t="shared" si="166"/>
        <v/>
      </c>
      <c r="BC305" s="75" t="str">
        <f t="shared" si="166"/>
        <v/>
      </c>
      <c r="BD305" s="680" t="str">
        <f t="shared" si="166"/>
        <v/>
      </c>
      <c r="BE305" s="746" t="str">
        <f t="shared" si="166"/>
        <v/>
      </c>
      <c r="BF305" s="746"/>
      <c r="BG305" s="13" t="s">
        <v>142</v>
      </c>
      <c r="BH305" s="884" t="str">
        <f t="shared" si="109"/>
        <v/>
      </c>
      <c r="BI305" s="884"/>
      <c r="BJ305" s="590"/>
      <c r="BO305" s="94"/>
      <c r="BP305" s="94"/>
      <c r="BQ305" s="94"/>
      <c r="BR305" s="94"/>
      <c r="BS305" s="94"/>
      <c r="BT305" s="94"/>
      <c r="BU305" s="94"/>
      <c r="BV305" s="94"/>
      <c r="BW305" s="94"/>
      <c r="BX305" s="94"/>
      <c r="BY305" s="94"/>
      <c r="BZ305" s="94"/>
      <c r="CA305" s="94"/>
      <c r="CB305" s="94"/>
      <c r="CC305" s="94"/>
      <c r="CD305" s="94"/>
      <c r="CE305" s="94"/>
      <c r="CF305" s="94"/>
      <c r="CG305" s="94"/>
      <c r="CH305" s="94"/>
      <c r="CI305" s="94"/>
      <c r="CJ305" s="94"/>
      <c r="CK305" s="94"/>
      <c r="CL305" s="94"/>
      <c r="CM305" s="94"/>
      <c r="CN305" s="94"/>
      <c r="CO305" s="94"/>
      <c r="CP305" s="94"/>
      <c r="CQ305" s="94"/>
      <c r="CR305" s="94"/>
      <c r="CS305" s="94"/>
      <c r="CT305" s="94"/>
      <c r="CU305" s="94"/>
      <c r="CV305" s="94"/>
      <c r="CW305" s="94"/>
      <c r="CX305" s="94"/>
      <c r="CY305" s="94"/>
      <c r="CZ305" s="94"/>
    </row>
    <row r="306" spans="1:178" ht="12.75">
      <c r="A306" s="74"/>
      <c r="B306" s="288" t="str">
        <f t="shared" si="99"/>
        <v/>
      </c>
      <c r="C306" s="9"/>
      <c r="D306" s="288" t="str">
        <f t="shared" si="103"/>
        <v/>
      </c>
      <c r="E306" s="274"/>
      <c r="F306" s="883" t="str">
        <f t="shared" si="104"/>
        <v/>
      </c>
      <c r="G306" s="883"/>
      <c r="H306" s="883"/>
      <c r="I306" s="883"/>
      <c r="J306" s="883"/>
      <c r="K306" s="883"/>
      <c r="L306" s="883"/>
      <c r="M306" s="883"/>
      <c r="N306" s="883"/>
      <c r="O306" s="883"/>
      <c r="P306" s="883"/>
      <c r="Q306" s="883"/>
      <c r="R306" s="883"/>
      <c r="S306" s="883"/>
      <c r="T306" s="883"/>
      <c r="U306" s="883"/>
      <c r="V306" s="289"/>
      <c r="W306" s="889" t="str">
        <f t="shared" si="130"/>
        <v/>
      </c>
      <c r="X306" s="889"/>
      <c r="Y306" s="889"/>
      <c r="Z306" s="889"/>
      <c r="AA306" s="889"/>
      <c r="AB306" s="889"/>
      <c r="AC306" s="289"/>
      <c r="AD306" s="885" t="str">
        <f t="shared" si="105"/>
        <v/>
      </c>
      <c r="AE306" s="885"/>
      <c r="AF306" s="885"/>
      <c r="AG306" s="885"/>
      <c r="AH306" s="9"/>
      <c r="AI306" s="288" t="str">
        <f t="shared" ref="AI306:AL306" si="167">IF(AI36="","",AI36)</f>
        <v/>
      </c>
      <c r="AJ306" s="13" t="str">
        <f t="shared" si="167"/>
        <v/>
      </c>
      <c r="AK306" s="288" t="str">
        <f t="shared" si="167"/>
        <v/>
      </c>
      <c r="AL306" s="13" t="str">
        <f t="shared" si="167"/>
        <v/>
      </c>
      <c r="AM306" s="681" t="str">
        <f t="shared" ref="AM306:AN306" si="168">IF(AM36="","",AM36)</f>
        <v/>
      </c>
      <c r="AN306" s="680" t="str">
        <f t="shared" si="168"/>
        <v/>
      </c>
      <c r="AO306" s="289"/>
      <c r="AP306" s="273" t="str">
        <f t="shared" ref="AP306:AU306" si="169">IF(AP36="","",AP36)</f>
        <v/>
      </c>
      <c r="AQ306" s="13" t="str">
        <f t="shared" si="169"/>
        <v/>
      </c>
      <c r="AR306" s="273" t="str">
        <f t="shared" si="169"/>
        <v/>
      </c>
      <c r="AS306" s="13" t="str">
        <f t="shared" si="169"/>
        <v/>
      </c>
      <c r="AT306" s="75" t="str">
        <f t="shared" si="169"/>
        <v/>
      </c>
      <c r="AU306" s="680" t="str">
        <f t="shared" si="169"/>
        <v/>
      </c>
      <c r="AV306" s="13"/>
      <c r="AW306" s="746" t="str">
        <f t="shared" si="108"/>
        <v/>
      </c>
      <c r="AX306" s="746"/>
      <c r="AY306" s="75" t="str">
        <f t="shared" ref="AY306:BE306" si="170">IF(AY36="","",AY36)</f>
        <v/>
      </c>
      <c r="AZ306" s="13" t="str">
        <f t="shared" si="170"/>
        <v/>
      </c>
      <c r="BA306" s="75" t="str">
        <f t="shared" si="170"/>
        <v/>
      </c>
      <c r="BB306" s="13" t="str">
        <f t="shared" si="170"/>
        <v/>
      </c>
      <c r="BC306" s="75" t="str">
        <f t="shared" si="170"/>
        <v/>
      </c>
      <c r="BD306" s="680" t="str">
        <f t="shared" si="170"/>
        <v/>
      </c>
      <c r="BE306" s="746" t="str">
        <f t="shared" si="170"/>
        <v/>
      </c>
      <c r="BF306" s="746"/>
      <c r="BG306" s="13" t="s">
        <v>142</v>
      </c>
      <c r="BH306" s="884" t="str">
        <f t="shared" si="109"/>
        <v/>
      </c>
      <c r="BI306" s="884"/>
      <c r="BJ306" s="590"/>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row>
    <row r="307" spans="1:178" ht="13.5" thickBot="1">
      <c r="A307" s="76"/>
      <c r="B307" s="651"/>
      <c r="C307" s="276"/>
      <c r="D307" s="651"/>
      <c r="E307" s="651"/>
      <c r="F307" s="652"/>
      <c r="G307" s="652"/>
      <c r="H307" s="652"/>
      <c r="I307" s="652"/>
      <c r="J307" s="652"/>
      <c r="K307" s="652"/>
      <c r="L307" s="652"/>
      <c r="M307" s="652"/>
      <c r="N307" s="652"/>
      <c r="O307" s="652"/>
      <c r="P307" s="652"/>
      <c r="Q307" s="653"/>
      <c r="R307" s="651"/>
      <c r="S307" s="651"/>
      <c r="T307" s="651"/>
      <c r="U307" s="651"/>
      <c r="V307" s="654"/>
      <c r="W307" s="651"/>
      <c r="X307" s="651"/>
      <c r="Y307" s="651"/>
      <c r="Z307" s="651"/>
      <c r="AA307" s="651"/>
      <c r="AB307" s="651"/>
      <c r="AC307" s="654"/>
      <c r="AD307" s="655"/>
      <c r="AE307" s="655"/>
      <c r="AF307" s="655"/>
      <c r="AG307" s="655"/>
      <c r="AH307" s="276"/>
      <c r="AI307" s="651"/>
      <c r="AJ307" s="656"/>
      <c r="AK307" s="651"/>
      <c r="AL307" s="656"/>
      <c r="AM307" s="656"/>
      <c r="AN307" s="656"/>
      <c r="AO307" s="654"/>
      <c r="AP307" s="657"/>
      <c r="AQ307" s="656"/>
      <c r="AR307" s="657"/>
      <c r="AS307" s="656"/>
      <c r="AT307" s="656"/>
      <c r="AU307" s="656"/>
      <c r="AV307" s="656"/>
      <c r="AW307" s="658"/>
      <c r="AX307" s="658"/>
      <c r="AY307" s="657"/>
      <c r="AZ307" s="656"/>
      <c r="BA307" s="657"/>
      <c r="BB307" s="656"/>
      <c r="BC307" s="656"/>
      <c r="BD307" s="656"/>
      <c r="BE307" s="658"/>
      <c r="BF307" s="658"/>
      <c r="BG307" s="656"/>
      <c r="BH307" s="659"/>
      <c r="BI307" s="659"/>
      <c r="BJ307" s="660"/>
      <c r="BO307" s="102"/>
      <c r="BP307" s="102"/>
      <c r="BQ307" s="102"/>
      <c r="BR307" s="102"/>
      <c r="BS307" s="102"/>
      <c r="BT307" s="102"/>
      <c r="BU307" s="102"/>
      <c r="BV307" s="102"/>
      <c r="BW307" s="102"/>
      <c r="BX307" s="102"/>
      <c r="BY307" s="94"/>
      <c r="BZ307" s="94"/>
      <c r="CA307" s="94"/>
      <c r="CB307" s="94"/>
      <c r="CC307" s="94"/>
      <c r="CD307" s="94"/>
      <c r="CE307" s="94"/>
      <c r="CF307" s="94"/>
      <c r="CG307" s="94"/>
      <c r="CH307" s="94"/>
      <c r="CI307" s="94"/>
      <c r="CJ307" s="94"/>
      <c r="CK307" s="94"/>
      <c r="CL307" s="94"/>
      <c r="CM307" s="94"/>
      <c r="CN307" s="94"/>
      <c r="CO307" s="94"/>
      <c r="CP307" s="94"/>
      <c r="CQ307" s="94"/>
      <c r="CR307" s="94"/>
      <c r="CS307" s="94"/>
      <c r="CT307" s="94"/>
      <c r="CU307" s="94"/>
      <c r="CV307" s="94"/>
      <c r="CW307" s="94"/>
      <c r="CX307" s="94"/>
      <c r="CY307" s="94"/>
      <c r="CZ307" s="94"/>
    </row>
    <row r="308" spans="1:178" ht="12.75">
      <c r="B308" s="274"/>
      <c r="C308" s="9"/>
      <c r="D308" s="274"/>
      <c r="E308" s="274"/>
      <c r="F308" s="415"/>
      <c r="G308" s="415"/>
      <c r="H308" s="415"/>
      <c r="I308" s="415"/>
      <c r="J308" s="415"/>
      <c r="K308" s="415"/>
      <c r="L308" s="415"/>
      <c r="M308" s="415"/>
      <c r="N308" s="415"/>
      <c r="O308" s="415"/>
      <c r="P308" s="415"/>
      <c r="Q308" s="284"/>
      <c r="R308" s="274"/>
      <c r="S308" s="274"/>
      <c r="T308" s="274"/>
      <c r="U308" s="274"/>
      <c r="V308" s="289"/>
      <c r="W308" s="274"/>
      <c r="X308" s="274"/>
      <c r="Y308" s="274"/>
      <c r="Z308" s="274"/>
      <c r="AA308" s="274"/>
      <c r="AB308" s="274"/>
      <c r="AC308" s="289"/>
      <c r="AD308" s="416"/>
      <c r="AE308" s="416"/>
      <c r="AF308" s="416"/>
      <c r="AG308" s="416"/>
      <c r="AH308" s="9"/>
      <c r="AI308" s="274"/>
      <c r="AJ308" s="13"/>
      <c r="AK308" s="274"/>
      <c r="AL308" s="13"/>
      <c r="AM308" s="672"/>
      <c r="AN308" s="672"/>
      <c r="AO308" s="289"/>
      <c r="AP308" s="417"/>
      <c r="AQ308" s="13"/>
      <c r="AR308" s="417"/>
      <c r="AS308" s="13"/>
      <c r="AT308" s="672"/>
      <c r="AU308" s="672"/>
      <c r="AV308" s="13"/>
      <c r="AW308" s="10"/>
      <c r="AX308" s="10"/>
      <c r="AY308" s="417"/>
      <c r="AZ308" s="13"/>
      <c r="BA308" s="417"/>
      <c r="BB308" s="13"/>
      <c r="BC308" s="672"/>
      <c r="BD308" s="672"/>
      <c r="BE308" s="10"/>
      <c r="BF308" s="10"/>
      <c r="BG308" s="13" t="s">
        <v>142</v>
      </c>
      <c r="BH308" s="884" t="str">
        <f t="shared" si="109"/>
        <v/>
      </c>
      <c r="BI308" s="884"/>
      <c r="BJ308" s="592"/>
      <c r="BO308" s="102"/>
      <c r="BP308" s="102"/>
      <c r="BQ308" s="102"/>
      <c r="BR308" s="102"/>
      <c r="BS308" s="102"/>
      <c r="BT308" s="102"/>
      <c r="BU308" s="102"/>
      <c r="BV308" s="102"/>
      <c r="BW308" s="102"/>
      <c r="BX308" s="102"/>
      <c r="BY308" s="94"/>
      <c r="BZ308" s="94"/>
      <c r="CA308" s="94"/>
      <c r="CB308" s="94"/>
      <c r="CC308" s="94"/>
      <c r="CD308" s="94"/>
      <c r="CE308" s="94"/>
      <c r="CF308" s="94"/>
      <c r="CG308" s="94"/>
      <c r="CH308" s="94"/>
      <c r="CI308" s="94"/>
      <c r="CJ308" s="94"/>
      <c r="CK308" s="94"/>
      <c r="CL308" s="94"/>
      <c r="CM308" s="94"/>
      <c r="CN308" s="94"/>
      <c r="CO308" s="94"/>
      <c r="CP308" s="94"/>
      <c r="CQ308" s="94"/>
      <c r="CR308" s="94"/>
      <c r="CS308" s="94"/>
      <c r="CT308" s="94"/>
      <c r="CU308" s="94"/>
      <c r="CV308" s="94"/>
      <c r="CW308" s="94"/>
      <c r="CX308" s="94"/>
      <c r="CY308" s="94"/>
      <c r="CZ308" s="94"/>
    </row>
    <row r="309" spans="1:178" ht="16.5" thickBot="1">
      <c r="A309" s="80" t="str">
        <f>A39</f>
        <v>MF3a - Package Terminal Air Conditioner</v>
      </c>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c r="AW309" s="80"/>
      <c r="AX309" s="80"/>
      <c r="AY309" s="80"/>
      <c r="AZ309" s="80"/>
      <c r="BA309" s="80"/>
      <c r="BB309" s="80"/>
      <c r="BC309" s="80"/>
      <c r="BD309" s="80"/>
      <c r="BE309" s="80"/>
      <c r="BF309" s="80"/>
      <c r="BG309" s="280"/>
      <c r="BH309" s="20"/>
      <c r="BO309" s="94"/>
      <c r="BP309" s="94"/>
      <c r="BQ309" s="94"/>
      <c r="BR309" s="94"/>
      <c r="BS309" s="94"/>
      <c r="BT309" s="94"/>
      <c r="BU309" s="94"/>
      <c r="BV309" s="94"/>
      <c r="BW309" s="94"/>
      <c r="BX309" s="94"/>
      <c r="BY309" s="94"/>
      <c r="BZ309" s="94"/>
      <c r="CA309" s="94"/>
      <c r="CB309" s="94"/>
      <c r="CC309" s="94"/>
      <c r="CD309" s="94"/>
      <c r="CE309" s="94"/>
      <c r="CF309" s="94"/>
      <c r="CG309" s="94"/>
      <c r="CH309" s="94"/>
      <c r="CI309" s="94"/>
      <c r="CJ309" s="94"/>
      <c r="CK309" s="94"/>
      <c r="CL309" s="94"/>
      <c r="CM309" s="94"/>
      <c r="CN309" s="94"/>
      <c r="CO309" s="94"/>
      <c r="CP309" s="94"/>
      <c r="CQ309" s="94"/>
      <c r="CR309" s="94"/>
      <c r="CS309" s="94"/>
      <c r="CT309" s="94"/>
      <c r="CU309" s="94"/>
      <c r="CV309" s="94"/>
      <c r="CW309" s="94"/>
      <c r="CX309" s="94"/>
      <c r="CY309" s="94"/>
      <c r="CZ309" s="94"/>
    </row>
    <row r="310" spans="1:178" s="22" customFormat="1" ht="12.75" customHeight="1">
      <c r="A310" s="588"/>
      <c r="B310" s="573"/>
      <c r="C310" s="573"/>
      <c r="D310" s="573"/>
      <c r="E310" s="573"/>
      <c r="F310" s="573"/>
      <c r="G310" s="573"/>
      <c r="H310" s="573"/>
      <c r="I310" s="573"/>
      <c r="J310" s="573"/>
      <c r="K310" s="573"/>
      <c r="L310" s="573"/>
      <c r="M310" s="573"/>
      <c r="N310" s="573"/>
      <c r="O310" s="573"/>
      <c r="P310" s="573"/>
      <c r="Q310" s="573"/>
      <c r="R310" s="573"/>
      <c r="S310" s="573"/>
      <c r="T310" s="573"/>
      <c r="U310" s="573"/>
      <c r="V310" s="573"/>
      <c r="W310" s="573"/>
      <c r="X310" s="573"/>
      <c r="Y310" s="573"/>
      <c r="Z310" s="573"/>
      <c r="AA310" s="573"/>
      <c r="AB310" s="573"/>
      <c r="AC310" s="573"/>
      <c r="AD310" s="573"/>
      <c r="AE310" s="573"/>
      <c r="AF310" s="573"/>
      <c r="AG310" s="573"/>
      <c r="AH310" s="573"/>
      <c r="AI310" s="573"/>
      <c r="AJ310" s="573"/>
      <c r="AK310" s="573"/>
      <c r="AL310" s="573"/>
      <c r="AM310" s="674"/>
      <c r="AN310" s="674"/>
      <c r="AO310" s="573"/>
      <c r="AP310" s="887" t="s">
        <v>2655</v>
      </c>
      <c r="AQ310" s="887"/>
      <c r="AR310" s="887"/>
      <c r="AS310" s="887"/>
      <c r="AT310" s="887"/>
      <c r="AU310" s="887"/>
      <c r="AV310" s="887"/>
      <c r="AW310" s="887"/>
      <c r="AX310" s="887"/>
      <c r="AY310" s="887"/>
      <c r="AZ310" s="887"/>
      <c r="BA310" s="887"/>
      <c r="BB310" s="887"/>
      <c r="BC310" s="887"/>
      <c r="BD310" s="887"/>
      <c r="BE310" s="887"/>
      <c r="BF310" s="887"/>
      <c r="BG310" s="589"/>
      <c r="BH310" s="888" t="str">
        <f>IF(BG40="","",BG40)</f>
        <v>Incentive
(tons x $25 or $50)</v>
      </c>
      <c r="BI310" s="888"/>
      <c r="BJ310" s="267"/>
      <c r="BK310" s="1"/>
      <c r="BL310" s="1"/>
      <c r="BM310" s="1"/>
      <c r="BN310" s="1"/>
      <c r="BO310" s="94"/>
      <c r="BP310" s="94"/>
      <c r="BQ310" s="94"/>
      <c r="BR310" s="94"/>
      <c r="BS310" s="94"/>
      <c r="BT310" s="94"/>
      <c r="BU310" s="94"/>
      <c r="BV310" s="94"/>
      <c r="BW310" s="94"/>
      <c r="BX310" s="94"/>
      <c r="BY310" s="102"/>
      <c r="BZ310" s="102"/>
      <c r="CA310" s="102"/>
      <c r="CB310" s="102"/>
      <c r="CC310" s="102"/>
      <c r="CD310" s="102"/>
      <c r="CE310" s="102"/>
      <c r="CF310" s="102"/>
      <c r="CG310" s="102"/>
      <c r="CH310" s="102"/>
      <c r="CI310" s="102"/>
      <c r="CJ310" s="102"/>
      <c r="CK310" s="102"/>
      <c r="CL310" s="102"/>
      <c r="CM310" s="102"/>
      <c r="CN310" s="102"/>
      <c r="CO310" s="102"/>
      <c r="CP310" s="102"/>
      <c r="CQ310" s="102"/>
      <c r="CR310" s="102"/>
      <c r="CS310" s="102"/>
      <c r="CT310" s="102"/>
      <c r="CU310" s="102"/>
      <c r="CV310" s="102"/>
      <c r="CW310" s="102"/>
      <c r="CX310" s="102"/>
      <c r="CY310" s="102"/>
      <c r="CZ310" s="102"/>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row>
    <row r="311" spans="1:178" s="22" customFormat="1" ht="12.75" customHeight="1">
      <c r="A311" s="69"/>
      <c r="B311" s="284"/>
      <c r="C311" s="70"/>
      <c r="D311" s="284"/>
      <c r="E311" s="284"/>
      <c r="F311" s="285"/>
      <c r="G311" s="285"/>
      <c r="H311" s="285"/>
      <c r="I311" s="285"/>
      <c r="J311" s="285"/>
      <c r="K311" s="285"/>
      <c r="L311" s="285"/>
      <c r="M311" s="285"/>
      <c r="N311" s="285"/>
      <c r="O311" s="285"/>
      <c r="P311" s="285"/>
      <c r="Q311" s="284"/>
      <c r="R311" s="632"/>
      <c r="S311" s="632"/>
      <c r="T311" s="632"/>
      <c r="U311" s="632"/>
      <c r="V311" s="289"/>
      <c r="W311" s="632"/>
      <c r="X311" s="632"/>
      <c r="Y311" s="632"/>
      <c r="Z311" s="632"/>
      <c r="AA311" s="632"/>
      <c r="AB311" s="632"/>
      <c r="AC311" s="289"/>
      <c r="AD311" s="289"/>
      <c r="AE311" s="289"/>
      <c r="AF311" s="289"/>
      <c r="AG311" s="289"/>
      <c r="AH311" s="71"/>
      <c r="AI311" s="71" t="str">
        <f t="shared" ref="AI311:AI312" si="171">IF(AI41="","",AI41)</f>
        <v>EER</v>
      </c>
      <c r="AJ311" s="289"/>
      <c r="AK311" s="72"/>
      <c r="AL311" s="289"/>
      <c r="AM311" s="289"/>
      <c r="AN311" s="289"/>
      <c r="AO311" s="289"/>
      <c r="AP311" s="880" t="str">
        <f>IF(AP41="","",AP41)</f>
        <v>10% Better Than Code</v>
      </c>
      <c r="AQ311" s="880" t="str">
        <f t="shared" ref="AQ311:AX311" si="172">IF(AQ41="","",AQ41)</f>
        <v/>
      </c>
      <c r="AR311" s="880" t="str">
        <f t="shared" si="172"/>
        <v/>
      </c>
      <c r="AS311" s="880" t="str">
        <f t="shared" si="172"/>
        <v/>
      </c>
      <c r="AT311" s="880"/>
      <c r="AU311" s="880"/>
      <c r="AV311" s="880" t="str">
        <f t="shared" si="172"/>
        <v/>
      </c>
      <c r="AW311" s="880" t="str">
        <f t="shared" si="172"/>
        <v/>
      </c>
      <c r="AX311" s="880" t="str">
        <f t="shared" si="172"/>
        <v/>
      </c>
      <c r="AY311" s="880" t="str">
        <f>IF(AY41="","",AY41)</f>
        <v>20% Better Than Code</v>
      </c>
      <c r="AZ311" s="880" t="str">
        <f t="shared" ref="AZ311:BG311" si="173">IF(AZ41="","",AZ41)</f>
        <v/>
      </c>
      <c r="BA311" s="880" t="str">
        <f t="shared" si="173"/>
        <v/>
      </c>
      <c r="BB311" s="880" t="str">
        <f t="shared" si="173"/>
        <v/>
      </c>
      <c r="BC311" s="880"/>
      <c r="BD311" s="880"/>
      <c r="BE311" s="880" t="str">
        <f t="shared" si="173"/>
        <v/>
      </c>
      <c r="BF311" s="880" t="str">
        <f t="shared" si="173"/>
        <v/>
      </c>
      <c r="BG311" s="880" t="str">
        <f t="shared" si="173"/>
        <v/>
      </c>
      <c r="BH311" s="736"/>
      <c r="BI311" s="736"/>
      <c r="BJ311" s="73"/>
      <c r="BK311" s="1"/>
      <c r="BL311" s="1"/>
      <c r="BM311" s="1"/>
      <c r="BN311" s="1"/>
      <c r="BO311" s="94"/>
      <c r="BP311" s="94"/>
      <c r="BQ311" s="94"/>
      <c r="BR311" s="94"/>
      <c r="BS311" s="94"/>
      <c r="BT311" s="94"/>
      <c r="BU311" s="94"/>
      <c r="BV311" s="94"/>
      <c r="BW311" s="94"/>
      <c r="BX311" s="94"/>
      <c r="BY311" s="102"/>
      <c r="BZ311" s="102"/>
      <c r="CA311" s="102"/>
      <c r="CB311" s="102"/>
      <c r="CC311" s="102"/>
      <c r="CD311" s="102"/>
      <c r="CE311" s="102"/>
      <c r="CF311" s="102"/>
      <c r="CG311" s="102"/>
      <c r="CH311" s="102"/>
      <c r="CI311" s="102"/>
      <c r="CJ311" s="102"/>
      <c r="CK311" s="102"/>
      <c r="CL311" s="102"/>
      <c r="CM311" s="102"/>
      <c r="CN311" s="102"/>
      <c r="CO311" s="102"/>
      <c r="CP311" s="102"/>
      <c r="CQ311" s="102"/>
      <c r="CR311" s="102"/>
      <c r="CS311" s="102"/>
      <c r="CT311" s="102"/>
      <c r="CU311" s="102"/>
      <c r="CV311" s="102"/>
      <c r="CW311" s="102"/>
      <c r="CX311" s="102"/>
      <c r="CY311" s="102"/>
      <c r="CZ311" s="102"/>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row>
    <row r="312" spans="1:178" s="22" customFormat="1" ht="27.6" customHeight="1">
      <c r="A312" s="69"/>
      <c r="B312" s="246" t="str">
        <f t="shared" ref="B312:D312" si="174">IF(B42="","",B42)</f>
        <v>Qty</v>
      </c>
      <c r="C312" s="412"/>
      <c r="D312" s="246" t="str">
        <f t="shared" si="174"/>
        <v>Tons</v>
      </c>
      <c r="E312" s="246"/>
      <c r="F312" s="246" t="str">
        <f t="shared" ref="F312:F322" si="175">IF(F42="","",F42)</f>
        <v>Description of Location</v>
      </c>
      <c r="G312" s="246"/>
      <c r="H312" s="246"/>
      <c r="I312" s="246"/>
      <c r="J312" s="246"/>
      <c r="K312" s="285"/>
      <c r="L312" s="285"/>
      <c r="M312" s="285"/>
      <c r="N312" s="285"/>
      <c r="O312" s="285"/>
      <c r="P312" s="285"/>
      <c r="Q312" s="284"/>
      <c r="R312" s="632"/>
      <c r="S312" s="632"/>
      <c r="T312" s="632"/>
      <c r="U312" s="632"/>
      <c r="V312" s="289"/>
      <c r="W312" s="632"/>
      <c r="X312" s="632"/>
      <c r="Y312" s="632"/>
      <c r="Z312" s="632"/>
      <c r="AA312" s="632"/>
      <c r="AB312" s="632"/>
      <c r="AC312" s="289"/>
      <c r="AD312" s="246" t="str">
        <f>IF(AD42="","",AD42)</f>
        <v>Model / Designation</v>
      </c>
      <c r="AE312" s="281"/>
      <c r="AF312" s="246"/>
      <c r="AG312" s="246"/>
      <c r="AH312" s="413"/>
      <c r="AI312" s="246" t="str">
        <f t="shared" si="171"/>
        <v>Actual Eff.</v>
      </c>
      <c r="AJ312" s="281"/>
      <c r="AK312" s="246"/>
      <c r="AL312" s="281"/>
      <c r="AM312" s="670"/>
      <c r="AN312" s="670"/>
      <c r="AO312" s="281"/>
      <c r="AP312" s="879" t="str">
        <f>IF(AP42="","",AP42)</f>
        <v>PTAC ($25/ton)</v>
      </c>
      <c r="AQ312" s="863"/>
      <c r="AR312" s="863"/>
      <c r="AS312" s="863"/>
      <c r="AT312" s="863"/>
      <c r="AU312" s="863"/>
      <c r="AV312" s="863"/>
      <c r="AW312" s="863"/>
      <c r="AX312" s="246"/>
      <c r="AY312" s="879" t="str">
        <f>IF(AY42="","",AY42)</f>
        <v>PTAC ($50/ ton)</v>
      </c>
      <c r="AZ312" s="863"/>
      <c r="BA312" s="863"/>
      <c r="BB312" s="863"/>
      <c r="BC312" s="863"/>
      <c r="BD312" s="863"/>
      <c r="BE312" s="863"/>
      <c r="BF312" s="863"/>
      <c r="BG312" s="246"/>
      <c r="BH312" s="736"/>
      <c r="BI312" s="736"/>
      <c r="BJ312" s="73"/>
      <c r="BK312" s="1"/>
      <c r="BL312" s="1"/>
      <c r="BM312" s="1"/>
      <c r="BN312" s="1"/>
      <c r="BO312" s="94"/>
      <c r="BP312" s="94"/>
      <c r="BQ312" s="94"/>
      <c r="BR312" s="94"/>
      <c r="BS312" s="94"/>
      <c r="BT312" s="94"/>
      <c r="BU312" s="94"/>
      <c r="BV312" s="94"/>
      <c r="BW312" s="94"/>
      <c r="BX312" s="94"/>
      <c r="BY312" s="102"/>
      <c r="BZ312" s="102"/>
      <c r="CA312" s="102"/>
      <c r="CB312" s="102"/>
      <c r="CC312" s="102"/>
      <c r="CD312" s="102"/>
      <c r="CE312" s="102"/>
      <c r="CF312" s="102"/>
      <c r="CG312" s="102"/>
      <c r="CH312" s="102"/>
      <c r="CI312" s="102"/>
      <c r="CJ312" s="102"/>
      <c r="CK312" s="102"/>
      <c r="CL312" s="102"/>
      <c r="CM312" s="102"/>
      <c r="CN312" s="102"/>
      <c r="CO312" s="102"/>
      <c r="CP312" s="102"/>
      <c r="CQ312" s="102"/>
      <c r="CR312" s="102"/>
      <c r="CS312" s="102"/>
      <c r="CT312" s="102"/>
      <c r="CU312" s="102"/>
      <c r="CV312" s="102"/>
      <c r="CW312" s="102"/>
      <c r="CX312" s="102"/>
      <c r="CY312" s="102"/>
      <c r="CZ312" s="102"/>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row>
    <row r="313" spans="1:178" ht="12.75" customHeight="1">
      <c r="A313" s="74"/>
      <c r="B313" s="287" t="str">
        <f t="shared" ref="B313:B322" si="176">IF(B43="","",B43)</f>
        <v/>
      </c>
      <c r="C313" s="9"/>
      <c r="D313" s="287" t="str">
        <f t="shared" ref="D313:D322" si="177">IF(D43="","",D43)</f>
        <v/>
      </c>
      <c r="E313" s="274"/>
      <c r="F313" s="883" t="str">
        <f t="shared" si="175"/>
        <v/>
      </c>
      <c r="G313" s="883"/>
      <c r="H313" s="883"/>
      <c r="I313" s="883"/>
      <c r="J313" s="883"/>
      <c r="K313" s="883"/>
      <c r="L313" s="883"/>
      <c r="M313" s="883"/>
      <c r="N313" s="883"/>
      <c r="O313" s="883"/>
      <c r="P313" s="883"/>
      <c r="Q313" s="883"/>
      <c r="R313" s="883"/>
      <c r="S313" s="883"/>
      <c r="T313" s="883"/>
      <c r="U313" s="883"/>
      <c r="V313" s="883"/>
      <c r="W313" s="883"/>
      <c r="X313" s="883"/>
      <c r="Y313" s="883"/>
      <c r="Z313" s="883"/>
      <c r="AA313" s="883"/>
      <c r="AB313" s="274"/>
      <c r="AC313" s="289"/>
      <c r="AD313" s="886" t="str">
        <f t="shared" ref="AD313:AD322" si="178">IF(AD43="","",AD43)</f>
        <v/>
      </c>
      <c r="AE313" s="886"/>
      <c r="AF313" s="886"/>
      <c r="AG313" s="886"/>
      <c r="AH313" s="9"/>
      <c r="AI313" s="287" t="str">
        <f t="shared" ref="AI313:AJ313" si="179">IF(AI43="","",AI43)</f>
        <v/>
      </c>
      <c r="AJ313" s="13" t="str">
        <f t="shared" si="179"/>
        <v/>
      </c>
      <c r="AK313" s="246"/>
      <c r="AL313" s="281"/>
      <c r="AM313" s="670"/>
      <c r="AN313" s="670"/>
      <c r="AO313" s="289"/>
      <c r="AP313" s="75" t="str">
        <f t="shared" ref="AP313:AS313" si="180">IF(AP43="","",AP43)</f>
        <v/>
      </c>
      <c r="AQ313" s="13" t="str">
        <f t="shared" si="180"/>
        <v/>
      </c>
      <c r="AR313" s="417" t="str">
        <f t="shared" si="180"/>
        <v/>
      </c>
      <c r="AS313" s="13" t="str">
        <f t="shared" si="180"/>
        <v/>
      </c>
      <c r="AT313" s="672"/>
      <c r="AU313" s="672"/>
      <c r="AV313" s="13"/>
      <c r="AW313" s="746" t="str">
        <f t="shared" ref="AW313:AW322" si="181">IF(AW43="","",AW43)</f>
        <v/>
      </c>
      <c r="AX313" s="746"/>
      <c r="AY313" s="75" t="str">
        <f t="shared" ref="AY313:BE313" si="182">IF(AY43="","",AY43)</f>
        <v/>
      </c>
      <c r="AZ313" s="13" t="str">
        <f t="shared" si="182"/>
        <v/>
      </c>
      <c r="BA313" s="417" t="str">
        <f t="shared" si="182"/>
        <v/>
      </c>
      <c r="BB313" s="13" t="str">
        <f t="shared" si="182"/>
        <v/>
      </c>
      <c r="BC313" s="672"/>
      <c r="BD313" s="672"/>
      <c r="BE313" s="746" t="str">
        <f t="shared" si="182"/>
        <v/>
      </c>
      <c r="BF313" s="746"/>
      <c r="BG313" s="13" t="s">
        <v>142</v>
      </c>
      <c r="BH313" s="884" t="str">
        <f t="shared" ref="BH313:BH324" si="183">IF(BH43="","",BH43)</f>
        <v/>
      </c>
      <c r="BI313" s="884"/>
      <c r="BJ313" s="590"/>
      <c r="BM313" s="296">
        <f>COUNTIF(AW312:AW322,"Qualified")+COUNTIF(BE312:BE322,"Qualified")</f>
        <v>0</v>
      </c>
      <c r="BO313" s="94"/>
      <c r="BP313" s="94"/>
      <c r="BQ313" s="94"/>
      <c r="BR313" s="94"/>
      <c r="BS313" s="94"/>
      <c r="BT313" s="94"/>
      <c r="BU313" s="94"/>
      <c r="BV313" s="94"/>
      <c r="BW313" s="94"/>
      <c r="BX313" s="94"/>
      <c r="BY313" s="94"/>
      <c r="BZ313" s="94"/>
      <c r="CA313" s="94"/>
      <c r="CB313" s="94"/>
      <c r="CC313" s="94"/>
      <c r="CD313" s="94"/>
      <c r="CE313" s="94"/>
      <c r="CF313" s="94"/>
      <c r="CG313" s="94"/>
      <c r="CH313" s="94"/>
      <c r="CI313" s="94"/>
      <c r="CJ313" s="94"/>
      <c r="CK313" s="94"/>
      <c r="CL313" s="94"/>
      <c r="CM313" s="94"/>
      <c r="CN313" s="94"/>
      <c r="CO313" s="94"/>
      <c r="CP313" s="94"/>
      <c r="CQ313" s="94"/>
      <c r="CR313" s="94"/>
      <c r="CS313" s="94"/>
      <c r="CT313" s="94"/>
      <c r="CU313" s="94"/>
      <c r="CV313" s="94"/>
      <c r="CW313" s="94"/>
      <c r="CX313" s="94"/>
      <c r="CY313" s="94"/>
      <c r="CZ313" s="94"/>
    </row>
    <row r="314" spans="1:178" ht="12.75" customHeight="1">
      <c r="A314" s="74"/>
      <c r="B314" s="288" t="str">
        <f t="shared" si="176"/>
        <v/>
      </c>
      <c r="C314" s="9"/>
      <c r="D314" s="288" t="str">
        <f t="shared" si="177"/>
        <v/>
      </c>
      <c r="E314" s="274"/>
      <c r="F314" s="883" t="str">
        <f t="shared" si="175"/>
        <v/>
      </c>
      <c r="G314" s="883"/>
      <c r="H314" s="883"/>
      <c r="I314" s="883"/>
      <c r="J314" s="883"/>
      <c r="K314" s="883"/>
      <c r="L314" s="883"/>
      <c r="M314" s="883"/>
      <c r="N314" s="883"/>
      <c r="O314" s="883"/>
      <c r="P314" s="883"/>
      <c r="Q314" s="883"/>
      <c r="R314" s="883"/>
      <c r="S314" s="883"/>
      <c r="T314" s="883"/>
      <c r="U314" s="883"/>
      <c r="V314" s="883"/>
      <c r="W314" s="883"/>
      <c r="X314" s="883"/>
      <c r="Y314" s="883"/>
      <c r="Z314" s="883"/>
      <c r="AA314" s="883"/>
      <c r="AB314" s="274"/>
      <c r="AC314" s="289"/>
      <c r="AD314" s="885" t="str">
        <f t="shared" si="178"/>
        <v/>
      </c>
      <c r="AE314" s="885"/>
      <c r="AF314" s="885"/>
      <c r="AG314" s="885"/>
      <c r="AH314" s="9"/>
      <c r="AI314" s="288" t="str">
        <f t="shared" ref="AI314:AJ314" si="184">IF(AI44="","",AI44)</f>
        <v/>
      </c>
      <c r="AJ314" s="13" t="str">
        <f t="shared" si="184"/>
        <v/>
      </c>
      <c r="AK314" s="246"/>
      <c r="AL314" s="281"/>
      <c r="AM314" s="670"/>
      <c r="AN314" s="670"/>
      <c r="AO314" s="289"/>
      <c r="AP314" s="273" t="str">
        <f t="shared" ref="AP314:AS314" si="185">IF(AP44="","",AP44)</f>
        <v/>
      </c>
      <c r="AQ314" s="13" t="str">
        <f t="shared" si="185"/>
        <v/>
      </c>
      <c r="AR314" s="417" t="str">
        <f t="shared" si="185"/>
        <v/>
      </c>
      <c r="AS314" s="13" t="str">
        <f t="shared" si="185"/>
        <v/>
      </c>
      <c r="AT314" s="672"/>
      <c r="AU314" s="672"/>
      <c r="AV314" s="13"/>
      <c r="AW314" s="746" t="str">
        <f t="shared" si="181"/>
        <v/>
      </c>
      <c r="AX314" s="746"/>
      <c r="AY314" s="75" t="str">
        <f t="shared" ref="AY314:BE314" si="186">IF(AY44="","",AY44)</f>
        <v/>
      </c>
      <c r="AZ314" s="13" t="str">
        <f t="shared" si="186"/>
        <v/>
      </c>
      <c r="BA314" s="417" t="str">
        <f t="shared" si="186"/>
        <v/>
      </c>
      <c r="BB314" s="13" t="str">
        <f t="shared" si="186"/>
        <v/>
      </c>
      <c r="BC314" s="672"/>
      <c r="BD314" s="672"/>
      <c r="BE314" s="746" t="str">
        <f t="shared" si="186"/>
        <v/>
      </c>
      <c r="BF314" s="746"/>
      <c r="BG314" s="13" t="s">
        <v>142</v>
      </c>
      <c r="BH314" s="884" t="str">
        <f t="shared" si="183"/>
        <v/>
      </c>
      <c r="BI314" s="884"/>
      <c r="BJ314" s="590"/>
      <c r="BO314" s="94"/>
      <c r="BP314" s="94"/>
      <c r="BQ314" s="94"/>
      <c r="BR314" s="94"/>
      <c r="BS314" s="94"/>
      <c r="BT314" s="94"/>
      <c r="BU314" s="94"/>
      <c r="BV314" s="94"/>
      <c r="BW314" s="94"/>
      <c r="BX314" s="94"/>
      <c r="BY314" s="94"/>
      <c r="BZ314" s="94"/>
      <c r="CA314" s="94"/>
      <c r="CB314" s="94"/>
      <c r="CC314" s="94"/>
      <c r="CD314" s="94"/>
      <c r="CE314" s="94"/>
      <c r="CF314" s="94"/>
      <c r="CG314" s="94"/>
      <c r="CH314" s="94"/>
      <c r="CI314" s="94"/>
      <c r="CJ314" s="94"/>
      <c r="CK314" s="94"/>
      <c r="CL314" s="94"/>
      <c r="CM314" s="94"/>
      <c r="CN314" s="94"/>
      <c r="CO314" s="94"/>
      <c r="CP314" s="94"/>
      <c r="CQ314" s="94"/>
      <c r="CR314" s="94"/>
      <c r="CS314" s="94"/>
      <c r="CT314" s="94"/>
      <c r="CU314" s="94"/>
      <c r="CV314" s="94"/>
      <c r="CW314" s="94"/>
      <c r="CX314" s="94"/>
      <c r="CY314" s="94"/>
      <c r="CZ314" s="94"/>
    </row>
    <row r="315" spans="1:178" ht="12.75">
      <c r="A315" s="74"/>
      <c r="B315" s="288" t="str">
        <f t="shared" si="176"/>
        <v/>
      </c>
      <c r="C315" s="9"/>
      <c r="D315" s="288" t="str">
        <f t="shared" si="177"/>
        <v/>
      </c>
      <c r="E315" s="274"/>
      <c r="F315" s="883" t="str">
        <f t="shared" si="175"/>
        <v/>
      </c>
      <c r="G315" s="883"/>
      <c r="H315" s="883"/>
      <c r="I315" s="883"/>
      <c r="J315" s="883"/>
      <c r="K315" s="883"/>
      <c r="L315" s="883"/>
      <c r="M315" s="883"/>
      <c r="N315" s="883"/>
      <c r="O315" s="883"/>
      <c r="P315" s="883"/>
      <c r="Q315" s="883"/>
      <c r="R315" s="883"/>
      <c r="S315" s="883"/>
      <c r="T315" s="883"/>
      <c r="U315" s="883"/>
      <c r="V315" s="883"/>
      <c r="W315" s="883"/>
      <c r="X315" s="883"/>
      <c r="Y315" s="883"/>
      <c r="Z315" s="883"/>
      <c r="AA315" s="883"/>
      <c r="AB315" s="274"/>
      <c r="AC315" s="289"/>
      <c r="AD315" s="885" t="str">
        <f t="shared" si="178"/>
        <v/>
      </c>
      <c r="AE315" s="885"/>
      <c r="AF315" s="885"/>
      <c r="AG315" s="885"/>
      <c r="AH315" s="9"/>
      <c r="AI315" s="288" t="str">
        <f t="shared" ref="AI315:AJ315" si="187">IF(AI45="","",AI45)</f>
        <v/>
      </c>
      <c r="AJ315" s="13" t="str">
        <f t="shared" si="187"/>
        <v/>
      </c>
      <c r="AK315" s="246"/>
      <c r="AL315" s="281"/>
      <c r="AM315" s="670"/>
      <c r="AN315" s="670"/>
      <c r="AO315" s="289"/>
      <c r="AP315" s="273" t="str">
        <f t="shared" ref="AP315:AS315" si="188">IF(AP45="","",AP45)</f>
        <v/>
      </c>
      <c r="AQ315" s="13" t="str">
        <f t="shared" si="188"/>
        <v/>
      </c>
      <c r="AR315" s="417" t="str">
        <f t="shared" si="188"/>
        <v/>
      </c>
      <c r="AS315" s="13" t="str">
        <f t="shared" si="188"/>
        <v/>
      </c>
      <c r="AT315" s="672"/>
      <c r="AU315" s="672"/>
      <c r="AV315" s="13"/>
      <c r="AW315" s="746" t="str">
        <f t="shared" si="181"/>
        <v/>
      </c>
      <c r="AX315" s="746"/>
      <c r="AY315" s="75" t="str">
        <f t="shared" ref="AY315:BE315" si="189">IF(AY45="","",AY45)</f>
        <v/>
      </c>
      <c r="AZ315" s="13" t="str">
        <f t="shared" si="189"/>
        <v/>
      </c>
      <c r="BA315" s="417" t="str">
        <f t="shared" si="189"/>
        <v/>
      </c>
      <c r="BB315" s="13" t="str">
        <f t="shared" si="189"/>
        <v/>
      </c>
      <c r="BC315" s="672"/>
      <c r="BD315" s="672"/>
      <c r="BE315" s="746" t="str">
        <f t="shared" si="189"/>
        <v/>
      </c>
      <c r="BF315" s="746"/>
      <c r="BG315" s="13" t="s">
        <v>142</v>
      </c>
      <c r="BH315" s="884" t="str">
        <f t="shared" si="183"/>
        <v/>
      </c>
      <c r="BI315" s="884"/>
      <c r="BJ315" s="590"/>
      <c r="BO315" s="94"/>
      <c r="BP315" s="94"/>
      <c r="BQ315" s="94"/>
      <c r="BR315" s="94"/>
      <c r="BS315" s="94"/>
      <c r="BT315" s="94"/>
      <c r="BU315" s="94"/>
      <c r="BV315" s="94"/>
      <c r="BW315" s="94"/>
      <c r="BX315" s="94"/>
      <c r="BY315" s="94"/>
      <c r="BZ315" s="94"/>
      <c r="CA315" s="94"/>
      <c r="CB315" s="94"/>
      <c r="CC315" s="94"/>
      <c r="CD315" s="94"/>
      <c r="CE315" s="94"/>
      <c r="CF315" s="94"/>
      <c r="CG315" s="94"/>
      <c r="CH315" s="94"/>
      <c r="CI315" s="94"/>
      <c r="CJ315" s="94"/>
      <c r="CK315" s="94"/>
      <c r="CL315" s="94"/>
      <c r="CM315" s="94"/>
      <c r="CN315" s="94"/>
      <c r="CO315" s="94"/>
      <c r="CP315" s="94"/>
      <c r="CQ315" s="94"/>
      <c r="CR315" s="94"/>
      <c r="CS315" s="94"/>
      <c r="CT315" s="94"/>
      <c r="CU315" s="94"/>
      <c r="CV315" s="94"/>
      <c r="CW315" s="94"/>
      <c r="CX315" s="94"/>
      <c r="CY315" s="94"/>
      <c r="CZ315" s="94"/>
    </row>
    <row r="316" spans="1:178" ht="12.75">
      <c r="A316" s="74"/>
      <c r="B316" s="288" t="str">
        <f t="shared" si="176"/>
        <v/>
      </c>
      <c r="C316" s="9"/>
      <c r="D316" s="288" t="str">
        <f t="shared" si="177"/>
        <v/>
      </c>
      <c r="E316" s="274"/>
      <c r="F316" s="883" t="str">
        <f t="shared" si="175"/>
        <v/>
      </c>
      <c r="G316" s="883"/>
      <c r="H316" s="883"/>
      <c r="I316" s="883"/>
      <c r="J316" s="883"/>
      <c r="K316" s="883"/>
      <c r="L316" s="883"/>
      <c r="M316" s="883"/>
      <c r="N316" s="883"/>
      <c r="O316" s="883"/>
      <c r="P316" s="883"/>
      <c r="Q316" s="883"/>
      <c r="R316" s="883"/>
      <c r="S316" s="883"/>
      <c r="T316" s="883"/>
      <c r="U316" s="883"/>
      <c r="V316" s="883"/>
      <c r="W316" s="883"/>
      <c r="X316" s="883"/>
      <c r="Y316" s="883"/>
      <c r="Z316" s="883"/>
      <c r="AA316" s="883"/>
      <c r="AB316" s="274"/>
      <c r="AC316" s="289"/>
      <c r="AD316" s="885" t="str">
        <f t="shared" si="178"/>
        <v/>
      </c>
      <c r="AE316" s="885"/>
      <c r="AF316" s="885"/>
      <c r="AG316" s="885"/>
      <c r="AH316" s="9"/>
      <c r="AI316" s="288" t="str">
        <f t="shared" ref="AI316:AJ316" si="190">IF(AI46="","",AI46)</f>
        <v/>
      </c>
      <c r="AJ316" s="13" t="str">
        <f t="shared" si="190"/>
        <v/>
      </c>
      <c r="AK316" s="246"/>
      <c r="AL316" s="281"/>
      <c r="AM316" s="670"/>
      <c r="AN316" s="670"/>
      <c r="AO316" s="289"/>
      <c r="AP316" s="273" t="str">
        <f t="shared" ref="AP316:AS316" si="191">IF(AP46="","",AP46)</f>
        <v/>
      </c>
      <c r="AQ316" s="13" t="str">
        <f t="shared" si="191"/>
        <v/>
      </c>
      <c r="AR316" s="417" t="str">
        <f t="shared" si="191"/>
        <v/>
      </c>
      <c r="AS316" s="13" t="str">
        <f t="shared" si="191"/>
        <v/>
      </c>
      <c r="AT316" s="672"/>
      <c r="AU316" s="672"/>
      <c r="AV316" s="13"/>
      <c r="AW316" s="746" t="str">
        <f t="shared" si="181"/>
        <v/>
      </c>
      <c r="AX316" s="746"/>
      <c r="AY316" s="75" t="str">
        <f t="shared" ref="AY316:BE316" si="192">IF(AY46="","",AY46)</f>
        <v/>
      </c>
      <c r="AZ316" s="13" t="str">
        <f t="shared" si="192"/>
        <v/>
      </c>
      <c r="BA316" s="417" t="str">
        <f t="shared" si="192"/>
        <v/>
      </c>
      <c r="BB316" s="13" t="str">
        <f t="shared" si="192"/>
        <v/>
      </c>
      <c r="BC316" s="672"/>
      <c r="BD316" s="672"/>
      <c r="BE316" s="746" t="str">
        <f t="shared" si="192"/>
        <v/>
      </c>
      <c r="BF316" s="746"/>
      <c r="BG316" s="13" t="s">
        <v>142</v>
      </c>
      <c r="BH316" s="884" t="str">
        <f t="shared" si="183"/>
        <v/>
      </c>
      <c r="BI316" s="884"/>
      <c r="BJ316" s="590"/>
      <c r="BO316" s="94"/>
      <c r="BP316" s="94"/>
      <c r="BQ316" s="94"/>
      <c r="BR316" s="94"/>
      <c r="BS316" s="94"/>
      <c r="BT316" s="94"/>
      <c r="BU316" s="94"/>
      <c r="BV316" s="94"/>
      <c r="BW316" s="94"/>
      <c r="BX316" s="94"/>
      <c r="BY316" s="94"/>
      <c r="BZ316" s="94"/>
      <c r="CA316" s="94"/>
      <c r="CB316" s="94"/>
      <c r="CC316" s="94"/>
      <c r="CD316" s="94"/>
      <c r="CE316" s="94"/>
      <c r="CF316" s="94"/>
      <c r="CG316" s="94"/>
      <c r="CH316" s="94"/>
      <c r="CI316" s="94"/>
      <c r="CJ316" s="94"/>
      <c r="CK316" s="94"/>
      <c r="CL316" s="94"/>
      <c r="CM316" s="94"/>
      <c r="CN316" s="94"/>
      <c r="CO316" s="94"/>
      <c r="CP316" s="94"/>
      <c r="CQ316" s="94"/>
      <c r="CR316" s="94"/>
      <c r="CS316" s="94"/>
      <c r="CT316" s="94"/>
      <c r="CU316" s="94"/>
      <c r="CV316" s="94"/>
      <c r="CW316" s="94"/>
      <c r="CX316" s="94"/>
      <c r="CY316" s="94"/>
      <c r="CZ316" s="94"/>
    </row>
    <row r="317" spans="1:178" ht="12.75">
      <c r="A317" s="74"/>
      <c r="B317" s="288" t="str">
        <f t="shared" si="176"/>
        <v/>
      </c>
      <c r="C317" s="9"/>
      <c r="D317" s="288" t="str">
        <f t="shared" si="177"/>
        <v/>
      </c>
      <c r="E317" s="274"/>
      <c r="F317" s="883" t="str">
        <f t="shared" si="175"/>
        <v/>
      </c>
      <c r="G317" s="883"/>
      <c r="H317" s="883"/>
      <c r="I317" s="883"/>
      <c r="J317" s="883"/>
      <c r="K317" s="883"/>
      <c r="L317" s="883"/>
      <c r="M317" s="883"/>
      <c r="N317" s="883"/>
      <c r="O317" s="883"/>
      <c r="P317" s="883"/>
      <c r="Q317" s="883"/>
      <c r="R317" s="883"/>
      <c r="S317" s="883"/>
      <c r="T317" s="883"/>
      <c r="U317" s="883"/>
      <c r="V317" s="883"/>
      <c r="W317" s="883"/>
      <c r="X317" s="883"/>
      <c r="Y317" s="883"/>
      <c r="Z317" s="883"/>
      <c r="AA317" s="883"/>
      <c r="AB317" s="274"/>
      <c r="AC317" s="289"/>
      <c r="AD317" s="885" t="str">
        <f t="shared" si="178"/>
        <v/>
      </c>
      <c r="AE317" s="885"/>
      <c r="AF317" s="885"/>
      <c r="AG317" s="885"/>
      <c r="AH317" s="9"/>
      <c r="AI317" s="288" t="str">
        <f t="shared" ref="AI317:AJ317" si="193">IF(AI47="","",AI47)</f>
        <v/>
      </c>
      <c r="AJ317" s="13" t="str">
        <f t="shared" si="193"/>
        <v/>
      </c>
      <c r="AK317" s="246"/>
      <c r="AL317" s="281"/>
      <c r="AM317" s="670"/>
      <c r="AN317" s="670"/>
      <c r="AO317" s="289"/>
      <c r="AP317" s="273" t="str">
        <f t="shared" ref="AP317:AS317" si="194">IF(AP47="","",AP47)</f>
        <v/>
      </c>
      <c r="AQ317" s="13" t="str">
        <f t="shared" si="194"/>
        <v/>
      </c>
      <c r="AR317" s="417" t="str">
        <f t="shared" si="194"/>
        <v/>
      </c>
      <c r="AS317" s="13" t="str">
        <f t="shared" si="194"/>
        <v/>
      </c>
      <c r="AT317" s="672"/>
      <c r="AU317" s="672"/>
      <c r="AV317" s="13"/>
      <c r="AW317" s="746" t="str">
        <f t="shared" si="181"/>
        <v/>
      </c>
      <c r="AX317" s="746"/>
      <c r="AY317" s="75" t="str">
        <f t="shared" ref="AY317:BE317" si="195">IF(AY47="","",AY47)</f>
        <v/>
      </c>
      <c r="AZ317" s="13" t="str">
        <f t="shared" si="195"/>
        <v/>
      </c>
      <c r="BA317" s="417" t="str">
        <f t="shared" si="195"/>
        <v/>
      </c>
      <c r="BB317" s="13" t="str">
        <f t="shared" si="195"/>
        <v/>
      </c>
      <c r="BC317" s="672"/>
      <c r="BD317" s="672"/>
      <c r="BE317" s="746" t="str">
        <f t="shared" si="195"/>
        <v/>
      </c>
      <c r="BF317" s="746"/>
      <c r="BG317" s="13" t="s">
        <v>142</v>
      </c>
      <c r="BH317" s="884" t="str">
        <f t="shared" si="183"/>
        <v/>
      </c>
      <c r="BI317" s="884"/>
      <c r="BJ317" s="590"/>
      <c r="BO317" s="94"/>
      <c r="BP317" s="94"/>
      <c r="BQ317" s="94"/>
      <c r="BR317" s="94"/>
      <c r="BS317" s="94"/>
      <c r="BT317" s="94"/>
      <c r="BU317" s="94"/>
      <c r="BV317" s="94"/>
      <c r="BW317" s="94"/>
      <c r="BX317" s="94"/>
      <c r="BY317" s="94"/>
      <c r="BZ317" s="94"/>
      <c r="CA317" s="94"/>
      <c r="CB317" s="94"/>
      <c r="CC317" s="94"/>
      <c r="CD317" s="94"/>
      <c r="CE317" s="94"/>
      <c r="CF317" s="94"/>
      <c r="CG317" s="94"/>
      <c r="CH317" s="94"/>
      <c r="CI317" s="94"/>
      <c r="CJ317" s="94"/>
      <c r="CK317" s="94"/>
      <c r="CL317" s="94"/>
      <c r="CM317" s="94"/>
      <c r="CN317" s="94"/>
      <c r="CO317" s="94"/>
      <c r="CP317" s="94"/>
      <c r="CQ317" s="94"/>
      <c r="CR317" s="94"/>
      <c r="CS317" s="94"/>
      <c r="CT317" s="94"/>
      <c r="CU317" s="94"/>
      <c r="CV317" s="94"/>
      <c r="CW317" s="94"/>
      <c r="CX317" s="94"/>
      <c r="CY317" s="94"/>
      <c r="CZ317" s="94"/>
    </row>
    <row r="318" spans="1:178" ht="12.75">
      <c r="A318" s="74"/>
      <c r="B318" s="288" t="str">
        <f t="shared" si="176"/>
        <v/>
      </c>
      <c r="C318" s="9"/>
      <c r="D318" s="288" t="str">
        <f t="shared" si="177"/>
        <v/>
      </c>
      <c r="E318" s="274"/>
      <c r="F318" s="883" t="str">
        <f t="shared" si="175"/>
        <v/>
      </c>
      <c r="G318" s="883"/>
      <c r="H318" s="883"/>
      <c r="I318" s="883"/>
      <c r="J318" s="883"/>
      <c r="K318" s="883"/>
      <c r="L318" s="883"/>
      <c r="M318" s="883"/>
      <c r="N318" s="883"/>
      <c r="O318" s="883"/>
      <c r="P318" s="883"/>
      <c r="Q318" s="883"/>
      <c r="R318" s="883"/>
      <c r="S318" s="883"/>
      <c r="T318" s="883"/>
      <c r="U318" s="883"/>
      <c r="V318" s="883"/>
      <c r="W318" s="883"/>
      <c r="X318" s="883"/>
      <c r="Y318" s="883"/>
      <c r="Z318" s="883"/>
      <c r="AA318" s="883"/>
      <c r="AB318" s="274"/>
      <c r="AC318" s="289"/>
      <c r="AD318" s="885" t="str">
        <f t="shared" si="178"/>
        <v/>
      </c>
      <c r="AE318" s="885"/>
      <c r="AF318" s="885"/>
      <c r="AG318" s="885"/>
      <c r="AH318" s="9"/>
      <c r="AI318" s="288" t="str">
        <f t="shared" ref="AI318:AJ318" si="196">IF(AI48="","",AI48)</f>
        <v/>
      </c>
      <c r="AJ318" s="13" t="str">
        <f t="shared" si="196"/>
        <v/>
      </c>
      <c r="AK318" s="246"/>
      <c r="AL318" s="281"/>
      <c r="AM318" s="670"/>
      <c r="AN318" s="670"/>
      <c r="AO318" s="289"/>
      <c r="AP318" s="273" t="str">
        <f t="shared" ref="AP318:AS318" si="197">IF(AP48="","",AP48)</f>
        <v/>
      </c>
      <c r="AQ318" s="13" t="str">
        <f t="shared" si="197"/>
        <v/>
      </c>
      <c r="AR318" s="417" t="str">
        <f t="shared" si="197"/>
        <v/>
      </c>
      <c r="AS318" s="13" t="str">
        <f t="shared" si="197"/>
        <v/>
      </c>
      <c r="AT318" s="672"/>
      <c r="AU318" s="672"/>
      <c r="AV318" s="13"/>
      <c r="AW318" s="746" t="str">
        <f t="shared" si="181"/>
        <v/>
      </c>
      <c r="AX318" s="746"/>
      <c r="AY318" s="75" t="str">
        <f t="shared" ref="AY318:BE318" si="198">IF(AY48="","",AY48)</f>
        <v/>
      </c>
      <c r="AZ318" s="13" t="str">
        <f t="shared" si="198"/>
        <v/>
      </c>
      <c r="BA318" s="417" t="str">
        <f t="shared" si="198"/>
        <v/>
      </c>
      <c r="BB318" s="13" t="str">
        <f t="shared" si="198"/>
        <v/>
      </c>
      <c r="BC318" s="672"/>
      <c r="BD318" s="672"/>
      <c r="BE318" s="746" t="str">
        <f t="shared" si="198"/>
        <v/>
      </c>
      <c r="BF318" s="746"/>
      <c r="BG318" s="13" t="s">
        <v>142</v>
      </c>
      <c r="BH318" s="884" t="str">
        <f t="shared" si="183"/>
        <v/>
      </c>
      <c r="BI318" s="884"/>
      <c r="BJ318" s="590"/>
      <c r="BO318" s="94"/>
      <c r="BP318" s="94"/>
      <c r="BQ318" s="94"/>
      <c r="BR318" s="94"/>
      <c r="BS318" s="94"/>
      <c r="BT318" s="94"/>
      <c r="BU318" s="94"/>
      <c r="BV318" s="94"/>
      <c r="BW318" s="94"/>
      <c r="BX318" s="94"/>
      <c r="BY318" s="94"/>
      <c r="BZ318" s="94"/>
      <c r="CA318" s="94"/>
      <c r="CB318" s="94"/>
      <c r="CC318" s="94"/>
      <c r="CD318" s="94"/>
      <c r="CE318" s="94"/>
      <c r="CF318" s="94"/>
      <c r="CG318" s="94"/>
      <c r="CH318" s="94"/>
      <c r="CI318" s="94"/>
      <c r="CJ318" s="94"/>
      <c r="CK318" s="94"/>
      <c r="CL318" s="94"/>
      <c r="CM318" s="94"/>
      <c r="CN318" s="94"/>
      <c r="CO318" s="94"/>
      <c r="CP318" s="94"/>
      <c r="CQ318" s="94"/>
      <c r="CR318" s="94"/>
      <c r="CS318" s="94"/>
      <c r="CT318" s="94"/>
      <c r="CU318" s="94"/>
      <c r="CV318" s="94"/>
      <c r="CW318" s="94"/>
      <c r="CX318" s="94"/>
      <c r="CY318" s="94"/>
      <c r="CZ318" s="94"/>
    </row>
    <row r="319" spans="1:178" ht="12.75">
      <c r="A319" s="74"/>
      <c r="B319" s="288" t="str">
        <f t="shared" si="176"/>
        <v/>
      </c>
      <c r="C319" s="9"/>
      <c r="D319" s="288" t="str">
        <f t="shared" si="177"/>
        <v/>
      </c>
      <c r="E319" s="274"/>
      <c r="F319" s="883" t="str">
        <f t="shared" si="175"/>
        <v/>
      </c>
      <c r="G319" s="883"/>
      <c r="H319" s="883"/>
      <c r="I319" s="883"/>
      <c r="J319" s="883"/>
      <c r="K319" s="883"/>
      <c r="L319" s="883"/>
      <c r="M319" s="883"/>
      <c r="N319" s="883"/>
      <c r="O319" s="883"/>
      <c r="P319" s="883"/>
      <c r="Q319" s="883"/>
      <c r="R319" s="883"/>
      <c r="S319" s="883"/>
      <c r="T319" s="883"/>
      <c r="U319" s="883"/>
      <c r="V319" s="883"/>
      <c r="W319" s="883"/>
      <c r="X319" s="883"/>
      <c r="Y319" s="883"/>
      <c r="Z319" s="883"/>
      <c r="AA319" s="883"/>
      <c r="AB319" s="274"/>
      <c r="AC319" s="289"/>
      <c r="AD319" s="885" t="str">
        <f t="shared" si="178"/>
        <v/>
      </c>
      <c r="AE319" s="885"/>
      <c r="AF319" s="885"/>
      <c r="AG319" s="885"/>
      <c r="AH319" s="9"/>
      <c r="AI319" s="288" t="str">
        <f t="shared" ref="AI319:AJ319" si="199">IF(AI49="","",AI49)</f>
        <v/>
      </c>
      <c r="AJ319" s="13" t="str">
        <f t="shared" si="199"/>
        <v/>
      </c>
      <c r="AK319" s="246"/>
      <c r="AL319" s="281"/>
      <c r="AM319" s="670"/>
      <c r="AN319" s="670"/>
      <c r="AO319" s="289"/>
      <c r="AP319" s="273" t="str">
        <f t="shared" ref="AP319:AS319" si="200">IF(AP49="","",AP49)</f>
        <v/>
      </c>
      <c r="AQ319" s="13" t="str">
        <f t="shared" si="200"/>
        <v/>
      </c>
      <c r="AR319" s="417" t="str">
        <f t="shared" si="200"/>
        <v/>
      </c>
      <c r="AS319" s="13" t="str">
        <f t="shared" si="200"/>
        <v/>
      </c>
      <c r="AT319" s="672"/>
      <c r="AU319" s="672"/>
      <c r="AV319" s="13"/>
      <c r="AW319" s="746" t="str">
        <f t="shared" si="181"/>
        <v/>
      </c>
      <c r="AX319" s="746"/>
      <c r="AY319" s="75" t="str">
        <f t="shared" ref="AY319:BE319" si="201">IF(AY49="","",AY49)</f>
        <v/>
      </c>
      <c r="AZ319" s="13" t="str">
        <f t="shared" si="201"/>
        <v/>
      </c>
      <c r="BA319" s="417" t="str">
        <f t="shared" si="201"/>
        <v/>
      </c>
      <c r="BB319" s="13" t="str">
        <f t="shared" si="201"/>
        <v/>
      </c>
      <c r="BC319" s="672"/>
      <c r="BD319" s="672"/>
      <c r="BE319" s="746" t="str">
        <f t="shared" si="201"/>
        <v/>
      </c>
      <c r="BF319" s="746"/>
      <c r="BG319" s="13" t="s">
        <v>142</v>
      </c>
      <c r="BH319" s="884" t="str">
        <f t="shared" si="183"/>
        <v/>
      </c>
      <c r="BI319" s="884"/>
      <c r="BJ319" s="590"/>
      <c r="BO319" s="94"/>
      <c r="BP319" s="94"/>
      <c r="BQ319" s="94"/>
      <c r="BR319" s="94"/>
      <c r="BS319" s="94"/>
      <c r="BT319" s="94"/>
      <c r="BU319" s="94"/>
      <c r="BV319" s="94"/>
      <c r="BW319" s="94"/>
      <c r="BX319" s="94"/>
      <c r="BY319" s="94"/>
      <c r="BZ319" s="94"/>
      <c r="CA319" s="94"/>
      <c r="CB319" s="94"/>
      <c r="CC319" s="94"/>
      <c r="CD319" s="94"/>
      <c r="CE319" s="94"/>
      <c r="CF319" s="94"/>
      <c r="CG319" s="94"/>
      <c r="CH319" s="94"/>
      <c r="CI319" s="94"/>
      <c r="CJ319" s="94"/>
      <c r="CK319" s="94"/>
      <c r="CL319" s="94"/>
      <c r="CM319" s="94"/>
      <c r="CN319" s="94"/>
      <c r="CO319" s="94"/>
      <c r="CP319" s="94"/>
      <c r="CQ319" s="94"/>
      <c r="CR319" s="94"/>
      <c r="CS319" s="94"/>
      <c r="CT319" s="94"/>
      <c r="CU319" s="94"/>
      <c r="CV319" s="94"/>
      <c r="CW319" s="94"/>
      <c r="CX319" s="94"/>
      <c r="CY319" s="94"/>
      <c r="CZ319" s="94"/>
    </row>
    <row r="320" spans="1:178" ht="12.75">
      <c r="A320" s="74"/>
      <c r="B320" s="288" t="str">
        <f t="shared" si="176"/>
        <v/>
      </c>
      <c r="C320" s="9"/>
      <c r="D320" s="288" t="str">
        <f t="shared" si="177"/>
        <v/>
      </c>
      <c r="E320" s="274"/>
      <c r="F320" s="883" t="str">
        <f t="shared" si="175"/>
        <v/>
      </c>
      <c r="G320" s="883"/>
      <c r="H320" s="883"/>
      <c r="I320" s="883"/>
      <c r="J320" s="883"/>
      <c r="K320" s="883"/>
      <c r="L320" s="883"/>
      <c r="M320" s="883"/>
      <c r="N320" s="883"/>
      <c r="O320" s="883"/>
      <c r="P320" s="883"/>
      <c r="Q320" s="883"/>
      <c r="R320" s="883"/>
      <c r="S320" s="883"/>
      <c r="T320" s="883"/>
      <c r="U320" s="883"/>
      <c r="V320" s="883"/>
      <c r="W320" s="883"/>
      <c r="X320" s="883"/>
      <c r="Y320" s="883"/>
      <c r="Z320" s="883"/>
      <c r="AA320" s="883"/>
      <c r="AB320" s="274"/>
      <c r="AC320" s="289"/>
      <c r="AD320" s="885" t="str">
        <f t="shared" si="178"/>
        <v/>
      </c>
      <c r="AE320" s="885"/>
      <c r="AF320" s="885"/>
      <c r="AG320" s="885"/>
      <c r="AH320" s="9"/>
      <c r="AI320" s="288" t="str">
        <f t="shared" ref="AI320:AJ320" si="202">IF(AI50="","",AI50)</f>
        <v/>
      </c>
      <c r="AJ320" s="13" t="str">
        <f t="shared" si="202"/>
        <v/>
      </c>
      <c r="AK320" s="246"/>
      <c r="AL320" s="281"/>
      <c r="AM320" s="670"/>
      <c r="AN320" s="670"/>
      <c r="AO320" s="289"/>
      <c r="AP320" s="273" t="str">
        <f t="shared" ref="AP320:AS320" si="203">IF(AP50="","",AP50)</f>
        <v/>
      </c>
      <c r="AQ320" s="13" t="str">
        <f t="shared" si="203"/>
        <v/>
      </c>
      <c r="AR320" s="417" t="str">
        <f t="shared" si="203"/>
        <v/>
      </c>
      <c r="AS320" s="13" t="str">
        <f t="shared" si="203"/>
        <v/>
      </c>
      <c r="AT320" s="672"/>
      <c r="AU320" s="672"/>
      <c r="AV320" s="13"/>
      <c r="AW320" s="746" t="str">
        <f t="shared" si="181"/>
        <v/>
      </c>
      <c r="AX320" s="746"/>
      <c r="AY320" s="75" t="str">
        <f t="shared" ref="AY320:BE320" si="204">IF(AY50="","",AY50)</f>
        <v/>
      </c>
      <c r="AZ320" s="13" t="str">
        <f t="shared" si="204"/>
        <v/>
      </c>
      <c r="BA320" s="417" t="str">
        <f t="shared" si="204"/>
        <v/>
      </c>
      <c r="BB320" s="13" t="str">
        <f t="shared" si="204"/>
        <v/>
      </c>
      <c r="BC320" s="672"/>
      <c r="BD320" s="672"/>
      <c r="BE320" s="746" t="str">
        <f t="shared" si="204"/>
        <v/>
      </c>
      <c r="BF320" s="746"/>
      <c r="BG320" s="13" t="s">
        <v>142</v>
      </c>
      <c r="BH320" s="884" t="str">
        <f t="shared" si="183"/>
        <v/>
      </c>
      <c r="BI320" s="884"/>
      <c r="BJ320" s="590"/>
      <c r="BO320" s="94"/>
      <c r="BP320" s="94"/>
      <c r="BQ320" s="94"/>
      <c r="BR320" s="94"/>
      <c r="BS320" s="94"/>
      <c r="BT320" s="94"/>
      <c r="BU320" s="94"/>
      <c r="BV320" s="94"/>
      <c r="BW320" s="94"/>
      <c r="BX320" s="94"/>
      <c r="BY320" s="94"/>
      <c r="BZ320" s="94"/>
      <c r="CA320" s="94"/>
      <c r="CB320" s="94"/>
      <c r="CC320" s="94"/>
      <c r="CD320" s="94"/>
      <c r="CE320" s="94"/>
      <c r="CF320" s="94"/>
      <c r="CG320" s="94"/>
      <c r="CH320" s="94"/>
      <c r="CI320" s="94"/>
      <c r="CJ320" s="94"/>
      <c r="CK320" s="94"/>
      <c r="CL320" s="94"/>
      <c r="CM320" s="94"/>
      <c r="CN320" s="94"/>
      <c r="CO320" s="94"/>
      <c r="CP320" s="94"/>
      <c r="CQ320" s="94"/>
      <c r="CR320" s="94"/>
      <c r="CS320" s="94"/>
      <c r="CT320" s="94"/>
      <c r="CU320" s="94"/>
      <c r="CV320" s="94"/>
      <c r="CW320" s="94"/>
      <c r="CX320" s="94"/>
      <c r="CY320" s="94"/>
      <c r="CZ320" s="94"/>
    </row>
    <row r="321" spans="1:178" ht="12.75">
      <c r="A321" s="74"/>
      <c r="B321" s="288" t="str">
        <f t="shared" si="176"/>
        <v/>
      </c>
      <c r="C321" s="9"/>
      <c r="D321" s="288" t="str">
        <f t="shared" si="177"/>
        <v/>
      </c>
      <c r="E321" s="274"/>
      <c r="F321" s="883" t="str">
        <f t="shared" si="175"/>
        <v/>
      </c>
      <c r="G321" s="883"/>
      <c r="H321" s="883"/>
      <c r="I321" s="883"/>
      <c r="J321" s="883"/>
      <c r="K321" s="883"/>
      <c r="L321" s="883"/>
      <c r="M321" s="883"/>
      <c r="N321" s="883"/>
      <c r="O321" s="883"/>
      <c r="P321" s="883"/>
      <c r="Q321" s="883"/>
      <c r="R321" s="883"/>
      <c r="S321" s="883"/>
      <c r="T321" s="883"/>
      <c r="U321" s="883"/>
      <c r="V321" s="883"/>
      <c r="W321" s="883"/>
      <c r="X321" s="883"/>
      <c r="Y321" s="883"/>
      <c r="Z321" s="883"/>
      <c r="AA321" s="883"/>
      <c r="AB321" s="274"/>
      <c r="AC321" s="289"/>
      <c r="AD321" s="885" t="str">
        <f t="shared" si="178"/>
        <v/>
      </c>
      <c r="AE321" s="885"/>
      <c r="AF321" s="885"/>
      <c r="AG321" s="885"/>
      <c r="AH321" s="9"/>
      <c r="AI321" s="288" t="str">
        <f t="shared" ref="AI321:AJ321" si="205">IF(AI51="","",AI51)</f>
        <v/>
      </c>
      <c r="AJ321" s="13" t="str">
        <f t="shared" si="205"/>
        <v/>
      </c>
      <c r="AK321" s="246"/>
      <c r="AL321" s="281"/>
      <c r="AM321" s="670"/>
      <c r="AN321" s="670"/>
      <c r="AO321" s="289"/>
      <c r="AP321" s="273" t="str">
        <f t="shared" ref="AP321:AS321" si="206">IF(AP51="","",AP51)</f>
        <v/>
      </c>
      <c r="AQ321" s="13" t="str">
        <f t="shared" si="206"/>
        <v/>
      </c>
      <c r="AR321" s="417" t="str">
        <f t="shared" si="206"/>
        <v/>
      </c>
      <c r="AS321" s="13" t="str">
        <f t="shared" si="206"/>
        <v/>
      </c>
      <c r="AT321" s="672"/>
      <c r="AU321" s="672"/>
      <c r="AV321" s="13"/>
      <c r="AW321" s="746" t="str">
        <f t="shared" si="181"/>
        <v/>
      </c>
      <c r="AX321" s="746"/>
      <c r="AY321" s="75" t="str">
        <f t="shared" ref="AY321:BE321" si="207">IF(AY51="","",AY51)</f>
        <v/>
      </c>
      <c r="AZ321" s="13" t="str">
        <f t="shared" si="207"/>
        <v/>
      </c>
      <c r="BA321" s="417" t="str">
        <f t="shared" si="207"/>
        <v/>
      </c>
      <c r="BB321" s="13" t="str">
        <f t="shared" si="207"/>
        <v/>
      </c>
      <c r="BC321" s="672"/>
      <c r="BD321" s="672"/>
      <c r="BE321" s="746" t="str">
        <f t="shared" si="207"/>
        <v/>
      </c>
      <c r="BF321" s="746"/>
      <c r="BG321" s="13" t="s">
        <v>142</v>
      </c>
      <c r="BH321" s="884" t="str">
        <f t="shared" si="183"/>
        <v/>
      </c>
      <c r="BI321" s="884"/>
      <c r="BJ321" s="590"/>
      <c r="BO321" s="94"/>
      <c r="BP321" s="94"/>
      <c r="BQ321" s="94"/>
      <c r="BR321" s="94"/>
      <c r="BS321" s="94"/>
      <c r="BT321" s="94"/>
      <c r="BU321" s="94"/>
      <c r="BV321" s="94"/>
      <c r="BW321" s="94"/>
      <c r="BX321" s="94"/>
      <c r="BY321" s="94"/>
      <c r="BZ321" s="94"/>
      <c r="CA321" s="94"/>
      <c r="CB321" s="94"/>
      <c r="CC321" s="94"/>
      <c r="CD321" s="94"/>
      <c r="CE321" s="94"/>
      <c r="CF321" s="94"/>
      <c r="CG321" s="94"/>
      <c r="CH321" s="94"/>
      <c r="CI321" s="94"/>
      <c r="CJ321" s="94"/>
      <c r="CK321" s="94"/>
      <c r="CL321" s="94"/>
      <c r="CM321" s="94"/>
      <c r="CN321" s="94"/>
      <c r="CO321" s="94"/>
      <c r="CP321" s="94"/>
      <c r="CQ321" s="94"/>
      <c r="CR321" s="94"/>
      <c r="CS321" s="94"/>
      <c r="CT321" s="94"/>
      <c r="CU321" s="94"/>
      <c r="CV321" s="94"/>
      <c r="CW321" s="94"/>
      <c r="CX321" s="94"/>
      <c r="CY321" s="94"/>
      <c r="CZ321" s="94"/>
    </row>
    <row r="322" spans="1:178" ht="12.75">
      <c r="A322" s="74"/>
      <c r="B322" s="288" t="str">
        <f t="shared" si="176"/>
        <v/>
      </c>
      <c r="C322" s="9"/>
      <c r="D322" s="288" t="str">
        <f t="shared" si="177"/>
        <v/>
      </c>
      <c r="E322" s="274"/>
      <c r="F322" s="883" t="str">
        <f t="shared" si="175"/>
        <v/>
      </c>
      <c r="G322" s="883"/>
      <c r="H322" s="883"/>
      <c r="I322" s="883"/>
      <c r="J322" s="883"/>
      <c r="K322" s="883"/>
      <c r="L322" s="883"/>
      <c r="M322" s="883"/>
      <c r="N322" s="883"/>
      <c r="O322" s="883"/>
      <c r="P322" s="883"/>
      <c r="Q322" s="883"/>
      <c r="R322" s="883"/>
      <c r="S322" s="883"/>
      <c r="T322" s="883"/>
      <c r="U322" s="883"/>
      <c r="V322" s="883"/>
      <c r="W322" s="883"/>
      <c r="X322" s="883"/>
      <c r="Y322" s="883"/>
      <c r="Z322" s="883"/>
      <c r="AA322" s="883"/>
      <c r="AB322" s="274"/>
      <c r="AC322" s="289"/>
      <c r="AD322" s="885" t="str">
        <f t="shared" si="178"/>
        <v/>
      </c>
      <c r="AE322" s="885"/>
      <c r="AF322" s="885"/>
      <c r="AG322" s="885"/>
      <c r="AH322" s="9"/>
      <c r="AI322" s="288" t="str">
        <f t="shared" ref="AI322:AJ322" si="208">IF(AI52="","",AI52)</f>
        <v/>
      </c>
      <c r="AJ322" s="13" t="str">
        <f t="shared" si="208"/>
        <v/>
      </c>
      <c r="AK322" s="246"/>
      <c r="AL322" s="281"/>
      <c r="AM322" s="670"/>
      <c r="AN322" s="670"/>
      <c r="AO322" s="289"/>
      <c r="AP322" s="273" t="str">
        <f t="shared" ref="AP322:AS322" si="209">IF(AP52="","",AP52)</f>
        <v/>
      </c>
      <c r="AQ322" s="13" t="str">
        <f t="shared" si="209"/>
        <v/>
      </c>
      <c r="AR322" s="417" t="str">
        <f t="shared" si="209"/>
        <v/>
      </c>
      <c r="AS322" s="13" t="str">
        <f t="shared" si="209"/>
        <v/>
      </c>
      <c r="AT322" s="672"/>
      <c r="AU322" s="672"/>
      <c r="AV322" s="13"/>
      <c r="AW322" s="746" t="str">
        <f t="shared" si="181"/>
        <v/>
      </c>
      <c r="AX322" s="746"/>
      <c r="AY322" s="75" t="str">
        <f t="shared" ref="AY322:BE322" si="210">IF(AY52="","",AY52)</f>
        <v/>
      </c>
      <c r="AZ322" s="13" t="str">
        <f t="shared" si="210"/>
        <v/>
      </c>
      <c r="BA322" s="417" t="str">
        <f t="shared" si="210"/>
        <v/>
      </c>
      <c r="BB322" s="13" t="str">
        <f t="shared" si="210"/>
        <v/>
      </c>
      <c r="BC322" s="672"/>
      <c r="BD322" s="672"/>
      <c r="BE322" s="746" t="str">
        <f t="shared" si="210"/>
        <v/>
      </c>
      <c r="BF322" s="746"/>
      <c r="BG322" s="13" t="s">
        <v>142</v>
      </c>
      <c r="BH322" s="884" t="str">
        <f t="shared" si="183"/>
        <v/>
      </c>
      <c r="BI322" s="884"/>
      <c r="BJ322" s="590"/>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row>
    <row r="323" spans="1:178" ht="13.5" thickBot="1">
      <c r="A323" s="76"/>
      <c r="B323" s="651"/>
      <c r="C323" s="276"/>
      <c r="D323" s="651"/>
      <c r="E323" s="651"/>
      <c r="F323" s="652"/>
      <c r="G323" s="652"/>
      <c r="H323" s="652"/>
      <c r="I323" s="652"/>
      <c r="J323" s="652"/>
      <c r="K323" s="652"/>
      <c r="L323" s="652"/>
      <c r="M323" s="652"/>
      <c r="N323" s="652"/>
      <c r="O323" s="652"/>
      <c r="P323" s="652"/>
      <c r="Q323" s="653"/>
      <c r="R323" s="651"/>
      <c r="S323" s="651"/>
      <c r="T323" s="651"/>
      <c r="U323" s="651"/>
      <c r="V323" s="654"/>
      <c r="W323" s="651"/>
      <c r="X323" s="651"/>
      <c r="Y323" s="651"/>
      <c r="Z323" s="651"/>
      <c r="AA323" s="651"/>
      <c r="AB323" s="651"/>
      <c r="AC323" s="654"/>
      <c r="AD323" s="655"/>
      <c r="AE323" s="655"/>
      <c r="AF323" s="655"/>
      <c r="AG323" s="655"/>
      <c r="AH323" s="276"/>
      <c r="AI323" s="651"/>
      <c r="AJ323" s="656"/>
      <c r="AK323" s="661"/>
      <c r="AL323" s="662"/>
      <c r="AM323" s="662"/>
      <c r="AN323" s="662"/>
      <c r="AO323" s="654"/>
      <c r="AP323" s="657"/>
      <c r="AQ323" s="656"/>
      <c r="AR323" s="657"/>
      <c r="AS323" s="656"/>
      <c r="AT323" s="656"/>
      <c r="AU323" s="656"/>
      <c r="AV323" s="656"/>
      <c r="AW323" s="658"/>
      <c r="AX323" s="658"/>
      <c r="AY323" s="657"/>
      <c r="AZ323" s="656"/>
      <c r="BA323" s="657"/>
      <c r="BB323" s="656"/>
      <c r="BC323" s="656"/>
      <c r="BD323" s="656"/>
      <c r="BE323" s="658"/>
      <c r="BF323" s="658"/>
      <c r="BG323" s="656"/>
      <c r="BH323" s="659"/>
      <c r="BI323" s="659"/>
      <c r="BJ323" s="660"/>
      <c r="BO323" s="102"/>
      <c r="BP323" s="102"/>
      <c r="BQ323" s="102"/>
      <c r="BR323" s="102"/>
      <c r="BS323" s="102"/>
      <c r="BT323" s="102"/>
      <c r="BU323" s="102"/>
      <c r="BV323" s="102"/>
      <c r="BW323" s="102"/>
      <c r="BX323" s="102"/>
      <c r="BY323" s="94"/>
      <c r="BZ323" s="94"/>
      <c r="CA323" s="94"/>
      <c r="CB323" s="94"/>
      <c r="CC323" s="94"/>
      <c r="CD323" s="94"/>
      <c r="CE323" s="94"/>
      <c r="CF323" s="94"/>
      <c r="CG323" s="94"/>
      <c r="CH323" s="94"/>
      <c r="CI323" s="94"/>
      <c r="CJ323" s="94"/>
      <c r="CK323" s="94"/>
      <c r="CL323" s="94"/>
      <c r="CM323" s="94"/>
      <c r="CN323" s="94"/>
      <c r="CO323" s="94"/>
      <c r="CP323" s="94"/>
      <c r="CQ323" s="94"/>
      <c r="CR323" s="94"/>
      <c r="CS323" s="94"/>
      <c r="CT323" s="94"/>
      <c r="CU323" s="94"/>
      <c r="CV323" s="94"/>
      <c r="CW323" s="94"/>
      <c r="CX323" s="94"/>
      <c r="CY323" s="94"/>
      <c r="CZ323" s="94"/>
    </row>
    <row r="324" spans="1:178" ht="12.75">
      <c r="B324" s="274"/>
      <c r="C324" s="9"/>
      <c r="D324" s="274"/>
      <c r="E324" s="274"/>
      <c r="F324" s="415"/>
      <c r="G324" s="415"/>
      <c r="H324" s="415"/>
      <c r="I324" s="415"/>
      <c r="J324" s="415"/>
      <c r="K324" s="415"/>
      <c r="L324" s="415"/>
      <c r="M324" s="415"/>
      <c r="N324" s="415"/>
      <c r="O324" s="415"/>
      <c r="P324" s="415"/>
      <c r="Q324" s="284"/>
      <c r="R324" s="274"/>
      <c r="S324" s="274"/>
      <c r="T324" s="274"/>
      <c r="U324" s="274"/>
      <c r="V324" s="289"/>
      <c r="W324" s="274"/>
      <c r="X324" s="274"/>
      <c r="Y324" s="274"/>
      <c r="Z324" s="274"/>
      <c r="AA324" s="274"/>
      <c r="AB324" s="274"/>
      <c r="AC324" s="289"/>
      <c r="AD324" s="416"/>
      <c r="AE324" s="416"/>
      <c r="AF324" s="416"/>
      <c r="AG324" s="416"/>
      <c r="AH324" s="9"/>
      <c r="AI324" s="274"/>
      <c r="AJ324" s="13"/>
      <c r="AK324" s="274"/>
      <c r="AL324" s="13"/>
      <c r="AM324" s="672"/>
      <c r="AN324" s="672"/>
      <c r="AO324" s="289"/>
      <c r="AP324" s="417"/>
      <c r="AQ324" s="13"/>
      <c r="AR324" s="417"/>
      <c r="AS324" s="13"/>
      <c r="AT324" s="672"/>
      <c r="AU324" s="672"/>
      <c r="AV324" s="13"/>
      <c r="AW324" s="10"/>
      <c r="AX324" s="10"/>
      <c r="AY324" s="417"/>
      <c r="AZ324" s="13"/>
      <c r="BA324" s="417"/>
      <c r="BB324" s="13"/>
      <c r="BC324" s="672"/>
      <c r="BD324" s="672"/>
      <c r="BE324" s="10"/>
      <c r="BF324" s="10"/>
      <c r="BG324" s="13" t="s">
        <v>142</v>
      </c>
      <c r="BH324" s="884" t="str">
        <f t="shared" si="183"/>
        <v/>
      </c>
      <c r="BI324" s="884"/>
      <c r="BJ324" s="592"/>
      <c r="BO324" s="102"/>
      <c r="BP324" s="102"/>
      <c r="BQ324" s="102"/>
      <c r="BR324" s="102"/>
      <c r="BS324" s="102"/>
      <c r="BT324" s="102"/>
      <c r="BU324" s="102"/>
      <c r="BV324" s="102"/>
      <c r="BW324" s="102"/>
      <c r="BX324" s="102"/>
      <c r="BY324" s="94"/>
      <c r="BZ324" s="94"/>
      <c r="CA324" s="94"/>
      <c r="CB324" s="94"/>
      <c r="CC324" s="94"/>
      <c r="CD324" s="94"/>
      <c r="CE324" s="94"/>
      <c r="CF324" s="94"/>
      <c r="CG324" s="94"/>
      <c r="CH324" s="94"/>
      <c r="CI324" s="94"/>
      <c r="CJ324" s="94"/>
      <c r="CK324" s="94"/>
      <c r="CL324" s="94"/>
      <c r="CM324" s="94"/>
      <c r="CN324" s="94"/>
      <c r="CO324" s="94"/>
      <c r="CP324" s="94"/>
      <c r="CQ324" s="94"/>
      <c r="CR324" s="94"/>
      <c r="CS324" s="94"/>
      <c r="CT324" s="94"/>
      <c r="CU324" s="94"/>
      <c r="CV324" s="94"/>
      <c r="CW324" s="94"/>
      <c r="CX324" s="94"/>
      <c r="CY324" s="94"/>
      <c r="CZ324" s="94"/>
    </row>
    <row r="325" spans="1:178" ht="16.5" thickBot="1">
      <c r="A325" s="80" t="str">
        <f>A55</f>
        <v>MF3b - Package Terminal Heat Pump</v>
      </c>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280"/>
      <c r="BH325" s="20"/>
      <c r="BO325" s="94"/>
      <c r="BP325" s="94"/>
      <c r="BQ325" s="94"/>
      <c r="BR325" s="94"/>
      <c r="BS325" s="94"/>
      <c r="BT325" s="94"/>
      <c r="BU325" s="94"/>
      <c r="BV325" s="94"/>
      <c r="BW325" s="94"/>
      <c r="BX325" s="94"/>
      <c r="BY325" s="94"/>
      <c r="BZ325" s="94"/>
      <c r="CA325" s="94"/>
      <c r="CB325" s="94"/>
      <c r="CC325" s="94"/>
      <c r="CD325" s="94"/>
      <c r="CE325" s="94"/>
      <c r="CF325" s="94"/>
      <c r="CG325" s="94"/>
      <c r="CH325" s="94"/>
      <c r="CI325" s="94"/>
      <c r="CJ325" s="94"/>
      <c r="CK325" s="94"/>
      <c r="CL325" s="94"/>
      <c r="CM325" s="94"/>
      <c r="CN325" s="94"/>
      <c r="CO325" s="94"/>
      <c r="CP325" s="94"/>
      <c r="CQ325" s="94"/>
      <c r="CR325" s="94"/>
      <c r="CS325" s="94"/>
      <c r="CT325" s="94"/>
      <c r="CU325" s="94"/>
      <c r="CV325" s="94"/>
      <c r="CW325" s="94"/>
      <c r="CX325" s="94"/>
      <c r="CY325" s="94"/>
      <c r="CZ325" s="94"/>
    </row>
    <row r="326" spans="1:178" s="22" customFormat="1" ht="12.75" customHeight="1">
      <c r="A326" s="588"/>
      <c r="B326" s="573"/>
      <c r="C326" s="573"/>
      <c r="D326" s="573"/>
      <c r="E326" s="573"/>
      <c r="F326" s="573"/>
      <c r="G326" s="573"/>
      <c r="H326" s="573"/>
      <c r="I326" s="573"/>
      <c r="J326" s="573"/>
      <c r="K326" s="573"/>
      <c r="L326" s="573"/>
      <c r="M326" s="573"/>
      <c r="N326" s="573"/>
      <c r="O326" s="573"/>
      <c r="P326" s="573"/>
      <c r="Q326" s="573"/>
      <c r="R326" s="573"/>
      <c r="S326" s="573"/>
      <c r="T326" s="573"/>
      <c r="U326" s="573"/>
      <c r="V326" s="573"/>
      <c r="W326" s="573"/>
      <c r="X326" s="573"/>
      <c r="Y326" s="573"/>
      <c r="Z326" s="573"/>
      <c r="AA326" s="573"/>
      <c r="AB326" s="573"/>
      <c r="AC326" s="573"/>
      <c r="AD326" s="573"/>
      <c r="AE326" s="573"/>
      <c r="AF326" s="573"/>
      <c r="AG326" s="573"/>
      <c r="AH326" s="573"/>
      <c r="AI326" s="573"/>
      <c r="AJ326" s="573"/>
      <c r="AK326" s="573"/>
      <c r="AL326" s="573"/>
      <c r="AM326" s="674"/>
      <c r="AN326" s="674"/>
      <c r="AO326" s="573"/>
      <c r="AP326" s="887" t="s">
        <v>2655</v>
      </c>
      <c r="AQ326" s="887"/>
      <c r="AR326" s="887"/>
      <c r="AS326" s="887"/>
      <c r="AT326" s="887"/>
      <c r="AU326" s="887"/>
      <c r="AV326" s="887"/>
      <c r="AW326" s="887"/>
      <c r="AX326" s="887"/>
      <c r="AY326" s="887"/>
      <c r="AZ326" s="887"/>
      <c r="BA326" s="887"/>
      <c r="BB326" s="887"/>
      <c r="BC326" s="887"/>
      <c r="BD326" s="887"/>
      <c r="BE326" s="887"/>
      <c r="BF326" s="887"/>
      <c r="BG326" s="589"/>
      <c r="BH326" s="888" t="str">
        <f>IF(BG56="","",BG56)</f>
        <v>Incentive
(tons x $75 or $100)</v>
      </c>
      <c r="BI326" s="888"/>
      <c r="BJ326" s="267"/>
      <c r="BK326" s="1"/>
      <c r="BL326" s="1"/>
      <c r="BM326" s="1"/>
      <c r="BN326" s="1"/>
      <c r="BO326" s="94"/>
      <c r="BP326" s="94"/>
      <c r="BQ326" s="94"/>
      <c r="BR326" s="94"/>
      <c r="BS326" s="94"/>
      <c r="BT326" s="94"/>
      <c r="BU326" s="94"/>
      <c r="BV326" s="94"/>
      <c r="BW326" s="94"/>
      <c r="BX326" s="94"/>
      <c r="BY326" s="102"/>
      <c r="BZ326" s="102"/>
      <c r="CA326" s="102"/>
      <c r="CB326" s="102"/>
      <c r="CC326" s="102"/>
      <c r="CD326" s="102"/>
      <c r="CE326" s="102"/>
      <c r="CF326" s="102"/>
      <c r="CG326" s="102"/>
      <c r="CH326" s="102"/>
      <c r="CI326" s="102"/>
      <c r="CJ326" s="102"/>
      <c r="CK326" s="102"/>
      <c r="CL326" s="102"/>
      <c r="CM326" s="102"/>
      <c r="CN326" s="102"/>
      <c r="CO326" s="102"/>
      <c r="CP326" s="102"/>
      <c r="CQ326" s="102"/>
      <c r="CR326" s="102"/>
      <c r="CS326" s="102"/>
      <c r="CT326" s="102"/>
      <c r="CU326" s="102"/>
      <c r="CV326" s="102"/>
      <c r="CW326" s="102"/>
      <c r="CX326" s="102"/>
      <c r="CY326" s="102"/>
      <c r="CZ326" s="102"/>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row>
    <row r="327" spans="1:178" s="22" customFormat="1" ht="12.75" customHeight="1">
      <c r="A327" s="69"/>
      <c r="B327" s="284"/>
      <c r="C327" s="70"/>
      <c r="D327" s="284"/>
      <c r="E327" s="284"/>
      <c r="F327" s="285"/>
      <c r="G327" s="285"/>
      <c r="H327" s="285"/>
      <c r="I327" s="285"/>
      <c r="J327" s="285"/>
      <c r="K327" s="285"/>
      <c r="L327" s="285"/>
      <c r="M327" s="285"/>
      <c r="N327" s="285"/>
      <c r="O327" s="285"/>
      <c r="P327" s="285"/>
      <c r="Q327" s="284"/>
      <c r="R327" s="632"/>
      <c r="S327" s="632"/>
      <c r="T327" s="632"/>
      <c r="U327" s="632"/>
      <c r="V327" s="289"/>
      <c r="W327" s="632"/>
      <c r="X327" s="632"/>
      <c r="Y327" s="632"/>
      <c r="Z327" s="632"/>
      <c r="AA327" s="632"/>
      <c r="AB327" s="632"/>
      <c r="AC327" s="289"/>
      <c r="AD327" s="289"/>
      <c r="AE327" s="289"/>
      <c r="AF327" s="289"/>
      <c r="AG327" s="289"/>
      <c r="AH327" s="71"/>
      <c r="AI327" s="71" t="str">
        <f t="shared" ref="AI327:AK327" si="211">IF(AI57="","",AI57)</f>
        <v>EER</v>
      </c>
      <c r="AJ327" s="289"/>
      <c r="AK327" s="71" t="str">
        <f t="shared" si="211"/>
        <v>COP</v>
      </c>
      <c r="AL327" s="289"/>
      <c r="AM327" s="289"/>
      <c r="AN327" s="289"/>
      <c r="AO327" s="289"/>
      <c r="AP327" s="880" t="str">
        <f>IF(AP57="","",AP57)</f>
        <v>10% Better Than Code</v>
      </c>
      <c r="AQ327" s="880" t="str">
        <f t="shared" ref="AQ327:AX327" si="212">IF(AQ57="","",AQ57)</f>
        <v/>
      </c>
      <c r="AR327" s="880" t="str">
        <f t="shared" si="212"/>
        <v/>
      </c>
      <c r="AS327" s="880" t="str">
        <f t="shared" si="212"/>
        <v/>
      </c>
      <c r="AT327" s="880"/>
      <c r="AU327" s="880"/>
      <c r="AV327" s="880" t="str">
        <f t="shared" si="212"/>
        <v/>
      </c>
      <c r="AW327" s="880" t="str">
        <f t="shared" si="212"/>
        <v/>
      </c>
      <c r="AX327" s="880" t="str">
        <f t="shared" si="212"/>
        <v/>
      </c>
      <c r="AY327" s="880" t="str">
        <f>IF(AY57="","",AY57)</f>
        <v>20% Better Than Code</v>
      </c>
      <c r="AZ327" s="880" t="str">
        <f t="shared" ref="AZ327:BG327" si="213">IF(AZ57="","",AZ57)</f>
        <v/>
      </c>
      <c r="BA327" s="880" t="str">
        <f t="shared" si="213"/>
        <v/>
      </c>
      <c r="BB327" s="880" t="str">
        <f t="shared" si="213"/>
        <v/>
      </c>
      <c r="BC327" s="880"/>
      <c r="BD327" s="880"/>
      <c r="BE327" s="880" t="str">
        <f t="shared" si="213"/>
        <v/>
      </c>
      <c r="BF327" s="880" t="str">
        <f t="shared" si="213"/>
        <v/>
      </c>
      <c r="BG327" s="880" t="str">
        <f t="shared" si="213"/>
        <v/>
      </c>
      <c r="BH327" s="736"/>
      <c r="BI327" s="736"/>
      <c r="BJ327" s="73"/>
      <c r="BK327" s="1"/>
      <c r="BL327" s="1"/>
      <c r="BM327" s="1"/>
      <c r="BN327" s="1"/>
      <c r="BO327" s="94"/>
      <c r="BP327" s="94"/>
      <c r="BQ327" s="94"/>
      <c r="BR327" s="94"/>
      <c r="BS327" s="94"/>
      <c r="BT327" s="94"/>
      <c r="BU327" s="94"/>
      <c r="BV327" s="94"/>
      <c r="BW327" s="94"/>
      <c r="BX327" s="94"/>
      <c r="BY327" s="102"/>
      <c r="BZ327" s="102"/>
      <c r="CA327" s="102"/>
      <c r="CB327" s="102"/>
      <c r="CC327" s="102"/>
      <c r="CD327" s="102"/>
      <c r="CE327" s="102"/>
      <c r="CF327" s="102"/>
      <c r="CG327" s="102"/>
      <c r="CH327" s="102"/>
      <c r="CI327" s="102"/>
      <c r="CJ327" s="102"/>
      <c r="CK327" s="102"/>
      <c r="CL327" s="102"/>
      <c r="CM327" s="102"/>
      <c r="CN327" s="102"/>
      <c r="CO327" s="102"/>
      <c r="CP327" s="102"/>
      <c r="CQ327" s="102"/>
      <c r="CR327" s="102"/>
      <c r="CS327" s="102"/>
      <c r="CT327" s="102"/>
      <c r="CU327" s="102"/>
      <c r="CV327" s="102"/>
      <c r="CW327" s="102"/>
      <c r="CX327" s="102"/>
      <c r="CY327" s="102"/>
      <c r="CZ327" s="102"/>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row>
    <row r="328" spans="1:178" s="22" customFormat="1" ht="27.6" customHeight="1">
      <c r="A328" s="69"/>
      <c r="B328" s="246" t="str">
        <f t="shared" ref="B328:D328" si="214">IF(B58="","",B58)</f>
        <v>Qty</v>
      </c>
      <c r="C328" s="412"/>
      <c r="D328" s="246" t="str">
        <f t="shared" si="214"/>
        <v>Tons</v>
      </c>
      <c r="E328" s="246"/>
      <c r="F328" s="246" t="str">
        <f t="shared" ref="F328:F338" si="215">IF(F58="","",F58)</f>
        <v>Description of Location</v>
      </c>
      <c r="G328" s="246"/>
      <c r="H328" s="246"/>
      <c r="I328" s="246"/>
      <c r="J328" s="246"/>
      <c r="K328" s="285"/>
      <c r="L328" s="285"/>
      <c r="M328" s="285"/>
      <c r="N328" s="285"/>
      <c r="O328" s="285"/>
      <c r="P328" s="285"/>
      <c r="Q328" s="284"/>
      <c r="R328" s="632"/>
      <c r="S328" s="632"/>
      <c r="T328" s="632"/>
      <c r="U328" s="632"/>
      <c r="V328" s="289"/>
      <c r="W328" s="632"/>
      <c r="X328" s="632"/>
      <c r="Y328" s="632"/>
      <c r="Z328" s="632"/>
      <c r="AA328" s="632"/>
      <c r="AB328" s="632"/>
      <c r="AC328" s="289"/>
      <c r="AD328" s="246" t="str">
        <f>IF(AD58="","",AD58)</f>
        <v>Model / Designation</v>
      </c>
      <c r="AE328" s="281"/>
      <c r="AF328" s="246"/>
      <c r="AG328" s="246"/>
      <c r="AH328" s="413"/>
      <c r="AI328" s="246" t="str">
        <f t="shared" ref="AI328:AK328" si="216">IF(AI58="","",AI58)</f>
        <v>Actual Eff.</v>
      </c>
      <c r="AJ328" s="281"/>
      <c r="AK328" s="246" t="str">
        <f t="shared" si="216"/>
        <v>Actual Eff.</v>
      </c>
      <c r="AL328" s="281"/>
      <c r="AM328" s="670"/>
      <c r="AN328" s="670"/>
      <c r="AO328" s="281"/>
      <c r="AP328" s="879" t="str">
        <f>IF(AP58="","",AP58)</f>
        <v>PTHP ($75/ton)</v>
      </c>
      <c r="AQ328" s="863"/>
      <c r="AR328" s="863"/>
      <c r="AS328" s="863"/>
      <c r="AT328" s="863"/>
      <c r="AU328" s="863"/>
      <c r="AV328" s="863"/>
      <c r="AW328" s="863"/>
      <c r="AX328" s="246"/>
      <c r="AY328" s="879" t="str">
        <f>IF(AY58="","",AY58)</f>
        <v>PTHP ($100/ ton)</v>
      </c>
      <c r="AZ328" s="863"/>
      <c r="BA328" s="863"/>
      <c r="BB328" s="863"/>
      <c r="BC328" s="863"/>
      <c r="BD328" s="863"/>
      <c r="BE328" s="863"/>
      <c r="BF328" s="863"/>
      <c r="BG328"/>
      <c r="BH328" s="736"/>
      <c r="BI328" s="736"/>
      <c r="BJ328" s="73"/>
      <c r="BK328" s="1"/>
      <c r="BL328" s="1"/>
      <c r="BM328" s="1"/>
      <c r="BN328" s="1"/>
      <c r="BO328" s="94"/>
      <c r="BP328" s="94"/>
      <c r="BQ328" s="94"/>
      <c r="BR328" s="94"/>
      <c r="BS328" s="94"/>
      <c r="BT328" s="94"/>
      <c r="BU328" s="94"/>
      <c r="BV328" s="94"/>
      <c r="BW328" s="94"/>
      <c r="BX328" s="94"/>
      <c r="BY328" s="102"/>
      <c r="BZ328" s="102"/>
      <c r="CA328" s="102"/>
      <c r="CB328" s="102"/>
      <c r="CC328" s="102"/>
      <c r="CD328" s="102"/>
      <c r="CE328" s="102"/>
      <c r="CF328" s="102"/>
      <c r="CG328" s="102"/>
      <c r="CH328" s="102"/>
      <c r="CI328" s="102"/>
      <c r="CJ328" s="102"/>
      <c r="CK328" s="102"/>
      <c r="CL328" s="102"/>
      <c r="CM328" s="102"/>
      <c r="CN328" s="102"/>
      <c r="CO328" s="102"/>
      <c r="CP328" s="102"/>
      <c r="CQ328" s="102"/>
      <c r="CR328" s="102"/>
      <c r="CS328" s="102"/>
      <c r="CT328" s="102"/>
      <c r="CU328" s="102"/>
      <c r="CV328" s="102"/>
      <c r="CW328" s="102"/>
      <c r="CX328" s="102"/>
      <c r="CY328" s="102"/>
      <c r="CZ328" s="102"/>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row>
    <row r="329" spans="1:178" ht="12.75" customHeight="1">
      <c r="A329" s="74"/>
      <c r="B329" s="287" t="str">
        <f t="shared" ref="B329:B338" si="217">IF(B59="","",B59)</f>
        <v/>
      </c>
      <c r="C329" s="9"/>
      <c r="D329" s="287" t="str">
        <f t="shared" ref="D329:D338" si="218">IF(D59="","",D59)</f>
        <v/>
      </c>
      <c r="E329" s="274"/>
      <c r="F329" s="883" t="str">
        <f t="shared" si="215"/>
        <v/>
      </c>
      <c r="G329" s="883"/>
      <c r="H329" s="883"/>
      <c r="I329" s="883"/>
      <c r="J329" s="883"/>
      <c r="K329" s="883"/>
      <c r="L329" s="883"/>
      <c r="M329" s="883"/>
      <c r="N329" s="883"/>
      <c r="O329" s="883"/>
      <c r="P329" s="883"/>
      <c r="Q329" s="883"/>
      <c r="R329" s="883"/>
      <c r="S329" s="883"/>
      <c r="T329" s="883"/>
      <c r="U329" s="883"/>
      <c r="V329" s="883"/>
      <c r="W329" s="883"/>
      <c r="X329" s="883"/>
      <c r="Y329" s="883"/>
      <c r="Z329" s="883"/>
      <c r="AA329" s="883"/>
      <c r="AB329" s="274"/>
      <c r="AC329" s="289"/>
      <c r="AD329" s="886" t="str">
        <f t="shared" ref="AD329:AD338" si="219">IF(AD59="","",AD59)</f>
        <v/>
      </c>
      <c r="AE329" s="886"/>
      <c r="AF329" s="886"/>
      <c r="AG329" s="886"/>
      <c r="AH329" s="9"/>
      <c r="AI329" s="287" t="str">
        <f t="shared" ref="AI329:AJ329" si="220">IF(AI59="","",AI59)</f>
        <v/>
      </c>
      <c r="AJ329" s="13" t="str">
        <f t="shared" si="220"/>
        <v/>
      </c>
      <c r="AK329" s="682" t="str">
        <f t="shared" ref="AK329" si="221">IF(AK59="","",AK59)</f>
        <v/>
      </c>
      <c r="AL329" s="13" t="str">
        <f t="shared" ref="AL329:AL338" si="222">IF(AL59="","",AL59)</f>
        <v/>
      </c>
      <c r="AM329" s="672"/>
      <c r="AN329" s="672"/>
      <c r="AO329" s="289"/>
      <c r="AP329" s="75" t="str">
        <f t="shared" ref="AP329:AS329" si="223">IF(AP59="","",AP59)</f>
        <v/>
      </c>
      <c r="AQ329" s="13" t="str">
        <f t="shared" si="223"/>
        <v/>
      </c>
      <c r="AR329" s="75" t="str">
        <f t="shared" si="223"/>
        <v/>
      </c>
      <c r="AS329" s="13" t="str">
        <f t="shared" si="223"/>
        <v/>
      </c>
      <c r="AT329" s="672"/>
      <c r="AU329" s="672"/>
      <c r="AV329" s="13"/>
      <c r="AW329" s="746" t="str">
        <f t="shared" ref="AW329:AW338" si="224">IF(AW59="","",AW59)</f>
        <v/>
      </c>
      <c r="AX329" s="746"/>
      <c r="AY329" s="75" t="str">
        <f t="shared" ref="AY329:BE329" si="225">IF(AY59="","",AY59)</f>
        <v/>
      </c>
      <c r="AZ329" s="13" t="str">
        <f t="shared" si="225"/>
        <v/>
      </c>
      <c r="BA329" s="75" t="str">
        <f t="shared" si="225"/>
        <v/>
      </c>
      <c r="BB329" s="13" t="str">
        <f t="shared" si="225"/>
        <v/>
      </c>
      <c r="BC329" s="672"/>
      <c r="BD329" s="672"/>
      <c r="BE329" s="746" t="str">
        <f t="shared" si="225"/>
        <v/>
      </c>
      <c r="BF329" s="746"/>
      <c r="BG329" s="13" t="s">
        <v>142</v>
      </c>
      <c r="BH329" s="884" t="str">
        <f t="shared" ref="BH329:BH340" si="226">IF(BH59="","",BH59)</f>
        <v/>
      </c>
      <c r="BI329" s="884"/>
      <c r="BJ329" s="590"/>
      <c r="BM329" s="296">
        <f>COUNTIF(AW328:AW338,"Qualified")+COUNTIF(BE328:BE338,"Qualified")</f>
        <v>0</v>
      </c>
      <c r="BO329" s="94"/>
      <c r="BP329" s="94"/>
      <c r="BQ329" s="94"/>
      <c r="BR329" s="94"/>
      <c r="BS329" s="94"/>
      <c r="BT329" s="94"/>
      <c r="BU329" s="94"/>
      <c r="BV329" s="94"/>
      <c r="BW329" s="94"/>
      <c r="BX329" s="94"/>
      <c r="BY329" s="94"/>
      <c r="BZ329" s="94"/>
      <c r="CA329" s="94"/>
      <c r="CB329" s="94"/>
      <c r="CC329" s="94"/>
      <c r="CD329" s="94"/>
      <c r="CE329" s="94"/>
      <c r="CF329" s="94"/>
      <c r="CG329" s="94"/>
      <c r="CH329" s="94"/>
      <c r="CI329" s="94"/>
      <c r="CJ329" s="94"/>
      <c r="CK329" s="94"/>
      <c r="CL329" s="94"/>
      <c r="CM329" s="94"/>
      <c r="CN329" s="94"/>
      <c r="CO329" s="94"/>
      <c r="CP329" s="94"/>
      <c r="CQ329" s="94"/>
      <c r="CR329" s="94"/>
      <c r="CS329" s="94"/>
      <c r="CT329" s="94"/>
      <c r="CU329" s="94"/>
      <c r="CV329" s="94"/>
      <c r="CW329" s="94"/>
      <c r="CX329" s="94"/>
      <c r="CY329" s="94"/>
      <c r="CZ329" s="94"/>
    </row>
    <row r="330" spans="1:178" ht="12.75" customHeight="1">
      <c r="A330" s="74"/>
      <c r="B330" s="288" t="str">
        <f t="shared" si="217"/>
        <v/>
      </c>
      <c r="C330" s="9"/>
      <c r="D330" s="288" t="str">
        <f t="shared" si="218"/>
        <v/>
      </c>
      <c r="E330" s="274"/>
      <c r="F330" s="883" t="str">
        <f t="shared" si="215"/>
        <v/>
      </c>
      <c r="G330" s="883"/>
      <c r="H330" s="883"/>
      <c r="I330" s="883"/>
      <c r="J330" s="883"/>
      <c r="K330" s="883"/>
      <c r="L330" s="883"/>
      <c r="M330" s="883"/>
      <c r="N330" s="883"/>
      <c r="O330" s="883"/>
      <c r="P330" s="883"/>
      <c r="Q330" s="883"/>
      <c r="R330" s="883"/>
      <c r="S330" s="883"/>
      <c r="T330" s="883"/>
      <c r="U330" s="883"/>
      <c r="V330" s="883"/>
      <c r="W330" s="883"/>
      <c r="X330" s="883"/>
      <c r="Y330" s="883"/>
      <c r="Z330" s="883"/>
      <c r="AA330" s="883"/>
      <c r="AB330" s="274"/>
      <c r="AC330" s="289"/>
      <c r="AD330" s="885" t="str">
        <f t="shared" si="219"/>
        <v/>
      </c>
      <c r="AE330" s="885"/>
      <c r="AF330" s="885"/>
      <c r="AG330" s="885"/>
      <c r="AH330" s="9"/>
      <c r="AI330" s="288" t="str">
        <f t="shared" ref="AI330:AK330" si="227">IF(AI60="","",AI60)</f>
        <v/>
      </c>
      <c r="AJ330" s="13" t="str">
        <f t="shared" si="227"/>
        <v/>
      </c>
      <c r="AK330" s="682" t="str">
        <f t="shared" si="227"/>
        <v/>
      </c>
      <c r="AL330" s="13" t="str">
        <f t="shared" si="222"/>
        <v/>
      </c>
      <c r="AM330" s="672"/>
      <c r="AN330" s="672"/>
      <c r="AO330" s="289"/>
      <c r="AP330" s="273" t="str">
        <f t="shared" ref="AP330:AS330" si="228">IF(AP60="","",AP60)</f>
        <v/>
      </c>
      <c r="AQ330" s="13" t="str">
        <f t="shared" si="228"/>
        <v/>
      </c>
      <c r="AR330" s="75" t="str">
        <f t="shared" si="228"/>
        <v/>
      </c>
      <c r="AS330" s="13" t="str">
        <f t="shared" si="228"/>
        <v/>
      </c>
      <c r="AT330" s="672"/>
      <c r="AU330" s="672"/>
      <c r="AV330" s="13"/>
      <c r="AW330" s="746" t="str">
        <f t="shared" si="224"/>
        <v/>
      </c>
      <c r="AX330" s="746"/>
      <c r="AY330" s="75" t="str">
        <f t="shared" ref="AY330:BE330" si="229">IF(AY60="","",AY60)</f>
        <v/>
      </c>
      <c r="AZ330" s="13" t="str">
        <f t="shared" si="229"/>
        <v/>
      </c>
      <c r="BA330" s="75" t="str">
        <f t="shared" si="229"/>
        <v/>
      </c>
      <c r="BB330" s="13" t="str">
        <f t="shared" si="229"/>
        <v/>
      </c>
      <c r="BC330" s="672"/>
      <c r="BD330" s="672"/>
      <c r="BE330" s="746" t="str">
        <f t="shared" si="229"/>
        <v/>
      </c>
      <c r="BF330" s="746"/>
      <c r="BG330" s="13" t="s">
        <v>142</v>
      </c>
      <c r="BH330" s="884" t="str">
        <f t="shared" si="226"/>
        <v/>
      </c>
      <c r="BI330" s="884"/>
      <c r="BJ330" s="590"/>
      <c r="BO330" s="94"/>
      <c r="BP330" s="94"/>
      <c r="BQ330" s="94"/>
      <c r="BR330" s="94"/>
      <c r="BS330" s="94"/>
      <c r="BT330" s="94"/>
      <c r="BU330" s="94"/>
      <c r="BV330" s="94"/>
      <c r="BW330" s="94"/>
      <c r="BX330" s="94"/>
      <c r="BY330" s="94"/>
      <c r="BZ330" s="94"/>
      <c r="CA330" s="94"/>
      <c r="CB330" s="94"/>
      <c r="CC330" s="94"/>
      <c r="CD330" s="94"/>
      <c r="CE330" s="94"/>
      <c r="CF330" s="94"/>
      <c r="CG330" s="94"/>
      <c r="CH330" s="94"/>
      <c r="CI330" s="94"/>
      <c r="CJ330" s="94"/>
      <c r="CK330" s="94"/>
      <c r="CL330" s="94"/>
      <c r="CM330" s="94"/>
      <c r="CN330" s="94"/>
      <c r="CO330" s="94"/>
      <c r="CP330" s="94"/>
      <c r="CQ330" s="94"/>
      <c r="CR330" s="94"/>
      <c r="CS330" s="94"/>
      <c r="CT330" s="94"/>
      <c r="CU330" s="94"/>
      <c r="CV330" s="94"/>
      <c r="CW330" s="94"/>
      <c r="CX330" s="94"/>
      <c r="CY330" s="94"/>
      <c r="CZ330" s="94"/>
    </row>
    <row r="331" spans="1:178" ht="12.75">
      <c r="A331" s="74"/>
      <c r="B331" s="288" t="str">
        <f t="shared" si="217"/>
        <v/>
      </c>
      <c r="C331" s="9"/>
      <c r="D331" s="288" t="str">
        <f t="shared" si="218"/>
        <v/>
      </c>
      <c r="E331" s="274"/>
      <c r="F331" s="883" t="str">
        <f t="shared" si="215"/>
        <v/>
      </c>
      <c r="G331" s="883"/>
      <c r="H331" s="883"/>
      <c r="I331" s="883"/>
      <c r="J331" s="883"/>
      <c r="K331" s="883"/>
      <c r="L331" s="883"/>
      <c r="M331" s="883"/>
      <c r="N331" s="883"/>
      <c r="O331" s="883"/>
      <c r="P331" s="883"/>
      <c r="Q331" s="883"/>
      <c r="R331" s="883"/>
      <c r="S331" s="883"/>
      <c r="T331" s="883"/>
      <c r="U331" s="883"/>
      <c r="V331" s="883"/>
      <c r="W331" s="883"/>
      <c r="X331" s="883"/>
      <c r="Y331" s="883"/>
      <c r="Z331" s="883"/>
      <c r="AA331" s="883"/>
      <c r="AB331" s="274"/>
      <c r="AC331" s="289"/>
      <c r="AD331" s="885" t="str">
        <f t="shared" si="219"/>
        <v/>
      </c>
      <c r="AE331" s="885"/>
      <c r="AF331" s="885"/>
      <c r="AG331" s="885"/>
      <c r="AH331" s="9"/>
      <c r="AI331" s="288" t="str">
        <f t="shared" ref="AI331:AK331" si="230">IF(AI61="","",AI61)</f>
        <v/>
      </c>
      <c r="AJ331" s="13" t="str">
        <f t="shared" si="230"/>
        <v/>
      </c>
      <c r="AK331" s="682" t="str">
        <f t="shared" si="230"/>
        <v/>
      </c>
      <c r="AL331" s="13" t="str">
        <f t="shared" si="222"/>
        <v/>
      </c>
      <c r="AM331" s="672"/>
      <c r="AN331" s="672"/>
      <c r="AO331" s="289"/>
      <c r="AP331" s="273" t="str">
        <f t="shared" ref="AP331:AS331" si="231">IF(AP61="","",AP61)</f>
        <v/>
      </c>
      <c r="AQ331" s="13" t="str">
        <f t="shared" si="231"/>
        <v/>
      </c>
      <c r="AR331" s="75" t="str">
        <f t="shared" si="231"/>
        <v/>
      </c>
      <c r="AS331" s="13" t="str">
        <f t="shared" si="231"/>
        <v/>
      </c>
      <c r="AT331" s="672"/>
      <c r="AU331" s="672"/>
      <c r="AV331" s="13"/>
      <c r="AW331" s="746" t="str">
        <f t="shared" si="224"/>
        <v/>
      </c>
      <c r="AX331" s="746"/>
      <c r="AY331" s="75" t="str">
        <f t="shared" ref="AY331:BE331" si="232">IF(AY61="","",AY61)</f>
        <v/>
      </c>
      <c r="AZ331" s="13" t="str">
        <f t="shared" si="232"/>
        <v/>
      </c>
      <c r="BA331" s="75" t="str">
        <f t="shared" si="232"/>
        <v/>
      </c>
      <c r="BB331" s="13" t="str">
        <f t="shared" si="232"/>
        <v/>
      </c>
      <c r="BC331" s="672"/>
      <c r="BD331" s="672"/>
      <c r="BE331" s="746" t="str">
        <f t="shared" si="232"/>
        <v/>
      </c>
      <c r="BF331" s="746"/>
      <c r="BG331" s="13" t="s">
        <v>142</v>
      </c>
      <c r="BH331" s="884" t="str">
        <f t="shared" si="226"/>
        <v/>
      </c>
      <c r="BI331" s="884"/>
      <c r="BJ331" s="590"/>
      <c r="BO331" s="94"/>
      <c r="BP331" s="94"/>
      <c r="BQ331" s="94"/>
      <c r="BR331" s="94"/>
      <c r="BS331" s="94"/>
      <c r="BT331" s="94"/>
      <c r="BU331" s="94"/>
      <c r="BV331" s="94"/>
      <c r="BW331" s="94"/>
      <c r="BX331" s="94"/>
      <c r="BY331" s="94"/>
      <c r="BZ331" s="94"/>
      <c r="CA331" s="94"/>
      <c r="CB331" s="94"/>
      <c r="CC331" s="94"/>
      <c r="CD331" s="94"/>
      <c r="CE331" s="94"/>
      <c r="CF331" s="94"/>
      <c r="CG331" s="94"/>
      <c r="CH331" s="94"/>
      <c r="CI331" s="94"/>
      <c r="CJ331" s="94"/>
      <c r="CK331" s="94"/>
      <c r="CL331" s="94"/>
      <c r="CM331" s="94"/>
      <c r="CN331" s="94"/>
      <c r="CO331" s="94"/>
      <c r="CP331" s="94"/>
      <c r="CQ331" s="94"/>
      <c r="CR331" s="94"/>
      <c r="CS331" s="94"/>
      <c r="CT331" s="94"/>
      <c r="CU331" s="94"/>
      <c r="CV331" s="94"/>
      <c r="CW331" s="94"/>
      <c r="CX331" s="94"/>
      <c r="CY331" s="94"/>
      <c r="CZ331" s="94"/>
    </row>
    <row r="332" spans="1:178" ht="12.75">
      <c r="A332" s="74"/>
      <c r="B332" s="288" t="str">
        <f t="shared" si="217"/>
        <v/>
      </c>
      <c r="C332" s="9"/>
      <c r="D332" s="288" t="str">
        <f t="shared" si="218"/>
        <v/>
      </c>
      <c r="E332" s="274"/>
      <c r="F332" s="883" t="str">
        <f t="shared" si="215"/>
        <v/>
      </c>
      <c r="G332" s="883"/>
      <c r="H332" s="883"/>
      <c r="I332" s="883"/>
      <c r="J332" s="883"/>
      <c r="K332" s="883"/>
      <c r="L332" s="883"/>
      <c r="M332" s="883"/>
      <c r="N332" s="883"/>
      <c r="O332" s="883"/>
      <c r="P332" s="883"/>
      <c r="Q332" s="883"/>
      <c r="R332" s="883"/>
      <c r="S332" s="883"/>
      <c r="T332" s="883"/>
      <c r="U332" s="883"/>
      <c r="V332" s="883"/>
      <c r="W332" s="883"/>
      <c r="X332" s="883"/>
      <c r="Y332" s="883"/>
      <c r="Z332" s="883"/>
      <c r="AA332" s="883"/>
      <c r="AB332" s="274"/>
      <c r="AC332" s="289"/>
      <c r="AD332" s="885" t="str">
        <f t="shared" si="219"/>
        <v/>
      </c>
      <c r="AE332" s="885"/>
      <c r="AF332" s="885"/>
      <c r="AG332" s="885"/>
      <c r="AH332" s="9"/>
      <c r="AI332" s="288" t="str">
        <f t="shared" ref="AI332:AK332" si="233">IF(AI62="","",AI62)</f>
        <v/>
      </c>
      <c r="AJ332" s="13" t="str">
        <f t="shared" si="233"/>
        <v/>
      </c>
      <c r="AK332" s="682" t="str">
        <f t="shared" si="233"/>
        <v/>
      </c>
      <c r="AL332" s="13" t="str">
        <f t="shared" si="222"/>
        <v/>
      </c>
      <c r="AM332" s="672"/>
      <c r="AN332" s="672"/>
      <c r="AO332" s="289"/>
      <c r="AP332" s="273" t="str">
        <f t="shared" ref="AP332:AS332" si="234">IF(AP62="","",AP62)</f>
        <v/>
      </c>
      <c r="AQ332" s="13" t="str">
        <f t="shared" si="234"/>
        <v/>
      </c>
      <c r="AR332" s="75" t="str">
        <f t="shared" si="234"/>
        <v/>
      </c>
      <c r="AS332" s="13" t="str">
        <f t="shared" si="234"/>
        <v/>
      </c>
      <c r="AT332" s="672"/>
      <c r="AU332" s="672"/>
      <c r="AV332" s="13"/>
      <c r="AW332" s="746" t="str">
        <f t="shared" si="224"/>
        <v/>
      </c>
      <c r="AX332" s="746"/>
      <c r="AY332" s="75" t="str">
        <f t="shared" ref="AY332:BE332" si="235">IF(AY62="","",AY62)</f>
        <v/>
      </c>
      <c r="AZ332" s="13" t="str">
        <f t="shared" si="235"/>
        <v/>
      </c>
      <c r="BA332" s="75" t="str">
        <f t="shared" si="235"/>
        <v/>
      </c>
      <c r="BB332" s="13" t="str">
        <f t="shared" si="235"/>
        <v/>
      </c>
      <c r="BC332" s="672"/>
      <c r="BD332" s="672"/>
      <c r="BE332" s="746" t="str">
        <f t="shared" si="235"/>
        <v/>
      </c>
      <c r="BF332" s="746"/>
      <c r="BG332" s="13" t="s">
        <v>142</v>
      </c>
      <c r="BH332" s="884" t="str">
        <f t="shared" si="226"/>
        <v/>
      </c>
      <c r="BI332" s="884"/>
      <c r="BJ332" s="590"/>
      <c r="BO332" s="94"/>
      <c r="BP332" s="94"/>
      <c r="BQ332" s="94"/>
      <c r="BR332" s="94"/>
      <c r="BS332" s="94"/>
      <c r="BT332" s="94"/>
      <c r="BU332" s="94"/>
      <c r="BV332" s="94"/>
      <c r="BW332" s="94"/>
      <c r="BX332" s="94"/>
      <c r="BY332" s="94"/>
      <c r="BZ332" s="94"/>
      <c r="CA332" s="94"/>
      <c r="CB332" s="94"/>
      <c r="CC332" s="94"/>
      <c r="CD332" s="94"/>
      <c r="CE332" s="94"/>
      <c r="CF332" s="94"/>
      <c r="CG332" s="94"/>
      <c r="CH332" s="94"/>
      <c r="CI332" s="94"/>
      <c r="CJ332" s="94"/>
      <c r="CK332" s="94"/>
      <c r="CL332" s="94"/>
      <c r="CM332" s="94"/>
      <c r="CN332" s="94"/>
      <c r="CO332" s="94"/>
      <c r="CP332" s="94"/>
      <c r="CQ332" s="94"/>
      <c r="CR332" s="94"/>
      <c r="CS332" s="94"/>
      <c r="CT332" s="94"/>
      <c r="CU332" s="94"/>
      <c r="CV332" s="94"/>
      <c r="CW332" s="94"/>
      <c r="CX332" s="94"/>
      <c r="CY332" s="94"/>
      <c r="CZ332" s="94"/>
    </row>
    <row r="333" spans="1:178" ht="12.75">
      <c r="A333" s="74"/>
      <c r="B333" s="288" t="str">
        <f t="shared" si="217"/>
        <v/>
      </c>
      <c r="C333" s="9"/>
      <c r="D333" s="288" t="str">
        <f t="shared" si="218"/>
        <v/>
      </c>
      <c r="E333" s="274"/>
      <c r="F333" s="883" t="str">
        <f t="shared" si="215"/>
        <v/>
      </c>
      <c r="G333" s="883"/>
      <c r="H333" s="883"/>
      <c r="I333" s="883"/>
      <c r="J333" s="883"/>
      <c r="K333" s="883"/>
      <c r="L333" s="883"/>
      <c r="M333" s="883"/>
      <c r="N333" s="883"/>
      <c r="O333" s="883"/>
      <c r="P333" s="883"/>
      <c r="Q333" s="883"/>
      <c r="R333" s="883"/>
      <c r="S333" s="883"/>
      <c r="T333" s="883"/>
      <c r="U333" s="883"/>
      <c r="V333" s="883"/>
      <c r="W333" s="883"/>
      <c r="X333" s="883"/>
      <c r="Y333" s="883"/>
      <c r="Z333" s="883"/>
      <c r="AA333" s="883"/>
      <c r="AB333" s="274"/>
      <c r="AC333" s="289"/>
      <c r="AD333" s="885" t="str">
        <f t="shared" si="219"/>
        <v/>
      </c>
      <c r="AE333" s="885"/>
      <c r="AF333" s="885"/>
      <c r="AG333" s="885"/>
      <c r="AH333" s="9"/>
      <c r="AI333" s="288" t="str">
        <f t="shared" ref="AI333:AK333" si="236">IF(AI63="","",AI63)</f>
        <v/>
      </c>
      <c r="AJ333" s="13" t="str">
        <f t="shared" si="236"/>
        <v/>
      </c>
      <c r="AK333" s="682" t="str">
        <f t="shared" si="236"/>
        <v/>
      </c>
      <c r="AL333" s="13" t="str">
        <f t="shared" si="222"/>
        <v/>
      </c>
      <c r="AM333" s="672"/>
      <c r="AN333" s="672"/>
      <c r="AO333" s="289"/>
      <c r="AP333" s="273" t="str">
        <f t="shared" ref="AP333:AS333" si="237">IF(AP63="","",AP63)</f>
        <v/>
      </c>
      <c r="AQ333" s="13" t="str">
        <f t="shared" si="237"/>
        <v/>
      </c>
      <c r="AR333" s="75" t="str">
        <f t="shared" si="237"/>
        <v/>
      </c>
      <c r="AS333" s="13" t="str">
        <f t="shared" si="237"/>
        <v/>
      </c>
      <c r="AT333" s="672"/>
      <c r="AU333" s="672"/>
      <c r="AV333" s="13"/>
      <c r="AW333" s="746" t="str">
        <f t="shared" si="224"/>
        <v/>
      </c>
      <c r="AX333" s="746"/>
      <c r="AY333" s="75" t="str">
        <f t="shared" ref="AY333:BE333" si="238">IF(AY63="","",AY63)</f>
        <v/>
      </c>
      <c r="AZ333" s="13" t="str">
        <f t="shared" si="238"/>
        <v/>
      </c>
      <c r="BA333" s="75" t="str">
        <f t="shared" si="238"/>
        <v/>
      </c>
      <c r="BB333" s="13" t="str">
        <f t="shared" si="238"/>
        <v/>
      </c>
      <c r="BC333" s="672"/>
      <c r="BD333" s="672"/>
      <c r="BE333" s="746" t="str">
        <f t="shared" si="238"/>
        <v/>
      </c>
      <c r="BF333" s="746"/>
      <c r="BG333" s="13" t="s">
        <v>142</v>
      </c>
      <c r="BH333" s="884" t="str">
        <f t="shared" si="226"/>
        <v/>
      </c>
      <c r="BI333" s="884"/>
      <c r="BJ333" s="590"/>
      <c r="BO333" s="94"/>
      <c r="BP333" s="94"/>
      <c r="BQ333" s="94"/>
      <c r="BR333" s="94"/>
      <c r="BS333" s="94"/>
      <c r="BT333" s="94"/>
      <c r="BU333" s="94"/>
      <c r="BV333" s="94"/>
      <c r="BW333" s="94"/>
      <c r="BX333" s="94"/>
      <c r="BY333" s="94"/>
      <c r="BZ333" s="94"/>
      <c r="CA333" s="94"/>
      <c r="CB333" s="94"/>
      <c r="CC333" s="94"/>
      <c r="CD333" s="94"/>
      <c r="CE333" s="94"/>
      <c r="CF333" s="94"/>
      <c r="CG333" s="94"/>
      <c r="CH333" s="94"/>
      <c r="CI333" s="94"/>
      <c r="CJ333" s="94"/>
      <c r="CK333" s="94"/>
      <c r="CL333" s="94"/>
      <c r="CM333" s="94"/>
      <c r="CN333" s="94"/>
      <c r="CO333" s="94"/>
      <c r="CP333" s="94"/>
      <c r="CQ333" s="94"/>
      <c r="CR333" s="94"/>
      <c r="CS333" s="94"/>
      <c r="CT333" s="94"/>
      <c r="CU333" s="94"/>
      <c r="CV333" s="94"/>
      <c r="CW333" s="94"/>
      <c r="CX333" s="94"/>
      <c r="CY333" s="94"/>
      <c r="CZ333" s="94"/>
    </row>
    <row r="334" spans="1:178" ht="12.75">
      <c r="A334" s="74"/>
      <c r="B334" s="288" t="str">
        <f t="shared" si="217"/>
        <v/>
      </c>
      <c r="C334" s="9"/>
      <c r="D334" s="288" t="str">
        <f t="shared" si="218"/>
        <v/>
      </c>
      <c r="E334" s="274"/>
      <c r="F334" s="883" t="str">
        <f t="shared" si="215"/>
        <v/>
      </c>
      <c r="G334" s="883"/>
      <c r="H334" s="883"/>
      <c r="I334" s="883"/>
      <c r="J334" s="883"/>
      <c r="K334" s="883"/>
      <c r="L334" s="883"/>
      <c r="M334" s="883"/>
      <c r="N334" s="883"/>
      <c r="O334" s="883"/>
      <c r="P334" s="883"/>
      <c r="Q334" s="883"/>
      <c r="R334" s="883"/>
      <c r="S334" s="883"/>
      <c r="T334" s="883"/>
      <c r="U334" s="883"/>
      <c r="V334" s="883"/>
      <c r="W334" s="883"/>
      <c r="X334" s="883"/>
      <c r="Y334" s="883"/>
      <c r="Z334" s="883"/>
      <c r="AA334" s="883"/>
      <c r="AB334" s="274"/>
      <c r="AC334" s="289"/>
      <c r="AD334" s="885" t="str">
        <f t="shared" si="219"/>
        <v/>
      </c>
      <c r="AE334" s="885"/>
      <c r="AF334" s="885"/>
      <c r="AG334" s="885"/>
      <c r="AH334" s="9"/>
      <c r="AI334" s="288" t="str">
        <f t="shared" ref="AI334:AK334" si="239">IF(AI64="","",AI64)</f>
        <v/>
      </c>
      <c r="AJ334" s="13" t="str">
        <f t="shared" si="239"/>
        <v/>
      </c>
      <c r="AK334" s="682" t="str">
        <f t="shared" si="239"/>
        <v/>
      </c>
      <c r="AL334" s="13" t="str">
        <f t="shared" si="222"/>
        <v/>
      </c>
      <c r="AM334" s="672"/>
      <c r="AN334" s="672"/>
      <c r="AO334" s="289"/>
      <c r="AP334" s="273" t="str">
        <f t="shared" ref="AP334:AS334" si="240">IF(AP64="","",AP64)</f>
        <v/>
      </c>
      <c r="AQ334" s="13" t="str">
        <f t="shared" si="240"/>
        <v/>
      </c>
      <c r="AR334" s="75" t="str">
        <f t="shared" si="240"/>
        <v/>
      </c>
      <c r="AS334" s="13" t="str">
        <f t="shared" si="240"/>
        <v/>
      </c>
      <c r="AT334" s="672"/>
      <c r="AU334" s="672"/>
      <c r="AV334" s="13"/>
      <c r="AW334" s="746" t="str">
        <f t="shared" si="224"/>
        <v/>
      </c>
      <c r="AX334" s="746"/>
      <c r="AY334" s="75" t="str">
        <f t="shared" ref="AY334:BE334" si="241">IF(AY64="","",AY64)</f>
        <v/>
      </c>
      <c r="AZ334" s="13" t="str">
        <f t="shared" si="241"/>
        <v/>
      </c>
      <c r="BA334" s="75" t="str">
        <f t="shared" si="241"/>
        <v/>
      </c>
      <c r="BB334" s="13" t="str">
        <f t="shared" si="241"/>
        <v/>
      </c>
      <c r="BC334" s="672"/>
      <c r="BD334" s="672"/>
      <c r="BE334" s="746" t="str">
        <f t="shared" si="241"/>
        <v/>
      </c>
      <c r="BF334" s="746"/>
      <c r="BG334" s="13" t="s">
        <v>142</v>
      </c>
      <c r="BH334" s="884" t="str">
        <f t="shared" si="226"/>
        <v/>
      </c>
      <c r="BI334" s="884"/>
      <c r="BJ334" s="590"/>
      <c r="BO334" s="94"/>
      <c r="BP334" s="94"/>
      <c r="BQ334" s="94"/>
      <c r="BR334" s="94"/>
      <c r="BS334" s="94"/>
      <c r="BT334" s="94"/>
      <c r="BU334" s="94"/>
      <c r="BV334" s="94"/>
      <c r="BW334" s="94"/>
      <c r="BX334" s="94"/>
      <c r="BY334" s="94"/>
      <c r="BZ334" s="94"/>
      <c r="CA334" s="94"/>
      <c r="CB334" s="94"/>
      <c r="CC334" s="94"/>
      <c r="CD334" s="94"/>
      <c r="CE334" s="94"/>
      <c r="CF334" s="94"/>
      <c r="CG334" s="94"/>
      <c r="CH334" s="94"/>
      <c r="CI334" s="94"/>
      <c r="CJ334" s="94"/>
      <c r="CK334" s="94"/>
      <c r="CL334" s="94"/>
      <c r="CM334" s="94"/>
      <c r="CN334" s="94"/>
      <c r="CO334" s="94"/>
      <c r="CP334" s="94"/>
      <c r="CQ334" s="94"/>
      <c r="CR334" s="94"/>
      <c r="CS334" s="94"/>
      <c r="CT334" s="94"/>
      <c r="CU334" s="94"/>
      <c r="CV334" s="94"/>
      <c r="CW334" s="94"/>
      <c r="CX334" s="94"/>
      <c r="CY334" s="94"/>
      <c r="CZ334" s="94"/>
    </row>
    <row r="335" spans="1:178" ht="12.75">
      <c r="A335" s="74"/>
      <c r="B335" s="288" t="str">
        <f t="shared" si="217"/>
        <v/>
      </c>
      <c r="C335" s="9"/>
      <c r="D335" s="288" t="str">
        <f t="shared" si="218"/>
        <v/>
      </c>
      <c r="E335" s="274"/>
      <c r="F335" s="883" t="str">
        <f t="shared" si="215"/>
        <v/>
      </c>
      <c r="G335" s="883"/>
      <c r="H335" s="883"/>
      <c r="I335" s="883"/>
      <c r="J335" s="883"/>
      <c r="K335" s="883"/>
      <c r="L335" s="883"/>
      <c r="M335" s="883"/>
      <c r="N335" s="883"/>
      <c r="O335" s="883"/>
      <c r="P335" s="883"/>
      <c r="Q335" s="883"/>
      <c r="R335" s="883"/>
      <c r="S335" s="883"/>
      <c r="T335" s="883"/>
      <c r="U335" s="883"/>
      <c r="V335" s="883"/>
      <c r="W335" s="883"/>
      <c r="X335" s="883"/>
      <c r="Y335" s="883"/>
      <c r="Z335" s="883"/>
      <c r="AA335" s="883"/>
      <c r="AB335" s="274"/>
      <c r="AC335" s="289"/>
      <c r="AD335" s="885" t="str">
        <f t="shared" si="219"/>
        <v/>
      </c>
      <c r="AE335" s="885"/>
      <c r="AF335" s="885"/>
      <c r="AG335" s="885"/>
      <c r="AH335" s="9"/>
      <c r="AI335" s="288" t="str">
        <f t="shared" ref="AI335:AK335" si="242">IF(AI65="","",AI65)</f>
        <v/>
      </c>
      <c r="AJ335" s="13" t="str">
        <f t="shared" si="242"/>
        <v/>
      </c>
      <c r="AK335" s="682" t="str">
        <f t="shared" si="242"/>
        <v/>
      </c>
      <c r="AL335" s="13" t="str">
        <f t="shared" si="222"/>
        <v/>
      </c>
      <c r="AM335" s="672"/>
      <c r="AN335" s="672"/>
      <c r="AO335" s="289"/>
      <c r="AP335" s="273" t="str">
        <f t="shared" ref="AP335:AS335" si="243">IF(AP65="","",AP65)</f>
        <v/>
      </c>
      <c r="AQ335" s="13" t="str">
        <f t="shared" si="243"/>
        <v/>
      </c>
      <c r="AR335" s="75" t="str">
        <f t="shared" si="243"/>
        <v/>
      </c>
      <c r="AS335" s="13" t="str">
        <f t="shared" si="243"/>
        <v/>
      </c>
      <c r="AT335" s="672"/>
      <c r="AU335" s="672"/>
      <c r="AV335" s="13"/>
      <c r="AW335" s="746" t="str">
        <f t="shared" si="224"/>
        <v/>
      </c>
      <c r="AX335" s="746"/>
      <c r="AY335" s="75" t="str">
        <f t="shared" ref="AY335:BE335" si="244">IF(AY65="","",AY65)</f>
        <v/>
      </c>
      <c r="AZ335" s="13" t="str">
        <f t="shared" si="244"/>
        <v/>
      </c>
      <c r="BA335" s="75" t="str">
        <f t="shared" si="244"/>
        <v/>
      </c>
      <c r="BB335" s="13" t="str">
        <f t="shared" si="244"/>
        <v/>
      </c>
      <c r="BC335" s="672"/>
      <c r="BD335" s="672"/>
      <c r="BE335" s="746" t="str">
        <f t="shared" si="244"/>
        <v/>
      </c>
      <c r="BF335" s="746"/>
      <c r="BG335" s="13" t="s">
        <v>142</v>
      </c>
      <c r="BH335" s="884" t="str">
        <f t="shared" si="226"/>
        <v/>
      </c>
      <c r="BI335" s="884"/>
      <c r="BJ335" s="590"/>
      <c r="BO335" s="94"/>
      <c r="BP335" s="94"/>
      <c r="BQ335" s="94"/>
      <c r="BR335" s="94"/>
      <c r="BS335" s="94"/>
      <c r="BT335" s="94"/>
      <c r="BU335" s="94"/>
      <c r="BV335" s="94"/>
      <c r="BW335" s="94"/>
      <c r="BX335" s="94"/>
      <c r="BY335" s="94"/>
      <c r="BZ335" s="94"/>
      <c r="CA335" s="94"/>
      <c r="CB335" s="94"/>
      <c r="CC335" s="94"/>
      <c r="CD335" s="94"/>
      <c r="CE335" s="94"/>
      <c r="CF335" s="94"/>
      <c r="CG335" s="94"/>
      <c r="CH335" s="94"/>
      <c r="CI335" s="94"/>
      <c r="CJ335" s="94"/>
      <c r="CK335" s="94"/>
      <c r="CL335" s="94"/>
      <c r="CM335" s="94"/>
      <c r="CN335" s="94"/>
      <c r="CO335" s="94"/>
      <c r="CP335" s="94"/>
      <c r="CQ335" s="94"/>
      <c r="CR335" s="94"/>
      <c r="CS335" s="94"/>
      <c r="CT335" s="94"/>
      <c r="CU335" s="94"/>
      <c r="CV335" s="94"/>
      <c r="CW335" s="94"/>
      <c r="CX335" s="94"/>
      <c r="CY335" s="94"/>
      <c r="CZ335" s="94"/>
    </row>
    <row r="336" spans="1:178" ht="12.75">
      <c r="A336" s="74"/>
      <c r="B336" s="288" t="str">
        <f t="shared" si="217"/>
        <v/>
      </c>
      <c r="C336" s="9"/>
      <c r="D336" s="288" t="str">
        <f t="shared" si="218"/>
        <v/>
      </c>
      <c r="E336" s="274"/>
      <c r="F336" s="883" t="str">
        <f t="shared" si="215"/>
        <v/>
      </c>
      <c r="G336" s="883"/>
      <c r="H336" s="883"/>
      <c r="I336" s="883"/>
      <c r="J336" s="883"/>
      <c r="K336" s="883"/>
      <c r="L336" s="883"/>
      <c r="M336" s="883"/>
      <c r="N336" s="883"/>
      <c r="O336" s="883"/>
      <c r="P336" s="883"/>
      <c r="Q336" s="883"/>
      <c r="R336" s="883"/>
      <c r="S336" s="883"/>
      <c r="T336" s="883"/>
      <c r="U336" s="883"/>
      <c r="V336" s="883"/>
      <c r="W336" s="883"/>
      <c r="X336" s="883"/>
      <c r="Y336" s="883"/>
      <c r="Z336" s="883"/>
      <c r="AA336" s="883"/>
      <c r="AB336" s="274"/>
      <c r="AC336" s="289"/>
      <c r="AD336" s="885" t="str">
        <f t="shared" si="219"/>
        <v/>
      </c>
      <c r="AE336" s="885"/>
      <c r="AF336" s="885"/>
      <c r="AG336" s="885"/>
      <c r="AH336" s="9"/>
      <c r="AI336" s="288" t="str">
        <f t="shared" ref="AI336:AK336" si="245">IF(AI66="","",AI66)</f>
        <v/>
      </c>
      <c r="AJ336" s="13" t="str">
        <f t="shared" si="245"/>
        <v/>
      </c>
      <c r="AK336" s="682" t="str">
        <f t="shared" si="245"/>
        <v/>
      </c>
      <c r="AL336" s="13" t="str">
        <f t="shared" si="222"/>
        <v/>
      </c>
      <c r="AM336" s="672"/>
      <c r="AN336" s="672"/>
      <c r="AO336" s="289"/>
      <c r="AP336" s="273" t="str">
        <f t="shared" ref="AP336:AS336" si="246">IF(AP66="","",AP66)</f>
        <v/>
      </c>
      <c r="AQ336" s="13" t="str">
        <f t="shared" si="246"/>
        <v/>
      </c>
      <c r="AR336" s="75" t="str">
        <f t="shared" si="246"/>
        <v/>
      </c>
      <c r="AS336" s="13" t="str">
        <f t="shared" si="246"/>
        <v/>
      </c>
      <c r="AT336" s="672"/>
      <c r="AU336" s="672"/>
      <c r="AV336" s="13"/>
      <c r="AW336" s="746" t="str">
        <f t="shared" si="224"/>
        <v/>
      </c>
      <c r="AX336" s="746"/>
      <c r="AY336" s="75" t="str">
        <f t="shared" ref="AY336:BE336" si="247">IF(AY66="","",AY66)</f>
        <v/>
      </c>
      <c r="AZ336" s="13" t="str">
        <f t="shared" si="247"/>
        <v/>
      </c>
      <c r="BA336" s="75" t="str">
        <f t="shared" si="247"/>
        <v/>
      </c>
      <c r="BB336" s="13" t="str">
        <f t="shared" si="247"/>
        <v/>
      </c>
      <c r="BC336" s="672"/>
      <c r="BD336" s="672"/>
      <c r="BE336" s="746" t="str">
        <f t="shared" si="247"/>
        <v/>
      </c>
      <c r="BF336" s="746"/>
      <c r="BG336" s="13" t="s">
        <v>142</v>
      </c>
      <c r="BH336" s="884" t="str">
        <f t="shared" si="226"/>
        <v/>
      </c>
      <c r="BI336" s="884"/>
      <c r="BJ336" s="590"/>
      <c r="BO336" s="94"/>
      <c r="BP336" s="94"/>
      <c r="BQ336" s="94"/>
      <c r="BR336" s="94"/>
      <c r="BS336" s="94"/>
      <c r="BT336" s="94"/>
      <c r="BU336" s="94"/>
      <c r="BV336" s="94"/>
      <c r="BW336" s="94"/>
      <c r="BX336" s="94"/>
      <c r="BY336" s="94"/>
      <c r="BZ336" s="94"/>
      <c r="CA336" s="94"/>
      <c r="CB336" s="94"/>
      <c r="CC336" s="94"/>
      <c r="CD336" s="94"/>
      <c r="CE336" s="94"/>
      <c r="CF336" s="94"/>
      <c r="CG336" s="94"/>
      <c r="CH336" s="94"/>
      <c r="CI336" s="94"/>
      <c r="CJ336" s="94"/>
      <c r="CK336" s="94"/>
      <c r="CL336" s="94"/>
      <c r="CM336" s="94"/>
      <c r="CN336" s="94"/>
      <c r="CO336" s="94"/>
      <c r="CP336" s="94"/>
      <c r="CQ336" s="94"/>
      <c r="CR336" s="94"/>
      <c r="CS336" s="94"/>
      <c r="CT336" s="94"/>
      <c r="CU336" s="94"/>
      <c r="CV336" s="94"/>
      <c r="CW336" s="94"/>
      <c r="CX336" s="94"/>
      <c r="CY336" s="94"/>
      <c r="CZ336" s="94"/>
    </row>
    <row r="337" spans="1:178" ht="12.75">
      <c r="A337" s="74"/>
      <c r="B337" s="288" t="str">
        <f t="shared" si="217"/>
        <v/>
      </c>
      <c r="C337" s="9"/>
      <c r="D337" s="288" t="str">
        <f t="shared" si="218"/>
        <v/>
      </c>
      <c r="E337" s="274"/>
      <c r="F337" s="883" t="str">
        <f t="shared" si="215"/>
        <v/>
      </c>
      <c r="G337" s="883"/>
      <c r="H337" s="883"/>
      <c r="I337" s="883"/>
      <c r="J337" s="883"/>
      <c r="K337" s="883"/>
      <c r="L337" s="883"/>
      <c r="M337" s="883"/>
      <c r="N337" s="883"/>
      <c r="O337" s="883"/>
      <c r="P337" s="883"/>
      <c r="Q337" s="883"/>
      <c r="R337" s="883"/>
      <c r="S337" s="883"/>
      <c r="T337" s="883"/>
      <c r="U337" s="883"/>
      <c r="V337" s="883"/>
      <c r="W337" s="883"/>
      <c r="X337" s="883"/>
      <c r="Y337" s="883"/>
      <c r="Z337" s="883"/>
      <c r="AA337" s="883"/>
      <c r="AB337" s="274"/>
      <c r="AC337" s="289"/>
      <c r="AD337" s="885" t="str">
        <f t="shared" si="219"/>
        <v/>
      </c>
      <c r="AE337" s="885"/>
      <c r="AF337" s="885"/>
      <c r="AG337" s="885"/>
      <c r="AH337" s="9"/>
      <c r="AI337" s="288" t="str">
        <f t="shared" ref="AI337:AK337" si="248">IF(AI67="","",AI67)</f>
        <v/>
      </c>
      <c r="AJ337" s="13" t="str">
        <f t="shared" si="248"/>
        <v/>
      </c>
      <c r="AK337" s="682" t="str">
        <f t="shared" si="248"/>
        <v/>
      </c>
      <c r="AL337" s="13" t="str">
        <f t="shared" si="222"/>
        <v/>
      </c>
      <c r="AM337" s="672"/>
      <c r="AN337" s="672"/>
      <c r="AO337" s="289"/>
      <c r="AP337" s="273" t="str">
        <f t="shared" ref="AP337:AS337" si="249">IF(AP67="","",AP67)</f>
        <v/>
      </c>
      <c r="AQ337" s="13" t="str">
        <f t="shared" si="249"/>
        <v/>
      </c>
      <c r="AR337" s="75" t="str">
        <f t="shared" si="249"/>
        <v/>
      </c>
      <c r="AS337" s="13" t="str">
        <f t="shared" si="249"/>
        <v/>
      </c>
      <c r="AT337" s="672"/>
      <c r="AU337" s="672"/>
      <c r="AV337" s="13"/>
      <c r="AW337" s="746" t="str">
        <f t="shared" si="224"/>
        <v/>
      </c>
      <c r="AX337" s="746"/>
      <c r="AY337" s="75" t="str">
        <f t="shared" ref="AY337:BE337" si="250">IF(AY67="","",AY67)</f>
        <v/>
      </c>
      <c r="AZ337" s="13" t="str">
        <f t="shared" si="250"/>
        <v/>
      </c>
      <c r="BA337" s="75" t="str">
        <f t="shared" si="250"/>
        <v/>
      </c>
      <c r="BB337" s="13" t="str">
        <f t="shared" si="250"/>
        <v/>
      </c>
      <c r="BC337" s="672"/>
      <c r="BD337" s="672"/>
      <c r="BE337" s="746" t="str">
        <f t="shared" si="250"/>
        <v/>
      </c>
      <c r="BF337" s="746"/>
      <c r="BG337" s="13" t="s">
        <v>142</v>
      </c>
      <c r="BH337" s="884" t="str">
        <f t="shared" si="226"/>
        <v/>
      </c>
      <c r="BI337" s="884"/>
      <c r="BJ337" s="590"/>
      <c r="BO337" s="94"/>
      <c r="BP337" s="94"/>
      <c r="BQ337" s="94"/>
      <c r="BR337" s="94"/>
      <c r="BS337" s="94"/>
      <c r="BT337" s="94"/>
      <c r="BU337" s="94"/>
      <c r="BV337" s="94"/>
      <c r="BW337" s="94"/>
      <c r="BX337" s="94"/>
      <c r="BY337" s="94"/>
      <c r="BZ337" s="94"/>
      <c r="CA337" s="94"/>
      <c r="CB337" s="94"/>
      <c r="CC337" s="94"/>
      <c r="CD337" s="94"/>
      <c r="CE337" s="94"/>
      <c r="CF337" s="94"/>
      <c r="CG337" s="94"/>
      <c r="CH337" s="94"/>
      <c r="CI337" s="94"/>
      <c r="CJ337" s="94"/>
      <c r="CK337" s="94"/>
      <c r="CL337" s="94"/>
      <c r="CM337" s="94"/>
      <c r="CN337" s="94"/>
      <c r="CO337" s="94"/>
      <c r="CP337" s="94"/>
      <c r="CQ337" s="94"/>
      <c r="CR337" s="94"/>
      <c r="CS337" s="94"/>
      <c r="CT337" s="94"/>
      <c r="CU337" s="94"/>
      <c r="CV337" s="94"/>
      <c r="CW337" s="94"/>
      <c r="CX337" s="94"/>
      <c r="CY337" s="94"/>
      <c r="CZ337" s="94"/>
    </row>
    <row r="338" spans="1:178" ht="12.75">
      <c r="A338" s="74"/>
      <c r="B338" s="288" t="str">
        <f t="shared" si="217"/>
        <v/>
      </c>
      <c r="C338" s="9"/>
      <c r="D338" s="288" t="str">
        <f t="shared" si="218"/>
        <v/>
      </c>
      <c r="E338" s="274"/>
      <c r="F338" s="883" t="str">
        <f t="shared" si="215"/>
        <v/>
      </c>
      <c r="G338" s="883"/>
      <c r="H338" s="883"/>
      <c r="I338" s="883"/>
      <c r="J338" s="883"/>
      <c r="K338" s="883"/>
      <c r="L338" s="883"/>
      <c r="M338" s="883"/>
      <c r="N338" s="883"/>
      <c r="O338" s="883"/>
      <c r="P338" s="883"/>
      <c r="Q338" s="883"/>
      <c r="R338" s="883"/>
      <c r="S338" s="883"/>
      <c r="T338" s="883"/>
      <c r="U338" s="883"/>
      <c r="V338" s="883"/>
      <c r="W338" s="883"/>
      <c r="X338" s="883"/>
      <c r="Y338" s="883"/>
      <c r="Z338" s="883"/>
      <c r="AA338" s="883"/>
      <c r="AB338" s="274"/>
      <c r="AC338" s="289"/>
      <c r="AD338" s="885" t="str">
        <f t="shared" si="219"/>
        <v/>
      </c>
      <c r="AE338" s="885"/>
      <c r="AF338" s="885"/>
      <c r="AG338" s="885"/>
      <c r="AH338" s="9"/>
      <c r="AI338" s="288" t="str">
        <f t="shared" ref="AI338:AK338" si="251">IF(AI68="","",AI68)</f>
        <v/>
      </c>
      <c r="AJ338" s="13" t="str">
        <f t="shared" si="251"/>
        <v/>
      </c>
      <c r="AK338" s="682" t="str">
        <f t="shared" si="251"/>
        <v/>
      </c>
      <c r="AL338" s="13" t="str">
        <f t="shared" si="222"/>
        <v/>
      </c>
      <c r="AM338" s="672"/>
      <c r="AN338" s="672"/>
      <c r="AO338" s="289"/>
      <c r="AP338" s="273" t="str">
        <f t="shared" ref="AP338:AS338" si="252">IF(AP68="","",AP68)</f>
        <v/>
      </c>
      <c r="AQ338" s="13" t="str">
        <f t="shared" si="252"/>
        <v/>
      </c>
      <c r="AR338" s="75" t="str">
        <f t="shared" si="252"/>
        <v/>
      </c>
      <c r="AS338" s="13" t="str">
        <f t="shared" si="252"/>
        <v/>
      </c>
      <c r="AT338" s="672"/>
      <c r="AU338" s="672"/>
      <c r="AV338" s="13"/>
      <c r="AW338" s="746" t="str">
        <f t="shared" si="224"/>
        <v/>
      </c>
      <c r="AX338" s="746"/>
      <c r="AY338" s="75" t="str">
        <f t="shared" ref="AY338:BE338" si="253">IF(AY68="","",AY68)</f>
        <v/>
      </c>
      <c r="AZ338" s="13" t="str">
        <f t="shared" si="253"/>
        <v/>
      </c>
      <c r="BA338" s="75" t="str">
        <f t="shared" si="253"/>
        <v/>
      </c>
      <c r="BB338" s="13" t="str">
        <f t="shared" si="253"/>
        <v/>
      </c>
      <c r="BC338" s="672"/>
      <c r="BD338" s="672"/>
      <c r="BE338" s="746" t="str">
        <f t="shared" si="253"/>
        <v/>
      </c>
      <c r="BF338" s="746"/>
      <c r="BG338" s="13" t="s">
        <v>142</v>
      </c>
      <c r="BH338" s="884" t="str">
        <f t="shared" si="226"/>
        <v/>
      </c>
      <c r="BI338" s="884"/>
      <c r="BJ338" s="590"/>
      <c r="BO338" s="94"/>
      <c r="BP338" s="94"/>
      <c r="BQ338" s="94"/>
      <c r="BR338" s="94"/>
      <c r="BS338" s="94"/>
      <c r="BT338" s="94"/>
      <c r="BU338" s="94"/>
      <c r="BV338" s="94"/>
      <c r="BW338" s="94"/>
      <c r="BX338" s="94"/>
      <c r="BY338" s="94"/>
      <c r="BZ338" s="94"/>
      <c r="CA338" s="94"/>
      <c r="CB338" s="94"/>
      <c r="CC338" s="94"/>
      <c r="CD338" s="94"/>
      <c r="CE338" s="94"/>
      <c r="CF338" s="94"/>
      <c r="CG338" s="94"/>
      <c r="CH338" s="94"/>
      <c r="CI338" s="94"/>
      <c r="CJ338" s="94"/>
      <c r="CK338" s="94"/>
      <c r="CL338" s="94"/>
      <c r="CM338" s="94"/>
      <c r="CN338" s="94"/>
      <c r="CO338" s="94"/>
      <c r="CP338" s="94"/>
      <c r="CQ338" s="94"/>
      <c r="CR338" s="94"/>
      <c r="CS338" s="94"/>
      <c r="CT338" s="94"/>
      <c r="CU338" s="94"/>
      <c r="CV338" s="94"/>
      <c r="CW338" s="94"/>
      <c r="CX338" s="94"/>
      <c r="CY338" s="94"/>
      <c r="CZ338" s="94"/>
    </row>
    <row r="339" spans="1:178" ht="13.5" thickBot="1">
      <c r="A339" s="76"/>
      <c r="B339" s="651"/>
      <c r="C339" s="276"/>
      <c r="D339" s="651"/>
      <c r="E339" s="651"/>
      <c r="F339" s="652"/>
      <c r="G339" s="652"/>
      <c r="H339" s="652"/>
      <c r="I339" s="652"/>
      <c r="J339" s="652"/>
      <c r="K339" s="652"/>
      <c r="L339" s="652"/>
      <c r="M339" s="652"/>
      <c r="N339" s="652"/>
      <c r="O339" s="652"/>
      <c r="P339" s="652"/>
      <c r="Q339" s="653"/>
      <c r="R339" s="651"/>
      <c r="S339" s="651"/>
      <c r="T339" s="651"/>
      <c r="U339" s="651"/>
      <c r="V339" s="654"/>
      <c r="W339" s="651"/>
      <c r="X339" s="651"/>
      <c r="Y339" s="651"/>
      <c r="Z339" s="651"/>
      <c r="AA339" s="651"/>
      <c r="AB339" s="651"/>
      <c r="AC339" s="654"/>
      <c r="AD339" s="655"/>
      <c r="AE339" s="655"/>
      <c r="AF339" s="655"/>
      <c r="AG339" s="655"/>
      <c r="AH339" s="276"/>
      <c r="AI339" s="651"/>
      <c r="AJ339" s="656"/>
      <c r="AK339" s="663"/>
      <c r="AL339" s="656"/>
      <c r="AM339" s="656"/>
      <c r="AN339" s="656"/>
      <c r="AO339" s="654"/>
      <c r="AP339" s="657"/>
      <c r="AQ339" s="656"/>
      <c r="AR339" s="657"/>
      <c r="AS339" s="656"/>
      <c r="AT339" s="656"/>
      <c r="AU339" s="656"/>
      <c r="AV339" s="656"/>
      <c r="AW339" s="658"/>
      <c r="AX339" s="658"/>
      <c r="AY339" s="657"/>
      <c r="AZ339" s="656"/>
      <c r="BA339" s="657"/>
      <c r="BB339" s="656"/>
      <c r="BC339" s="656"/>
      <c r="BD339" s="656"/>
      <c r="BE339" s="658"/>
      <c r="BF339" s="658"/>
      <c r="BG339" s="656"/>
      <c r="BH339" s="659"/>
      <c r="BI339" s="659"/>
      <c r="BJ339" s="660"/>
      <c r="BO339" s="102"/>
      <c r="BP339" s="102"/>
      <c r="BQ339" s="102"/>
      <c r="BR339" s="102"/>
      <c r="BS339" s="102"/>
      <c r="BT339" s="102"/>
      <c r="BU339" s="102"/>
      <c r="BV339" s="102"/>
      <c r="BW339" s="102"/>
      <c r="BX339" s="102"/>
      <c r="BY339" s="94"/>
      <c r="BZ339" s="94"/>
      <c r="CA339" s="94"/>
      <c r="CB339" s="94"/>
      <c r="CC339" s="94"/>
      <c r="CD339" s="94"/>
      <c r="CE339" s="94"/>
      <c r="CF339" s="94"/>
      <c r="CG339" s="94"/>
      <c r="CH339" s="94"/>
      <c r="CI339" s="94"/>
      <c r="CJ339" s="94"/>
      <c r="CK339" s="94"/>
      <c r="CL339" s="94"/>
      <c r="CM339" s="94"/>
      <c r="CN339" s="94"/>
      <c r="CO339" s="94"/>
      <c r="CP339" s="94"/>
      <c r="CQ339" s="94"/>
      <c r="CR339" s="94"/>
      <c r="CS339" s="94"/>
      <c r="CT339" s="94"/>
      <c r="CU339" s="94"/>
      <c r="CV339" s="94"/>
      <c r="CW339" s="94"/>
      <c r="CX339" s="94"/>
      <c r="CY339" s="94"/>
      <c r="CZ339" s="94"/>
    </row>
    <row r="340" spans="1:178" ht="12.75">
      <c r="B340" s="274"/>
      <c r="C340" s="9"/>
      <c r="D340" s="274"/>
      <c r="E340" s="274"/>
      <c r="F340" s="415"/>
      <c r="G340" s="415"/>
      <c r="H340" s="415"/>
      <c r="I340" s="415"/>
      <c r="J340" s="415"/>
      <c r="K340" s="415"/>
      <c r="L340" s="415"/>
      <c r="M340" s="415"/>
      <c r="N340" s="415"/>
      <c r="O340" s="415"/>
      <c r="P340" s="415"/>
      <c r="Q340" s="284"/>
      <c r="R340" s="274"/>
      <c r="S340" s="274"/>
      <c r="T340" s="274"/>
      <c r="U340" s="274"/>
      <c r="V340" s="289"/>
      <c r="W340" s="274"/>
      <c r="X340" s="274"/>
      <c r="Y340" s="274"/>
      <c r="Z340" s="274"/>
      <c r="AA340" s="274"/>
      <c r="AB340" s="274"/>
      <c r="AC340" s="289"/>
      <c r="AD340" s="416"/>
      <c r="AE340" s="416"/>
      <c r="AF340" s="416"/>
      <c r="AG340" s="416"/>
      <c r="AH340" s="9"/>
      <c r="AI340" s="274"/>
      <c r="AJ340" s="13"/>
      <c r="AK340" s="274"/>
      <c r="AL340" s="13"/>
      <c r="AM340" s="672"/>
      <c r="AN340" s="672"/>
      <c r="AO340" s="289"/>
      <c r="AP340" s="417"/>
      <c r="AQ340" s="13"/>
      <c r="AR340" s="417"/>
      <c r="AS340" s="13"/>
      <c r="AT340" s="672"/>
      <c r="AU340" s="672"/>
      <c r="AV340" s="13"/>
      <c r="AW340" s="10"/>
      <c r="AX340" s="10"/>
      <c r="AY340" s="417"/>
      <c r="AZ340" s="13"/>
      <c r="BA340" s="417"/>
      <c r="BB340" s="13"/>
      <c r="BC340" s="672"/>
      <c r="BD340" s="672"/>
      <c r="BE340" s="10"/>
      <c r="BF340" s="10"/>
      <c r="BG340" s="13" t="s">
        <v>142</v>
      </c>
      <c r="BH340" s="884" t="str">
        <f t="shared" si="226"/>
        <v/>
      </c>
      <c r="BI340" s="884"/>
      <c r="BJ340" s="592"/>
      <c r="BO340" s="102"/>
      <c r="BP340" s="102"/>
      <c r="BQ340" s="102"/>
      <c r="BR340" s="102"/>
      <c r="BS340" s="102"/>
      <c r="BT340" s="102"/>
      <c r="BU340" s="102"/>
      <c r="BV340" s="102"/>
      <c r="BW340" s="102"/>
      <c r="BX340" s="102"/>
      <c r="BY340" s="94"/>
      <c r="BZ340" s="94"/>
      <c r="CA340" s="94"/>
      <c r="CB340" s="94"/>
      <c r="CC340" s="94"/>
      <c r="CD340" s="94"/>
      <c r="CE340" s="94"/>
      <c r="CF340" s="94"/>
      <c r="CG340" s="94"/>
      <c r="CH340" s="94"/>
      <c r="CI340" s="94"/>
      <c r="CJ340" s="94"/>
      <c r="CK340" s="94"/>
      <c r="CL340" s="94"/>
      <c r="CM340" s="94"/>
      <c r="CN340" s="94"/>
      <c r="CO340" s="94"/>
      <c r="CP340" s="94"/>
      <c r="CQ340" s="94"/>
      <c r="CR340" s="94"/>
      <c r="CS340" s="94"/>
      <c r="CT340" s="94"/>
      <c r="CU340" s="94"/>
      <c r="CV340" s="94"/>
      <c r="CW340" s="94"/>
      <c r="CX340" s="94"/>
      <c r="CY340" s="94"/>
      <c r="CZ340" s="94"/>
    </row>
    <row r="341" spans="1:178" ht="6.6" customHeight="1">
      <c r="B341" s="68"/>
      <c r="C341" s="68"/>
      <c r="D341" s="68"/>
      <c r="E341" s="68"/>
      <c r="F341" s="68"/>
      <c r="G341" s="68"/>
      <c r="H341" s="68"/>
      <c r="I341" s="68"/>
      <c r="J341" s="68"/>
      <c r="K341" s="68"/>
      <c r="L341" s="68"/>
      <c r="M341" s="68"/>
      <c r="N341" s="68"/>
      <c r="O341" s="68"/>
      <c r="P341" s="68"/>
      <c r="Q341" s="68"/>
      <c r="AI341" s="68"/>
      <c r="AJ341" s="68"/>
      <c r="AK341" s="68"/>
      <c r="AL341" s="68"/>
      <c r="AM341" s="68"/>
      <c r="AN341" s="68"/>
      <c r="AO341" s="68"/>
      <c r="AP341" s="68"/>
      <c r="AQ341" s="68"/>
      <c r="AR341" s="68"/>
      <c r="AS341" s="68"/>
      <c r="AT341" s="68"/>
      <c r="AU341" s="68"/>
      <c r="AV341" s="68"/>
      <c r="AW341" s="68"/>
      <c r="AX341" s="68"/>
      <c r="AY341" s="68"/>
      <c r="AZ341" s="68"/>
      <c r="BA341" s="68"/>
      <c r="BB341" s="68"/>
      <c r="BC341" s="68"/>
      <c r="BD341" s="68"/>
      <c r="BE341" s="68"/>
      <c r="BF341" s="68"/>
      <c r="BG341" s="68"/>
      <c r="BH341" s="68"/>
      <c r="BI341" s="68"/>
      <c r="BJ341" s="68"/>
      <c r="BN341" s="195"/>
      <c r="BO341" s="94"/>
      <c r="BP341" s="94"/>
      <c r="BQ341" s="94"/>
      <c r="BR341" s="94"/>
      <c r="BS341" s="94"/>
      <c r="BT341" s="94"/>
      <c r="BU341" s="94"/>
      <c r="BV341" s="94"/>
      <c r="BW341" s="94"/>
      <c r="BX341" s="94"/>
      <c r="BY341" s="94"/>
      <c r="BZ341" s="94"/>
      <c r="CA341" s="94"/>
      <c r="CB341" s="94"/>
      <c r="CC341" s="94"/>
      <c r="CD341" s="94"/>
      <c r="CE341" s="94"/>
      <c r="CF341" s="94"/>
      <c r="CG341" s="94"/>
      <c r="CH341" s="94"/>
      <c r="CI341" s="94"/>
      <c r="CJ341" s="94"/>
      <c r="CK341" s="94"/>
      <c r="CL341" s="94"/>
      <c r="CM341" s="94"/>
      <c r="CN341" s="94"/>
      <c r="CO341" s="94"/>
      <c r="CP341" s="94"/>
      <c r="CQ341" s="94"/>
      <c r="CR341" s="94"/>
      <c r="CS341" s="94"/>
      <c r="CT341" s="94"/>
      <c r="CU341" s="94"/>
      <c r="CV341" s="94"/>
      <c r="CW341" s="94"/>
      <c r="CX341" s="94"/>
      <c r="CY341" s="94"/>
      <c r="CZ341" s="94"/>
    </row>
    <row r="342" spans="1:178" ht="7.15" customHeight="1">
      <c r="A342" s="648"/>
      <c r="B342" s="649"/>
      <c r="C342" s="649"/>
      <c r="D342" s="649"/>
      <c r="E342" s="649"/>
      <c r="F342" s="649"/>
      <c r="G342" s="649"/>
      <c r="H342" s="649"/>
      <c r="I342" s="649"/>
      <c r="J342" s="649"/>
      <c r="K342" s="649"/>
      <c r="L342" s="649"/>
      <c r="M342" s="649"/>
      <c r="N342" s="649"/>
      <c r="O342" s="649"/>
      <c r="P342" s="649"/>
      <c r="Q342" s="649"/>
      <c r="R342" s="648"/>
      <c r="S342" s="648"/>
      <c r="T342" s="648"/>
      <c r="U342" s="648"/>
      <c r="V342" s="648"/>
      <c r="W342" s="648"/>
      <c r="X342" s="648"/>
      <c r="Y342" s="648"/>
      <c r="Z342" s="648"/>
      <c r="AA342" s="648"/>
      <c r="AB342" s="648"/>
      <c r="AC342" s="648"/>
      <c r="AD342" s="648"/>
      <c r="AE342" s="648"/>
      <c r="AF342" s="648"/>
      <c r="AG342" s="648"/>
      <c r="AH342" s="648"/>
      <c r="AI342" s="649"/>
      <c r="AJ342" s="649"/>
      <c r="AK342" s="649"/>
      <c r="AL342" s="649"/>
      <c r="AM342" s="649"/>
      <c r="AN342" s="649"/>
      <c r="AO342" s="649"/>
      <c r="AP342" s="649"/>
      <c r="AQ342" s="649"/>
      <c r="AR342" s="649"/>
      <c r="AS342" s="649"/>
      <c r="AT342" s="649"/>
      <c r="AU342" s="649"/>
      <c r="AV342" s="649"/>
      <c r="AW342" s="649"/>
      <c r="AX342" s="649"/>
      <c r="AY342" s="649"/>
      <c r="AZ342" s="649"/>
      <c r="BA342" s="649"/>
      <c r="BB342" s="649"/>
      <c r="BC342" s="649"/>
      <c r="BD342" s="649"/>
      <c r="BE342" s="649"/>
      <c r="BF342" s="649"/>
      <c r="BG342" s="649"/>
      <c r="BH342" s="649"/>
      <c r="BI342" s="649"/>
      <c r="BJ342" s="649"/>
      <c r="BK342" s="648"/>
      <c r="BL342" s="648"/>
      <c r="BM342" s="648"/>
      <c r="BN342" s="650"/>
      <c r="BO342" s="94"/>
      <c r="BP342" s="94"/>
      <c r="BQ342" s="94"/>
      <c r="BR342" s="94"/>
      <c r="BS342" s="94"/>
      <c r="BT342" s="94"/>
      <c r="BU342" s="94"/>
      <c r="BV342" s="94"/>
      <c r="BW342" s="94"/>
      <c r="BX342" s="94"/>
      <c r="BY342" s="94"/>
      <c r="BZ342" s="94"/>
      <c r="CA342" s="94"/>
      <c r="CB342" s="94"/>
      <c r="CC342" s="94"/>
      <c r="CD342" s="94"/>
      <c r="CE342" s="94"/>
      <c r="CF342" s="94"/>
      <c r="CG342" s="94"/>
      <c r="CH342" s="94"/>
      <c r="CI342" s="94"/>
      <c r="CJ342" s="94"/>
      <c r="CK342" s="94"/>
      <c r="CL342" s="94"/>
      <c r="CM342" s="94"/>
      <c r="CN342" s="94"/>
      <c r="CO342" s="94"/>
      <c r="CP342" s="94"/>
      <c r="CQ342" s="94"/>
      <c r="CR342" s="94"/>
      <c r="CS342" s="94"/>
      <c r="CT342" s="94"/>
      <c r="CU342" s="94"/>
      <c r="CV342" s="94"/>
      <c r="CW342" s="94"/>
      <c r="CX342" s="94"/>
      <c r="CY342" s="94"/>
      <c r="CZ342" s="94"/>
    </row>
    <row r="343" spans="1:178" ht="18">
      <c r="A343" s="625" t="str">
        <f>A73</f>
        <v>Common Area Energy Efficiency Incentives for New Construction and Major Renovations</v>
      </c>
      <c r="B343" s="67"/>
      <c r="C343" s="68"/>
      <c r="D343" s="68"/>
      <c r="E343" s="68"/>
      <c r="F343" s="68"/>
      <c r="G343" s="68"/>
      <c r="H343" s="68"/>
      <c r="I343" s="68"/>
      <c r="J343" s="68"/>
      <c r="K343" s="68"/>
      <c r="L343" s="68"/>
      <c r="M343" s="68"/>
      <c r="N343" s="68"/>
      <c r="O343" s="68"/>
      <c r="P343" s="68"/>
      <c r="Q343" s="68"/>
      <c r="AI343" s="68"/>
      <c r="AJ343" s="68"/>
      <c r="AK343" s="68"/>
      <c r="AL343" s="68"/>
      <c r="AM343" s="68"/>
      <c r="AN343" s="68"/>
      <c r="AO343" s="68"/>
      <c r="AP343" s="68"/>
      <c r="AQ343" s="68"/>
      <c r="AR343" s="68"/>
      <c r="AS343" s="68"/>
      <c r="AT343" s="68"/>
      <c r="AU343" s="68"/>
      <c r="AV343" s="68"/>
      <c r="AW343" s="68"/>
      <c r="AX343" s="68"/>
      <c r="AY343" s="68"/>
      <c r="AZ343" s="68"/>
      <c r="BA343" s="68"/>
      <c r="BB343" s="68"/>
      <c r="BC343" s="68"/>
      <c r="BD343" s="68"/>
      <c r="BE343" s="68"/>
      <c r="BF343" s="68"/>
      <c r="BG343" s="68"/>
      <c r="BH343" s="68"/>
      <c r="BI343" s="68"/>
      <c r="BJ343" s="68"/>
      <c r="BN343" s="195"/>
      <c r="BO343" s="94"/>
      <c r="BP343" s="94"/>
      <c r="BQ343" s="94"/>
      <c r="BR343" s="94"/>
      <c r="BS343" s="94"/>
      <c r="BT343" s="94"/>
      <c r="BU343" s="94"/>
      <c r="BV343" s="94"/>
      <c r="BW343" s="94"/>
      <c r="BX343" s="94"/>
      <c r="BY343" s="94"/>
      <c r="BZ343" s="94"/>
      <c r="CA343" s="94"/>
      <c r="CB343" s="94"/>
      <c r="CC343" s="94"/>
      <c r="CD343" s="94"/>
      <c r="CE343" s="94"/>
      <c r="CF343" s="94"/>
      <c r="CG343" s="94"/>
      <c r="CH343" s="94"/>
      <c r="CI343" s="94"/>
      <c r="CJ343" s="94"/>
      <c r="CK343" s="94"/>
      <c r="CL343" s="94"/>
      <c r="CM343" s="94"/>
      <c r="CN343" s="94"/>
      <c r="CO343" s="94"/>
      <c r="CP343" s="94"/>
      <c r="CQ343" s="94"/>
      <c r="CR343" s="94"/>
      <c r="CS343" s="94"/>
      <c r="CT343" s="94"/>
      <c r="CU343" s="94"/>
      <c r="CV343" s="94"/>
      <c r="CW343" s="94"/>
      <c r="CX343" s="94"/>
      <c r="CY343" s="94"/>
      <c r="CZ343" s="94"/>
    </row>
    <row r="344" spans="1:178" ht="16.5" thickBot="1">
      <c r="A344" s="80" t="str">
        <f>A74</f>
        <v>A1N- Premium Efficiency HVAC Units*</v>
      </c>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c r="AU344" s="80"/>
      <c r="AV344" s="80"/>
      <c r="AW344" s="80"/>
      <c r="AX344" s="80"/>
      <c r="AY344" s="80"/>
      <c r="AZ344" s="80"/>
      <c r="BA344" s="80"/>
      <c r="BB344" s="80"/>
      <c r="BC344" s="80"/>
      <c r="BD344" s="80"/>
      <c r="BE344" s="80"/>
      <c r="BF344" s="80"/>
      <c r="BG344" s="280"/>
      <c r="BH344" s="20"/>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row>
    <row r="345" spans="1:178" s="22" customFormat="1" ht="12.75" customHeight="1">
      <c r="A345" s="588"/>
      <c r="B345" s="573"/>
      <c r="C345" s="573"/>
      <c r="D345" s="573"/>
      <c r="E345" s="573"/>
      <c r="F345" s="573"/>
      <c r="G345" s="573"/>
      <c r="H345" s="573"/>
      <c r="I345" s="573"/>
      <c r="J345" s="573"/>
      <c r="K345" s="573"/>
      <c r="L345" s="573"/>
      <c r="M345" s="573"/>
      <c r="N345" s="573"/>
      <c r="O345" s="573"/>
      <c r="P345" s="573"/>
      <c r="Q345" s="573"/>
      <c r="R345" s="573"/>
      <c r="S345" s="573"/>
      <c r="T345" s="573"/>
      <c r="U345" s="573"/>
      <c r="V345" s="573"/>
      <c r="W345" s="573"/>
      <c r="X345" s="573"/>
      <c r="Y345" s="573"/>
      <c r="Z345" s="573"/>
      <c r="AA345" s="573"/>
      <c r="AB345" s="573"/>
      <c r="AC345" s="573"/>
      <c r="AD345" s="573"/>
      <c r="AE345" s="573"/>
      <c r="AF345" s="573"/>
      <c r="AG345" s="573"/>
      <c r="AH345" s="573"/>
      <c r="AI345" s="573"/>
      <c r="AJ345" s="573"/>
      <c r="AK345" s="573"/>
      <c r="AL345" s="573"/>
      <c r="AM345" s="674"/>
      <c r="AN345" s="674"/>
      <c r="AO345" s="573"/>
      <c r="AP345" s="887" t="s">
        <v>2655</v>
      </c>
      <c r="AQ345" s="887"/>
      <c r="AR345" s="887"/>
      <c r="AS345" s="887"/>
      <c r="AT345" s="887"/>
      <c r="AU345" s="887"/>
      <c r="AV345" s="887"/>
      <c r="AW345" s="887"/>
      <c r="AX345" s="887"/>
      <c r="AY345" s="887"/>
      <c r="AZ345" s="887"/>
      <c r="BA345" s="887"/>
      <c r="BB345" s="887"/>
      <c r="BC345" s="887"/>
      <c r="BD345" s="887"/>
      <c r="BE345" s="887"/>
      <c r="BF345" s="887"/>
      <c r="BG345" s="589"/>
      <c r="BH345" s="888" t="str">
        <f>IF(BG75="","",BG75)</f>
        <v>Incentive
(tons x $25, $50, or $70)</v>
      </c>
      <c r="BI345" s="888"/>
      <c r="BJ345" s="267"/>
      <c r="BK345" s="1"/>
      <c r="BL345" s="1"/>
      <c r="BM345" s="1"/>
      <c r="BN345" s="1"/>
      <c r="BO345" s="94"/>
      <c r="BP345" s="94"/>
      <c r="BQ345" s="94"/>
      <c r="BR345" s="94"/>
      <c r="BS345" s="94"/>
      <c r="BT345" s="94"/>
      <c r="BU345" s="94"/>
      <c r="BV345" s="94"/>
      <c r="BW345" s="94"/>
      <c r="BX345" s="94"/>
      <c r="BY345" s="102"/>
      <c r="BZ345" s="102"/>
      <c r="CA345" s="102"/>
      <c r="CB345" s="102"/>
      <c r="CC345" s="102"/>
      <c r="CD345" s="102"/>
      <c r="CE345" s="102"/>
      <c r="CF345" s="102"/>
      <c r="CG345" s="102"/>
      <c r="CH345" s="102"/>
      <c r="CI345" s="102"/>
      <c r="CJ345" s="102"/>
      <c r="CK345" s="102"/>
      <c r="CL345" s="102"/>
      <c r="CM345" s="102"/>
      <c r="CN345" s="102"/>
      <c r="CO345" s="102"/>
      <c r="CP345" s="102"/>
      <c r="CQ345" s="102"/>
      <c r="CR345" s="102"/>
      <c r="CS345" s="102"/>
      <c r="CT345" s="102"/>
      <c r="CU345" s="102"/>
      <c r="CV345" s="102"/>
      <c r="CW345" s="102"/>
      <c r="CX345" s="102"/>
      <c r="CY345" s="102"/>
      <c r="CZ345" s="102"/>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row>
    <row r="346" spans="1:178" s="22" customFormat="1" ht="12.75" customHeight="1">
      <c r="A346" s="69"/>
      <c r="B346" s="284"/>
      <c r="C346" s="70"/>
      <c r="D346" s="284"/>
      <c r="E346" s="284"/>
      <c r="F346" s="285"/>
      <c r="G346" s="285"/>
      <c r="H346" s="285"/>
      <c r="I346" s="285"/>
      <c r="J346" s="285"/>
      <c r="K346" s="285"/>
      <c r="L346" s="285"/>
      <c r="M346" s="285"/>
      <c r="N346" s="285"/>
      <c r="O346" s="285"/>
      <c r="P346" s="285"/>
      <c r="Q346" s="284"/>
      <c r="R346" s="781" t="s">
        <v>2714</v>
      </c>
      <c r="S346" s="781"/>
      <c r="T346" s="781"/>
      <c r="U346" s="781"/>
      <c r="V346" s="289"/>
      <c r="W346" s="781" t="s">
        <v>2680</v>
      </c>
      <c r="X346" s="781"/>
      <c r="Y346" s="781"/>
      <c r="Z346" s="781"/>
      <c r="AA346" s="781"/>
      <c r="AB346" s="781"/>
      <c r="AC346" s="289"/>
      <c r="AD346" s="289"/>
      <c r="AE346" s="289"/>
      <c r="AF346" s="289"/>
      <c r="AG346" s="289"/>
      <c r="AH346" s="71"/>
      <c r="AI346" s="71" t="s">
        <v>2715</v>
      </c>
      <c r="AJ346" s="289"/>
      <c r="AK346" s="72" t="s">
        <v>2750</v>
      </c>
      <c r="AL346" s="289"/>
      <c r="AM346" s="289"/>
      <c r="AN346" s="289"/>
      <c r="AO346" s="289"/>
      <c r="AP346" s="880" t="str">
        <f>IF(AP76="","",AP76)</f>
        <v>Tier 1</v>
      </c>
      <c r="AQ346" s="880" t="str">
        <f t="shared" ref="AQ346:AX346" si="254">IF(AQ76="","",AQ76)</f>
        <v/>
      </c>
      <c r="AR346" s="880" t="str">
        <f t="shared" si="254"/>
        <v/>
      </c>
      <c r="AS346" s="880" t="str">
        <f t="shared" si="254"/>
        <v/>
      </c>
      <c r="AT346" s="880"/>
      <c r="AU346" s="880"/>
      <c r="AV346" s="880" t="str">
        <f t="shared" si="254"/>
        <v/>
      </c>
      <c r="AW346" s="880" t="str">
        <f t="shared" si="254"/>
        <v/>
      </c>
      <c r="AX346" s="880" t="str">
        <f t="shared" si="254"/>
        <v/>
      </c>
      <c r="AY346" s="880" t="str">
        <f>IF(AY76="","",AY76)</f>
        <v>Tier 2</v>
      </c>
      <c r="AZ346" s="880" t="str">
        <f t="shared" ref="AZ346:BG346" si="255">IF(AZ76="","",AZ76)</f>
        <v/>
      </c>
      <c r="BA346" s="880" t="str">
        <f t="shared" si="255"/>
        <v/>
      </c>
      <c r="BB346" s="880" t="str">
        <f t="shared" si="255"/>
        <v/>
      </c>
      <c r="BC346" s="880"/>
      <c r="BD346" s="880"/>
      <c r="BE346" s="880" t="str">
        <f t="shared" si="255"/>
        <v/>
      </c>
      <c r="BF346" s="880" t="str">
        <f t="shared" si="255"/>
        <v/>
      </c>
      <c r="BG346" s="880" t="str">
        <f t="shared" si="255"/>
        <v/>
      </c>
      <c r="BH346" s="736"/>
      <c r="BI346" s="736"/>
      <c r="BJ346" s="73"/>
      <c r="BK346" s="1"/>
      <c r="BL346" s="1"/>
      <c r="BM346" s="1"/>
      <c r="BN346" s="1"/>
      <c r="BO346" s="94"/>
      <c r="BP346" s="94"/>
      <c r="BQ346" s="94"/>
      <c r="BR346" s="94"/>
      <c r="BS346" s="94"/>
      <c r="BT346" s="94"/>
      <c r="BU346" s="94"/>
      <c r="BV346" s="94"/>
      <c r="BW346" s="94"/>
      <c r="BX346" s="94"/>
      <c r="BY346" s="102"/>
      <c r="BZ346" s="102"/>
      <c r="CA346" s="102"/>
      <c r="CB346" s="102"/>
      <c r="CC346" s="102"/>
      <c r="CD346" s="102"/>
      <c r="CE346" s="102"/>
      <c r="CF346" s="102"/>
      <c r="CG346" s="102"/>
      <c r="CH346" s="102"/>
      <c r="CI346" s="102"/>
      <c r="CJ346" s="102"/>
      <c r="CK346" s="102"/>
      <c r="CL346" s="102"/>
      <c r="CM346" s="102"/>
      <c r="CN346" s="102"/>
      <c r="CO346" s="102"/>
      <c r="CP346" s="102"/>
      <c r="CQ346" s="102"/>
      <c r="CR346" s="102"/>
      <c r="CS346" s="102"/>
      <c r="CT346" s="102"/>
      <c r="CU346" s="102"/>
      <c r="CV346" s="102"/>
      <c r="CW346" s="102"/>
      <c r="CX346" s="102"/>
      <c r="CY346" s="102"/>
      <c r="CZ346" s="102"/>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row>
    <row r="347" spans="1:178" s="22" customFormat="1" ht="27.6" customHeight="1">
      <c r="A347" s="69"/>
      <c r="B347" s="246" t="s">
        <v>2661</v>
      </c>
      <c r="C347" s="412"/>
      <c r="D347" s="246" t="s">
        <v>2662</v>
      </c>
      <c r="E347" s="246"/>
      <c r="F347" s="246" t="s">
        <v>2717</v>
      </c>
      <c r="G347" s="246"/>
      <c r="H347" s="246"/>
      <c r="I347" s="246"/>
      <c r="J347" s="246"/>
      <c r="K347" s="285"/>
      <c r="L347" s="285"/>
      <c r="M347" s="285"/>
      <c r="N347" s="285"/>
      <c r="O347" s="285"/>
      <c r="P347" s="285"/>
      <c r="Q347" s="284"/>
      <c r="R347" s="781"/>
      <c r="S347" s="781"/>
      <c r="T347" s="781"/>
      <c r="U347" s="781"/>
      <c r="V347" s="289"/>
      <c r="W347" s="781"/>
      <c r="X347" s="781"/>
      <c r="Y347" s="781"/>
      <c r="Z347" s="781"/>
      <c r="AA347" s="781"/>
      <c r="AB347" s="781"/>
      <c r="AC347" s="289"/>
      <c r="AD347" s="246" t="s">
        <v>2664</v>
      </c>
      <c r="AE347" s="281"/>
      <c r="AF347" s="246"/>
      <c r="AG347" s="246"/>
      <c r="AH347" s="413"/>
      <c r="AI347" s="246" t="s">
        <v>2665</v>
      </c>
      <c r="AJ347" s="281"/>
      <c r="AK347" s="246" t="s">
        <v>2665</v>
      </c>
      <c r="AL347" s="281"/>
      <c r="AM347" s="670"/>
      <c r="AN347" s="670"/>
      <c r="AO347" s="281"/>
      <c r="AP347" s="879" t="str">
        <f>IF(AP77="","",AP77)</f>
        <v>Air Cooled AC, PTAC and PTHP ($25/ ton)*
Air Cooled HP ($50/ton)</v>
      </c>
      <c r="AQ347" s="863"/>
      <c r="AR347" s="863"/>
      <c r="AS347" s="863"/>
      <c r="AT347" s="863"/>
      <c r="AU347" s="863"/>
      <c r="AV347" s="863"/>
      <c r="AW347" s="863"/>
      <c r="AX347" s="246"/>
      <c r="AY347" s="879" t="str">
        <f>IF(AY77="","",AY77)</f>
        <v xml:space="preserve">Air Cooled AC, PTAC and PTHP ($50/ ton)*
Air Cooled HP ($70/ton) </v>
      </c>
      <c r="AZ347" s="863"/>
      <c r="BA347" s="863"/>
      <c r="BB347" s="863"/>
      <c r="BC347" s="863"/>
      <c r="BD347" s="863"/>
      <c r="BE347" s="863"/>
      <c r="BF347" s="863"/>
      <c r="BG347" s="246"/>
      <c r="BH347" s="736"/>
      <c r="BI347" s="736"/>
      <c r="BJ347" s="73"/>
      <c r="BK347" s="1"/>
      <c r="BL347" s="1"/>
      <c r="BM347" s="1"/>
      <c r="BN347" s="1"/>
      <c r="BO347" s="94"/>
      <c r="BP347" s="94"/>
      <c r="BQ347" s="94"/>
      <c r="BR347" s="94"/>
      <c r="BS347" s="94"/>
      <c r="BT347" s="94"/>
      <c r="BU347" s="94"/>
      <c r="BV347" s="94"/>
      <c r="BW347" s="94"/>
      <c r="BX347" s="94"/>
      <c r="BY347" s="102"/>
      <c r="BZ347" s="102"/>
      <c r="CA347" s="102"/>
      <c r="CB347" s="102"/>
      <c r="CC347" s="102"/>
      <c r="CD347" s="102"/>
      <c r="CE347" s="102"/>
      <c r="CF347" s="102"/>
      <c r="CG347" s="102"/>
      <c r="CH347" s="102"/>
      <c r="CI347" s="102"/>
      <c r="CJ347" s="102"/>
      <c r="CK347" s="102"/>
      <c r="CL347" s="102"/>
      <c r="CM347" s="102"/>
      <c r="CN347" s="102"/>
      <c r="CO347" s="102"/>
      <c r="CP347" s="102"/>
      <c r="CQ347" s="102"/>
      <c r="CR347" s="102"/>
      <c r="CS347" s="102"/>
      <c r="CT347" s="102"/>
      <c r="CU347" s="102"/>
      <c r="CV347" s="102"/>
      <c r="CW347" s="102"/>
      <c r="CX347" s="102"/>
      <c r="CY347" s="102"/>
      <c r="CZ347" s="102"/>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row>
    <row r="348" spans="1:178" ht="12.75" customHeight="1">
      <c r="A348" s="74"/>
      <c r="B348" s="287" t="str">
        <f t="shared" ref="B348:B362" si="256">IF(B78="","",B78)</f>
        <v/>
      </c>
      <c r="C348" s="9"/>
      <c r="D348" s="287" t="str">
        <f t="shared" ref="D348:D362" si="257">IF(D78="","",D78)</f>
        <v/>
      </c>
      <c r="E348" s="274"/>
      <c r="F348" s="883" t="str">
        <f t="shared" ref="F348:F362" si="258">IF(F78="","",F78)</f>
        <v/>
      </c>
      <c r="G348" s="883"/>
      <c r="H348" s="883"/>
      <c r="I348" s="883"/>
      <c r="J348" s="883"/>
      <c r="K348" s="883"/>
      <c r="L348" s="883"/>
      <c r="M348" s="883"/>
      <c r="N348" s="883"/>
      <c r="O348" s="883"/>
      <c r="P348" s="883"/>
      <c r="Q348" s="284"/>
      <c r="R348" s="915" t="str">
        <f t="shared" ref="R348:R362" si="259">IF(R78="","",R78)</f>
        <v/>
      </c>
      <c r="S348" s="915"/>
      <c r="T348" s="915"/>
      <c r="U348" s="915"/>
      <c r="V348" s="289"/>
      <c r="W348" s="915" t="str">
        <f t="shared" ref="W348:W362" si="260">IF(W78="","",W78)</f>
        <v/>
      </c>
      <c r="X348" s="915"/>
      <c r="Y348" s="915"/>
      <c r="Z348" s="915"/>
      <c r="AA348" s="915"/>
      <c r="AB348" s="915"/>
      <c r="AC348" s="289"/>
      <c r="AD348" s="886" t="str">
        <f t="shared" ref="AD348:AD362" si="261">IF(AD78="","",AD78)</f>
        <v/>
      </c>
      <c r="AE348" s="886"/>
      <c r="AF348" s="886"/>
      <c r="AG348" s="886"/>
      <c r="AH348" s="9"/>
      <c r="AI348" s="287" t="str">
        <f t="shared" ref="AI348:AL362" si="262">IF(AI78="","",AI78)</f>
        <v/>
      </c>
      <c r="AJ348" s="13" t="str">
        <f t="shared" si="262"/>
        <v/>
      </c>
      <c r="AK348" s="287" t="str">
        <f t="shared" si="262"/>
        <v/>
      </c>
      <c r="AL348" s="13" t="str">
        <f t="shared" si="262"/>
        <v/>
      </c>
      <c r="AM348" s="672"/>
      <c r="AN348" s="672"/>
      <c r="AO348" s="289"/>
      <c r="AP348" s="75" t="str">
        <f t="shared" ref="AP348:AS362" si="263">IF(AP78="","",AP78)</f>
        <v/>
      </c>
      <c r="AQ348" s="13" t="str">
        <f t="shared" si="263"/>
        <v/>
      </c>
      <c r="AR348" s="75" t="str">
        <f t="shared" si="263"/>
        <v/>
      </c>
      <c r="AS348" s="13" t="str">
        <f t="shared" si="263"/>
        <v/>
      </c>
      <c r="AT348" s="672"/>
      <c r="AU348" s="672"/>
      <c r="AV348" s="13"/>
      <c r="AW348" s="746" t="str">
        <f t="shared" ref="AW348:AW362" si="264">IF(AW78="","",AW78)</f>
        <v/>
      </c>
      <c r="AX348" s="746"/>
      <c r="AY348" s="75" t="str">
        <f t="shared" ref="AY348:BE362" si="265">IF(AY78="","",AY78)</f>
        <v/>
      </c>
      <c r="AZ348" s="13" t="str">
        <f t="shared" si="265"/>
        <v/>
      </c>
      <c r="BA348" s="75" t="str">
        <f t="shared" si="265"/>
        <v/>
      </c>
      <c r="BB348" s="13" t="str">
        <f t="shared" si="265"/>
        <v/>
      </c>
      <c r="BC348" s="672"/>
      <c r="BD348" s="672"/>
      <c r="BE348" s="746" t="str">
        <f t="shared" si="265"/>
        <v/>
      </c>
      <c r="BF348" s="746"/>
      <c r="BG348" s="13" t="s">
        <v>142</v>
      </c>
      <c r="BH348" s="884" t="str">
        <f t="shared" ref="BH348:BH362" si="266">IF(BH78="","",BH78)</f>
        <v/>
      </c>
      <c r="BI348" s="884"/>
      <c r="BJ348" s="590"/>
      <c r="BM348" s="726">
        <f>COUNTIF(AW347:AW376,"Qualified")+COUNTIF(BE347:BE376,"Qualified")</f>
        <v>0</v>
      </c>
      <c r="BO348" s="94"/>
      <c r="BP348" s="94"/>
      <c r="BQ348" s="94"/>
      <c r="BR348" s="94"/>
      <c r="BS348" s="94"/>
      <c r="BT348" s="94"/>
      <c r="BU348" s="94"/>
      <c r="BV348" s="94"/>
      <c r="BW348" s="94"/>
      <c r="BX348" s="94"/>
      <c r="BY348" s="94"/>
      <c r="BZ348" s="94"/>
      <c r="CA348" s="94"/>
      <c r="CB348" s="94"/>
      <c r="CC348" s="94"/>
      <c r="CD348" s="94"/>
      <c r="CE348" s="94"/>
      <c r="CF348" s="94"/>
      <c r="CG348" s="94"/>
      <c r="CH348" s="94"/>
      <c r="CI348" s="94"/>
      <c r="CJ348" s="94"/>
      <c r="CK348" s="94"/>
      <c r="CL348" s="94"/>
      <c r="CM348" s="94"/>
      <c r="CN348" s="94"/>
      <c r="CO348" s="94"/>
      <c r="CP348" s="94"/>
      <c r="CQ348" s="94"/>
      <c r="CR348" s="94"/>
      <c r="CS348" s="94"/>
      <c r="CT348" s="94"/>
      <c r="CU348" s="94"/>
      <c r="CV348" s="94"/>
      <c r="CW348" s="94"/>
      <c r="CX348" s="94"/>
      <c r="CY348" s="94"/>
      <c r="CZ348" s="94"/>
    </row>
    <row r="349" spans="1:178" ht="12.75" customHeight="1">
      <c r="A349" s="74"/>
      <c r="B349" s="288" t="str">
        <f t="shared" si="256"/>
        <v/>
      </c>
      <c r="C349" s="9"/>
      <c r="D349" s="288" t="str">
        <f t="shared" si="257"/>
        <v/>
      </c>
      <c r="E349" s="274"/>
      <c r="F349" s="925" t="str">
        <f>IF(F79="","",F79)</f>
        <v/>
      </c>
      <c r="G349" s="925"/>
      <c r="H349" s="925"/>
      <c r="I349" s="925"/>
      <c r="J349" s="925"/>
      <c r="K349" s="925"/>
      <c r="L349" s="925"/>
      <c r="M349" s="925"/>
      <c r="N349" s="925"/>
      <c r="O349" s="925"/>
      <c r="P349" s="925"/>
      <c r="Q349" s="284"/>
      <c r="R349" s="889" t="str">
        <f t="shared" si="259"/>
        <v/>
      </c>
      <c r="S349" s="889"/>
      <c r="T349" s="889"/>
      <c r="U349" s="889"/>
      <c r="V349" s="289"/>
      <c r="W349" s="889" t="str">
        <f t="shared" si="260"/>
        <v/>
      </c>
      <c r="X349" s="889"/>
      <c r="Y349" s="889"/>
      <c r="Z349" s="889"/>
      <c r="AA349" s="889"/>
      <c r="AB349" s="889"/>
      <c r="AC349" s="289"/>
      <c r="AD349" s="885" t="str">
        <f t="shared" si="261"/>
        <v/>
      </c>
      <c r="AE349" s="885"/>
      <c r="AF349" s="885"/>
      <c r="AG349" s="885"/>
      <c r="AH349" s="9"/>
      <c r="AI349" s="288" t="str">
        <f t="shared" si="262"/>
        <v/>
      </c>
      <c r="AJ349" s="13" t="str">
        <f t="shared" si="262"/>
        <v/>
      </c>
      <c r="AK349" s="288" t="str">
        <f t="shared" si="262"/>
        <v/>
      </c>
      <c r="AL349" s="13" t="str">
        <f t="shared" si="262"/>
        <v/>
      </c>
      <c r="AM349" s="672"/>
      <c r="AN349" s="672"/>
      <c r="AO349" s="289"/>
      <c r="AP349" s="273" t="str">
        <f t="shared" si="263"/>
        <v/>
      </c>
      <c r="AQ349" s="13" t="str">
        <f t="shared" si="263"/>
        <v/>
      </c>
      <c r="AR349" s="273" t="str">
        <f t="shared" si="263"/>
        <v/>
      </c>
      <c r="AS349" s="13" t="str">
        <f t="shared" si="263"/>
        <v/>
      </c>
      <c r="AT349" s="672"/>
      <c r="AU349" s="672"/>
      <c r="AV349" s="13"/>
      <c r="AW349" s="746" t="str">
        <f t="shared" si="264"/>
        <v/>
      </c>
      <c r="AX349" s="746"/>
      <c r="AY349" s="75" t="str">
        <f t="shared" si="265"/>
        <v/>
      </c>
      <c r="AZ349" s="13" t="str">
        <f t="shared" si="265"/>
        <v/>
      </c>
      <c r="BA349" s="75" t="str">
        <f t="shared" si="265"/>
        <v/>
      </c>
      <c r="BB349" s="13" t="str">
        <f t="shared" si="265"/>
        <v/>
      </c>
      <c r="BC349" s="672"/>
      <c r="BD349" s="672"/>
      <c r="BE349" s="746" t="str">
        <f t="shared" si="265"/>
        <v/>
      </c>
      <c r="BF349" s="746"/>
      <c r="BG349" s="13" t="s">
        <v>142</v>
      </c>
      <c r="BH349" s="884" t="str">
        <f t="shared" si="266"/>
        <v/>
      </c>
      <c r="BI349" s="884"/>
      <c r="BJ349" s="590"/>
      <c r="BO349" s="94"/>
      <c r="BP349" s="94"/>
      <c r="BQ349" s="94"/>
      <c r="BR349" s="94"/>
      <c r="BS349" s="94"/>
      <c r="BT349" s="94"/>
      <c r="BU349" s="94"/>
      <c r="BV349" s="94"/>
      <c r="BW349" s="94"/>
      <c r="BX349" s="94"/>
      <c r="BY349" s="94"/>
      <c r="BZ349" s="94"/>
      <c r="CA349" s="94"/>
      <c r="CB349" s="94"/>
      <c r="CC349" s="94"/>
      <c r="CD349" s="94"/>
      <c r="CE349" s="94"/>
      <c r="CF349" s="94"/>
      <c r="CG349" s="94"/>
      <c r="CH349" s="94"/>
      <c r="CI349" s="94"/>
      <c r="CJ349" s="94"/>
      <c r="CK349" s="94"/>
      <c r="CL349" s="94"/>
      <c r="CM349" s="94"/>
      <c r="CN349" s="94"/>
      <c r="CO349" s="94"/>
      <c r="CP349" s="94"/>
      <c r="CQ349" s="94"/>
      <c r="CR349" s="94"/>
      <c r="CS349" s="94"/>
      <c r="CT349" s="94"/>
      <c r="CU349" s="94"/>
      <c r="CV349" s="94"/>
      <c r="CW349" s="94"/>
      <c r="CX349" s="94"/>
      <c r="CY349" s="94"/>
      <c r="CZ349" s="94"/>
    </row>
    <row r="350" spans="1:178" ht="12.75">
      <c r="A350" s="74"/>
      <c r="B350" s="288" t="str">
        <f t="shared" si="256"/>
        <v/>
      </c>
      <c r="C350" s="9"/>
      <c r="D350" s="288" t="str">
        <f t="shared" si="257"/>
        <v/>
      </c>
      <c r="E350" s="274"/>
      <c r="F350" s="925" t="str">
        <f>IF(F80="","",F80)</f>
        <v/>
      </c>
      <c r="G350" s="925"/>
      <c r="H350" s="925"/>
      <c r="I350" s="925"/>
      <c r="J350" s="925"/>
      <c r="K350" s="925"/>
      <c r="L350" s="925"/>
      <c r="M350" s="925"/>
      <c r="N350" s="925"/>
      <c r="O350" s="925"/>
      <c r="P350" s="925"/>
      <c r="Q350" s="284"/>
      <c r="R350" s="889" t="str">
        <f t="shared" si="259"/>
        <v/>
      </c>
      <c r="S350" s="889"/>
      <c r="T350" s="889"/>
      <c r="U350" s="889"/>
      <c r="V350" s="289"/>
      <c r="W350" s="889" t="str">
        <f t="shared" si="260"/>
        <v/>
      </c>
      <c r="X350" s="889"/>
      <c r="Y350" s="889"/>
      <c r="Z350" s="889"/>
      <c r="AA350" s="889"/>
      <c r="AB350" s="889"/>
      <c r="AC350" s="289"/>
      <c r="AD350" s="885" t="str">
        <f t="shared" si="261"/>
        <v/>
      </c>
      <c r="AE350" s="885"/>
      <c r="AF350" s="885"/>
      <c r="AG350" s="885"/>
      <c r="AH350" s="9"/>
      <c r="AI350" s="288" t="str">
        <f t="shared" si="262"/>
        <v/>
      </c>
      <c r="AJ350" s="13" t="str">
        <f t="shared" si="262"/>
        <v/>
      </c>
      <c r="AK350" s="288" t="str">
        <f t="shared" si="262"/>
        <v/>
      </c>
      <c r="AL350" s="13" t="str">
        <f t="shared" si="262"/>
        <v/>
      </c>
      <c r="AM350" s="672"/>
      <c r="AN350" s="672"/>
      <c r="AO350" s="289"/>
      <c r="AP350" s="273" t="str">
        <f t="shared" si="263"/>
        <v/>
      </c>
      <c r="AQ350" s="13" t="str">
        <f t="shared" si="263"/>
        <v/>
      </c>
      <c r="AR350" s="273" t="str">
        <f t="shared" si="263"/>
        <v/>
      </c>
      <c r="AS350" s="13" t="str">
        <f t="shared" si="263"/>
        <v/>
      </c>
      <c r="AT350" s="672"/>
      <c r="AU350" s="672"/>
      <c r="AV350" s="13"/>
      <c r="AW350" s="746" t="str">
        <f t="shared" si="264"/>
        <v/>
      </c>
      <c r="AX350" s="746"/>
      <c r="AY350" s="75" t="str">
        <f t="shared" si="265"/>
        <v/>
      </c>
      <c r="AZ350" s="13" t="str">
        <f t="shared" si="265"/>
        <v/>
      </c>
      <c r="BA350" s="75" t="str">
        <f t="shared" si="265"/>
        <v/>
      </c>
      <c r="BB350" s="13" t="str">
        <f t="shared" si="265"/>
        <v/>
      </c>
      <c r="BC350" s="672"/>
      <c r="BD350" s="672"/>
      <c r="BE350" s="746" t="str">
        <f t="shared" si="265"/>
        <v/>
      </c>
      <c r="BF350" s="746"/>
      <c r="BG350" s="13" t="s">
        <v>142</v>
      </c>
      <c r="BH350" s="884" t="str">
        <f t="shared" si="266"/>
        <v/>
      </c>
      <c r="BI350" s="884"/>
      <c r="BJ350" s="590"/>
      <c r="BO350" s="94"/>
      <c r="BP350" s="94"/>
      <c r="BQ350" s="94"/>
      <c r="BR350" s="94"/>
      <c r="BS350" s="94"/>
      <c r="BT350" s="94"/>
      <c r="BU350" s="94"/>
      <c r="BV350" s="94"/>
      <c r="BW350" s="94"/>
      <c r="BX350" s="94"/>
      <c r="BY350" s="94"/>
      <c r="BZ350" s="94"/>
      <c r="CA350" s="94"/>
      <c r="CB350" s="94"/>
      <c r="CC350" s="94"/>
      <c r="CD350" s="94"/>
      <c r="CE350" s="94"/>
      <c r="CF350" s="94"/>
      <c r="CG350" s="94"/>
      <c r="CH350" s="94"/>
      <c r="CI350" s="94"/>
      <c r="CJ350" s="94"/>
      <c r="CK350" s="94"/>
      <c r="CL350" s="94"/>
      <c r="CM350" s="94"/>
      <c r="CN350" s="94"/>
      <c r="CO350" s="94"/>
      <c r="CP350" s="94"/>
      <c r="CQ350" s="94"/>
      <c r="CR350" s="94"/>
      <c r="CS350" s="94"/>
      <c r="CT350" s="94"/>
      <c r="CU350" s="94"/>
      <c r="CV350" s="94"/>
      <c r="CW350" s="94"/>
      <c r="CX350" s="94"/>
      <c r="CY350" s="94"/>
      <c r="CZ350" s="94"/>
    </row>
    <row r="351" spans="1:178" ht="12.75">
      <c r="A351" s="74"/>
      <c r="B351" s="288" t="str">
        <f t="shared" si="256"/>
        <v/>
      </c>
      <c r="C351" s="9"/>
      <c r="D351" s="288" t="str">
        <f t="shared" si="257"/>
        <v/>
      </c>
      <c r="E351" s="274"/>
      <c r="F351" s="925" t="str">
        <f>IF(F81="","",F81)</f>
        <v/>
      </c>
      <c r="G351" s="925"/>
      <c r="H351" s="925"/>
      <c r="I351" s="925"/>
      <c r="J351" s="925"/>
      <c r="K351" s="925"/>
      <c r="L351" s="925"/>
      <c r="M351" s="925"/>
      <c r="N351" s="925"/>
      <c r="O351" s="925"/>
      <c r="P351" s="925"/>
      <c r="Q351" s="284"/>
      <c r="R351" s="889" t="str">
        <f t="shared" si="259"/>
        <v/>
      </c>
      <c r="S351" s="889"/>
      <c r="T351" s="889"/>
      <c r="U351" s="889"/>
      <c r="V351" s="289"/>
      <c r="W351" s="889" t="str">
        <f t="shared" si="260"/>
        <v/>
      </c>
      <c r="X351" s="889"/>
      <c r="Y351" s="889"/>
      <c r="Z351" s="889"/>
      <c r="AA351" s="889"/>
      <c r="AB351" s="889"/>
      <c r="AC351" s="289"/>
      <c r="AD351" s="885" t="str">
        <f t="shared" si="261"/>
        <v/>
      </c>
      <c r="AE351" s="885"/>
      <c r="AF351" s="885"/>
      <c r="AG351" s="885"/>
      <c r="AH351" s="9"/>
      <c r="AI351" s="288" t="str">
        <f t="shared" si="262"/>
        <v/>
      </c>
      <c r="AJ351" s="13" t="str">
        <f t="shared" si="262"/>
        <v/>
      </c>
      <c r="AK351" s="288" t="str">
        <f t="shared" si="262"/>
        <v/>
      </c>
      <c r="AL351" s="13" t="str">
        <f t="shared" si="262"/>
        <v/>
      </c>
      <c r="AM351" s="672"/>
      <c r="AN351" s="672"/>
      <c r="AO351" s="289"/>
      <c r="AP351" s="273" t="str">
        <f t="shared" si="263"/>
        <v/>
      </c>
      <c r="AQ351" s="13" t="str">
        <f t="shared" si="263"/>
        <v/>
      </c>
      <c r="AR351" s="273" t="str">
        <f t="shared" si="263"/>
        <v/>
      </c>
      <c r="AS351" s="13" t="str">
        <f t="shared" si="263"/>
        <v/>
      </c>
      <c r="AT351" s="672"/>
      <c r="AU351" s="672"/>
      <c r="AV351" s="13"/>
      <c r="AW351" s="746" t="str">
        <f t="shared" si="264"/>
        <v/>
      </c>
      <c r="AX351" s="746"/>
      <c r="AY351" s="75" t="str">
        <f t="shared" si="265"/>
        <v/>
      </c>
      <c r="AZ351" s="13" t="str">
        <f t="shared" si="265"/>
        <v/>
      </c>
      <c r="BA351" s="75" t="str">
        <f t="shared" si="265"/>
        <v/>
      </c>
      <c r="BB351" s="13" t="str">
        <f t="shared" si="265"/>
        <v/>
      </c>
      <c r="BC351" s="672"/>
      <c r="BD351" s="672"/>
      <c r="BE351" s="746" t="str">
        <f t="shared" si="265"/>
        <v/>
      </c>
      <c r="BF351" s="746"/>
      <c r="BG351" s="13" t="s">
        <v>142</v>
      </c>
      <c r="BH351" s="884" t="str">
        <f t="shared" si="266"/>
        <v/>
      </c>
      <c r="BI351" s="884"/>
      <c r="BJ351" s="590"/>
      <c r="BO351" s="94"/>
      <c r="BP351" s="94"/>
      <c r="BQ351" s="94"/>
      <c r="BR351" s="94"/>
      <c r="BS351" s="94"/>
      <c r="BT351" s="94"/>
      <c r="BU351" s="94"/>
      <c r="BV351" s="94"/>
      <c r="BW351" s="94"/>
      <c r="BX351" s="94"/>
      <c r="BY351" s="94"/>
      <c r="BZ351" s="94"/>
      <c r="CA351" s="94"/>
      <c r="CB351" s="94"/>
      <c r="CC351" s="94"/>
      <c r="CD351" s="94"/>
      <c r="CE351" s="94"/>
      <c r="CF351" s="94"/>
      <c r="CG351" s="94"/>
      <c r="CH351" s="94"/>
      <c r="CI351" s="94"/>
      <c r="CJ351" s="94"/>
      <c r="CK351" s="94"/>
      <c r="CL351" s="94"/>
      <c r="CM351" s="94"/>
      <c r="CN351" s="94"/>
      <c r="CO351" s="94"/>
      <c r="CP351" s="94"/>
      <c r="CQ351" s="94"/>
      <c r="CR351" s="94"/>
      <c r="CS351" s="94"/>
      <c r="CT351" s="94"/>
      <c r="CU351" s="94"/>
      <c r="CV351" s="94"/>
      <c r="CW351" s="94"/>
      <c r="CX351" s="94"/>
      <c r="CY351" s="94"/>
      <c r="CZ351" s="94"/>
    </row>
    <row r="352" spans="1:178" ht="12.75">
      <c r="A352" s="74"/>
      <c r="B352" s="288" t="str">
        <f t="shared" si="256"/>
        <v/>
      </c>
      <c r="C352" s="9"/>
      <c r="D352" s="288" t="str">
        <f t="shared" si="257"/>
        <v/>
      </c>
      <c r="E352" s="274"/>
      <c r="F352" s="925" t="str">
        <f>IF(F82="","",F82)</f>
        <v/>
      </c>
      <c r="G352" s="925"/>
      <c r="H352" s="925"/>
      <c r="I352" s="925"/>
      <c r="J352" s="925"/>
      <c r="K352" s="925"/>
      <c r="L352" s="925"/>
      <c r="M352" s="925"/>
      <c r="N352" s="925"/>
      <c r="O352" s="925"/>
      <c r="P352" s="925"/>
      <c r="Q352" s="284"/>
      <c r="R352" s="889" t="str">
        <f t="shared" si="259"/>
        <v/>
      </c>
      <c r="S352" s="889"/>
      <c r="T352" s="889"/>
      <c r="U352" s="889"/>
      <c r="V352" s="289"/>
      <c r="W352" s="889" t="str">
        <f t="shared" si="260"/>
        <v/>
      </c>
      <c r="X352" s="889"/>
      <c r="Y352" s="889"/>
      <c r="Z352" s="889"/>
      <c r="AA352" s="889"/>
      <c r="AB352" s="889"/>
      <c r="AC352" s="289"/>
      <c r="AD352" s="885" t="str">
        <f t="shared" si="261"/>
        <v/>
      </c>
      <c r="AE352" s="885"/>
      <c r="AF352" s="885"/>
      <c r="AG352" s="885"/>
      <c r="AH352" s="9"/>
      <c r="AI352" s="288" t="str">
        <f t="shared" si="262"/>
        <v/>
      </c>
      <c r="AJ352" s="13" t="str">
        <f t="shared" si="262"/>
        <v/>
      </c>
      <c r="AK352" s="288" t="str">
        <f t="shared" si="262"/>
        <v/>
      </c>
      <c r="AL352" s="13" t="str">
        <f t="shared" si="262"/>
        <v/>
      </c>
      <c r="AM352" s="672"/>
      <c r="AN352" s="672"/>
      <c r="AO352" s="289"/>
      <c r="AP352" s="273" t="str">
        <f t="shared" si="263"/>
        <v/>
      </c>
      <c r="AQ352" s="13" t="str">
        <f t="shared" si="263"/>
        <v/>
      </c>
      <c r="AR352" s="273" t="str">
        <f t="shared" si="263"/>
        <v/>
      </c>
      <c r="AS352" s="13" t="str">
        <f t="shared" si="263"/>
        <v/>
      </c>
      <c r="AT352" s="672"/>
      <c r="AU352" s="672"/>
      <c r="AV352" s="13"/>
      <c r="AW352" s="746" t="str">
        <f t="shared" si="264"/>
        <v/>
      </c>
      <c r="AX352" s="746"/>
      <c r="AY352" s="75" t="str">
        <f t="shared" si="265"/>
        <v/>
      </c>
      <c r="AZ352" s="13" t="str">
        <f t="shared" si="265"/>
        <v/>
      </c>
      <c r="BA352" s="75" t="str">
        <f t="shared" si="265"/>
        <v/>
      </c>
      <c r="BB352" s="13" t="str">
        <f t="shared" si="265"/>
        <v/>
      </c>
      <c r="BC352" s="672"/>
      <c r="BD352" s="672"/>
      <c r="BE352" s="746" t="str">
        <f t="shared" si="265"/>
        <v/>
      </c>
      <c r="BF352" s="746"/>
      <c r="BG352" s="13" t="s">
        <v>142</v>
      </c>
      <c r="BH352" s="884" t="str">
        <f t="shared" si="266"/>
        <v/>
      </c>
      <c r="BI352" s="884"/>
      <c r="BJ352" s="590"/>
      <c r="BO352" s="94"/>
      <c r="BP352" s="94"/>
      <c r="BQ352" s="94"/>
      <c r="BR352" s="94"/>
      <c r="BS352" s="94"/>
      <c r="BT352" s="94"/>
      <c r="BU352" s="94"/>
      <c r="BV352" s="94"/>
      <c r="BW352" s="94"/>
      <c r="BX352" s="94"/>
      <c r="BY352" s="94"/>
      <c r="BZ352" s="94"/>
      <c r="CA352" s="94"/>
      <c r="CB352" s="94"/>
      <c r="CC352" s="94"/>
      <c r="CD352" s="94"/>
      <c r="CE352" s="94"/>
      <c r="CF352" s="94"/>
      <c r="CG352" s="94"/>
      <c r="CH352" s="94"/>
      <c r="CI352" s="94"/>
      <c r="CJ352" s="94"/>
      <c r="CK352" s="94"/>
      <c r="CL352" s="94"/>
      <c r="CM352" s="94"/>
      <c r="CN352" s="94"/>
      <c r="CO352" s="94"/>
      <c r="CP352" s="94"/>
      <c r="CQ352" s="94"/>
      <c r="CR352" s="94"/>
      <c r="CS352" s="94"/>
      <c r="CT352" s="94"/>
      <c r="CU352" s="94"/>
      <c r="CV352" s="94"/>
      <c r="CW352" s="94"/>
      <c r="CX352" s="94"/>
      <c r="CY352" s="94"/>
      <c r="CZ352" s="94"/>
    </row>
    <row r="353" spans="1:178" ht="12.75" hidden="1">
      <c r="A353" s="74"/>
      <c r="B353" s="288" t="str">
        <f t="shared" si="256"/>
        <v/>
      </c>
      <c r="C353" s="9"/>
      <c r="D353" s="288" t="str">
        <f t="shared" si="257"/>
        <v/>
      </c>
      <c r="E353" s="274"/>
      <c r="F353" s="925" t="str">
        <f t="shared" si="258"/>
        <v/>
      </c>
      <c r="G353" s="925"/>
      <c r="H353" s="925"/>
      <c r="I353" s="925"/>
      <c r="J353" s="925"/>
      <c r="K353" s="925"/>
      <c r="L353" s="925"/>
      <c r="M353" s="925"/>
      <c r="N353" s="925"/>
      <c r="O353" s="925"/>
      <c r="P353" s="925"/>
      <c r="Q353" s="284"/>
      <c r="R353" s="889" t="str">
        <f t="shared" si="259"/>
        <v/>
      </c>
      <c r="S353" s="889"/>
      <c r="T353" s="889"/>
      <c r="U353" s="889"/>
      <c r="V353" s="289"/>
      <c r="W353" s="889" t="str">
        <f t="shared" si="260"/>
        <v/>
      </c>
      <c r="X353" s="889"/>
      <c r="Y353" s="889"/>
      <c r="Z353" s="889"/>
      <c r="AA353" s="889"/>
      <c r="AB353" s="889"/>
      <c r="AC353" s="289"/>
      <c r="AD353" s="885" t="str">
        <f t="shared" si="261"/>
        <v/>
      </c>
      <c r="AE353" s="885"/>
      <c r="AF353" s="885"/>
      <c r="AG353" s="885"/>
      <c r="AH353" s="9"/>
      <c r="AI353" s="288" t="str">
        <f t="shared" si="262"/>
        <v/>
      </c>
      <c r="AJ353" s="13" t="str">
        <f t="shared" si="262"/>
        <v/>
      </c>
      <c r="AK353" s="288" t="str">
        <f t="shared" si="262"/>
        <v/>
      </c>
      <c r="AL353" s="13" t="str">
        <f t="shared" si="262"/>
        <v/>
      </c>
      <c r="AM353" s="672"/>
      <c r="AN353" s="672"/>
      <c r="AO353" s="289"/>
      <c r="AP353" s="273" t="str">
        <f t="shared" si="263"/>
        <v/>
      </c>
      <c r="AQ353" s="13" t="str">
        <f t="shared" si="263"/>
        <v/>
      </c>
      <c r="AR353" s="273" t="str">
        <f t="shared" si="263"/>
        <v/>
      </c>
      <c r="AS353" s="13" t="str">
        <f t="shared" si="263"/>
        <v/>
      </c>
      <c r="AT353" s="672"/>
      <c r="AU353" s="672"/>
      <c r="AV353" s="13"/>
      <c r="AW353" s="746" t="str">
        <f t="shared" si="264"/>
        <v/>
      </c>
      <c r="AX353" s="746"/>
      <c r="AY353" s="75" t="str">
        <f t="shared" si="265"/>
        <v/>
      </c>
      <c r="AZ353" s="13" t="str">
        <f t="shared" si="265"/>
        <v/>
      </c>
      <c r="BA353" s="75" t="str">
        <f t="shared" si="265"/>
        <v/>
      </c>
      <c r="BB353" s="13" t="str">
        <f t="shared" si="265"/>
        <v/>
      </c>
      <c r="BC353" s="672"/>
      <c r="BD353" s="672"/>
      <c r="BE353" s="746" t="str">
        <f t="shared" si="265"/>
        <v/>
      </c>
      <c r="BF353" s="746"/>
      <c r="BG353" s="13" t="s">
        <v>142</v>
      </c>
      <c r="BH353" s="884" t="str">
        <f t="shared" si="266"/>
        <v/>
      </c>
      <c r="BI353" s="884"/>
      <c r="BJ353" s="590"/>
      <c r="BO353" s="94"/>
      <c r="BP353" s="94"/>
      <c r="BQ353" s="94"/>
      <c r="BR353" s="94"/>
      <c r="BS353" s="94"/>
      <c r="BT353" s="94"/>
      <c r="BU353" s="94"/>
      <c r="BV353" s="94"/>
      <c r="BW353" s="94"/>
      <c r="BX353" s="94"/>
      <c r="BY353" s="94"/>
      <c r="BZ353" s="94"/>
      <c r="CA353" s="94"/>
      <c r="CB353" s="94"/>
      <c r="CC353" s="94"/>
      <c r="CD353" s="94"/>
      <c r="CE353" s="94"/>
      <c r="CF353" s="94"/>
      <c r="CG353" s="94"/>
      <c r="CH353" s="94"/>
      <c r="CI353" s="94"/>
      <c r="CJ353" s="94"/>
      <c r="CK353" s="94"/>
      <c r="CL353" s="94"/>
      <c r="CM353" s="94"/>
      <c r="CN353" s="94"/>
      <c r="CO353" s="94"/>
      <c r="CP353" s="94"/>
      <c r="CQ353" s="94"/>
      <c r="CR353" s="94"/>
      <c r="CS353" s="94"/>
      <c r="CT353" s="94"/>
      <c r="CU353" s="94"/>
      <c r="CV353" s="94"/>
      <c r="CW353" s="94"/>
      <c r="CX353" s="94"/>
      <c r="CY353" s="94"/>
      <c r="CZ353" s="94"/>
    </row>
    <row r="354" spans="1:178" ht="12.75" hidden="1">
      <c r="A354" s="74"/>
      <c r="B354" s="288" t="str">
        <f t="shared" si="256"/>
        <v/>
      </c>
      <c r="C354" s="9"/>
      <c r="D354" s="288" t="str">
        <f t="shared" si="257"/>
        <v/>
      </c>
      <c r="E354" s="274"/>
      <c r="F354" s="925" t="str">
        <f t="shared" si="258"/>
        <v/>
      </c>
      <c r="G354" s="925"/>
      <c r="H354" s="925"/>
      <c r="I354" s="925"/>
      <c r="J354" s="925"/>
      <c r="K354" s="925"/>
      <c r="L354" s="925"/>
      <c r="M354" s="925"/>
      <c r="N354" s="925"/>
      <c r="O354" s="925"/>
      <c r="P354" s="925"/>
      <c r="Q354" s="284"/>
      <c r="R354" s="889" t="str">
        <f t="shared" si="259"/>
        <v/>
      </c>
      <c r="S354" s="889"/>
      <c r="T354" s="889"/>
      <c r="U354" s="889"/>
      <c r="V354" s="289"/>
      <c r="W354" s="889" t="str">
        <f t="shared" si="260"/>
        <v/>
      </c>
      <c r="X354" s="889"/>
      <c r="Y354" s="889"/>
      <c r="Z354" s="889"/>
      <c r="AA354" s="889"/>
      <c r="AB354" s="889"/>
      <c r="AC354" s="289"/>
      <c r="AD354" s="885" t="str">
        <f t="shared" si="261"/>
        <v/>
      </c>
      <c r="AE354" s="885"/>
      <c r="AF354" s="885"/>
      <c r="AG354" s="885"/>
      <c r="AH354" s="9"/>
      <c r="AI354" s="288" t="str">
        <f t="shared" si="262"/>
        <v/>
      </c>
      <c r="AJ354" s="13" t="str">
        <f t="shared" si="262"/>
        <v/>
      </c>
      <c r="AK354" s="288" t="str">
        <f t="shared" si="262"/>
        <v/>
      </c>
      <c r="AL354" s="13" t="str">
        <f t="shared" si="262"/>
        <v/>
      </c>
      <c r="AM354" s="672"/>
      <c r="AN354" s="672"/>
      <c r="AO354" s="289"/>
      <c r="AP354" s="273" t="str">
        <f t="shared" si="263"/>
        <v/>
      </c>
      <c r="AQ354" s="13" t="str">
        <f t="shared" si="263"/>
        <v/>
      </c>
      <c r="AR354" s="273" t="str">
        <f t="shared" si="263"/>
        <v/>
      </c>
      <c r="AS354" s="13" t="str">
        <f t="shared" si="263"/>
        <v/>
      </c>
      <c r="AT354" s="672"/>
      <c r="AU354" s="672"/>
      <c r="AV354" s="13"/>
      <c r="AW354" s="746" t="str">
        <f t="shared" si="264"/>
        <v/>
      </c>
      <c r="AX354" s="746"/>
      <c r="AY354" s="75" t="str">
        <f t="shared" si="265"/>
        <v/>
      </c>
      <c r="AZ354" s="13" t="str">
        <f t="shared" si="265"/>
        <v/>
      </c>
      <c r="BA354" s="75" t="str">
        <f t="shared" si="265"/>
        <v/>
      </c>
      <c r="BB354" s="13" t="str">
        <f t="shared" si="265"/>
        <v/>
      </c>
      <c r="BC354" s="672"/>
      <c r="BD354" s="672"/>
      <c r="BE354" s="746" t="str">
        <f t="shared" si="265"/>
        <v/>
      </c>
      <c r="BF354" s="746"/>
      <c r="BG354" s="13" t="s">
        <v>142</v>
      </c>
      <c r="BH354" s="884" t="str">
        <f t="shared" si="266"/>
        <v/>
      </c>
      <c r="BI354" s="884"/>
      <c r="BJ354" s="590"/>
      <c r="BO354" s="94"/>
      <c r="BP354" s="94"/>
      <c r="BQ354" s="94"/>
      <c r="BR354" s="94"/>
      <c r="BS354" s="94"/>
      <c r="BT354" s="94"/>
      <c r="BU354" s="94"/>
      <c r="BV354" s="94"/>
      <c r="BW354" s="94"/>
      <c r="BX354" s="94"/>
      <c r="BY354" s="94"/>
      <c r="BZ354" s="94"/>
      <c r="CA354" s="94"/>
      <c r="CB354" s="94"/>
      <c r="CC354" s="94"/>
      <c r="CD354" s="94"/>
      <c r="CE354" s="94"/>
      <c r="CF354" s="94"/>
      <c r="CG354" s="94"/>
      <c r="CH354" s="94"/>
      <c r="CI354" s="94"/>
      <c r="CJ354" s="94"/>
      <c r="CK354" s="94"/>
      <c r="CL354" s="94"/>
      <c r="CM354" s="94"/>
      <c r="CN354" s="94"/>
      <c r="CO354" s="94"/>
      <c r="CP354" s="94"/>
      <c r="CQ354" s="94"/>
      <c r="CR354" s="94"/>
      <c r="CS354" s="94"/>
      <c r="CT354" s="94"/>
      <c r="CU354" s="94"/>
      <c r="CV354" s="94"/>
      <c r="CW354" s="94"/>
      <c r="CX354" s="94"/>
      <c r="CY354" s="94"/>
      <c r="CZ354" s="94"/>
    </row>
    <row r="355" spans="1:178" ht="12.75" hidden="1">
      <c r="A355" s="74"/>
      <c r="B355" s="288" t="str">
        <f t="shared" si="256"/>
        <v/>
      </c>
      <c r="C355" s="9"/>
      <c r="D355" s="288" t="str">
        <f t="shared" si="257"/>
        <v/>
      </c>
      <c r="E355" s="274"/>
      <c r="F355" s="925" t="str">
        <f t="shared" si="258"/>
        <v/>
      </c>
      <c r="G355" s="925"/>
      <c r="H355" s="925"/>
      <c r="I355" s="925"/>
      <c r="J355" s="925"/>
      <c r="K355" s="925"/>
      <c r="L355" s="925"/>
      <c r="M355" s="925"/>
      <c r="N355" s="925"/>
      <c r="O355" s="925"/>
      <c r="P355" s="925"/>
      <c r="Q355" s="284"/>
      <c r="R355" s="889" t="str">
        <f t="shared" si="259"/>
        <v/>
      </c>
      <c r="S355" s="889"/>
      <c r="T355" s="889"/>
      <c r="U355" s="889"/>
      <c r="V355" s="289"/>
      <c r="W355" s="889" t="str">
        <f t="shared" si="260"/>
        <v/>
      </c>
      <c r="X355" s="889"/>
      <c r="Y355" s="889"/>
      <c r="Z355" s="889"/>
      <c r="AA355" s="889"/>
      <c r="AB355" s="889"/>
      <c r="AC355" s="289"/>
      <c r="AD355" s="885" t="str">
        <f t="shared" si="261"/>
        <v/>
      </c>
      <c r="AE355" s="885"/>
      <c r="AF355" s="885"/>
      <c r="AG355" s="885"/>
      <c r="AH355" s="9"/>
      <c r="AI355" s="288" t="str">
        <f t="shared" si="262"/>
        <v/>
      </c>
      <c r="AJ355" s="13" t="str">
        <f t="shared" si="262"/>
        <v/>
      </c>
      <c r="AK355" s="288" t="str">
        <f t="shared" si="262"/>
        <v/>
      </c>
      <c r="AL355" s="13" t="str">
        <f t="shared" si="262"/>
        <v/>
      </c>
      <c r="AM355" s="672"/>
      <c r="AN355" s="672"/>
      <c r="AO355" s="289"/>
      <c r="AP355" s="273" t="str">
        <f t="shared" si="263"/>
        <v/>
      </c>
      <c r="AQ355" s="13" t="str">
        <f t="shared" si="263"/>
        <v/>
      </c>
      <c r="AR355" s="273" t="str">
        <f t="shared" si="263"/>
        <v/>
      </c>
      <c r="AS355" s="13" t="str">
        <f t="shared" si="263"/>
        <v/>
      </c>
      <c r="AT355" s="672"/>
      <c r="AU355" s="672"/>
      <c r="AV355" s="13"/>
      <c r="AW355" s="746" t="str">
        <f t="shared" si="264"/>
        <v/>
      </c>
      <c r="AX355" s="746"/>
      <c r="AY355" s="75" t="str">
        <f t="shared" si="265"/>
        <v/>
      </c>
      <c r="AZ355" s="13" t="str">
        <f t="shared" si="265"/>
        <v/>
      </c>
      <c r="BA355" s="75" t="str">
        <f t="shared" si="265"/>
        <v/>
      </c>
      <c r="BB355" s="13" t="str">
        <f t="shared" si="265"/>
        <v/>
      </c>
      <c r="BC355" s="672"/>
      <c r="BD355" s="672"/>
      <c r="BE355" s="746" t="str">
        <f t="shared" si="265"/>
        <v/>
      </c>
      <c r="BF355" s="746"/>
      <c r="BG355" s="13" t="s">
        <v>142</v>
      </c>
      <c r="BH355" s="884" t="str">
        <f t="shared" si="266"/>
        <v/>
      </c>
      <c r="BI355" s="884"/>
      <c r="BJ355" s="590"/>
      <c r="BO355" s="94"/>
      <c r="BP355" s="94"/>
      <c r="BQ355" s="94"/>
      <c r="BR355" s="94"/>
      <c r="BS355" s="94"/>
      <c r="BT355" s="94"/>
      <c r="BU355" s="94"/>
      <c r="BV355" s="94"/>
      <c r="BW355" s="94"/>
      <c r="BX355" s="94"/>
      <c r="BY355" s="94"/>
      <c r="BZ355" s="94"/>
      <c r="CA355" s="94"/>
      <c r="CB355" s="94"/>
      <c r="CC355" s="94"/>
      <c r="CD355" s="94"/>
      <c r="CE355" s="94"/>
      <c r="CF355" s="94"/>
      <c r="CG355" s="94"/>
      <c r="CH355" s="94"/>
      <c r="CI355" s="94"/>
      <c r="CJ355" s="94"/>
      <c r="CK355" s="94"/>
      <c r="CL355" s="94"/>
      <c r="CM355" s="94"/>
      <c r="CN355" s="94"/>
      <c r="CO355" s="94"/>
      <c r="CP355" s="94"/>
      <c r="CQ355" s="94"/>
      <c r="CR355" s="94"/>
      <c r="CS355" s="94"/>
      <c r="CT355" s="94"/>
      <c r="CU355" s="94"/>
      <c r="CV355" s="94"/>
      <c r="CW355" s="94"/>
      <c r="CX355" s="94"/>
      <c r="CY355" s="94"/>
      <c r="CZ355" s="94"/>
    </row>
    <row r="356" spans="1:178" ht="12.75" hidden="1">
      <c r="A356" s="74"/>
      <c r="B356" s="288" t="str">
        <f t="shared" si="256"/>
        <v/>
      </c>
      <c r="C356" s="9"/>
      <c r="D356" s="288" t="str">
        <f t="shared" si="257"/>
        <v/>
      </c>
      <c r="E356" s="274"/>
      <c r="F356" s="925" t="str">
        <f t="shared" si="258"/>
        <v/>
      </c>
      <c r="G356" s="925"/>
      <c r="H356" s="925"/>
      <c r="I356" s="925"/>
      <c r="J356" s="925"/>
      <c r="K356" s="925"/>
      <c r="L356" s="925"/>
      <c r="M356" s="925"/>
      <c r="N356" s="925"/>
      <c r="O356" s="925"/>
      <c r="P356" s="925"/>
      <c r="Q356" s="284"/>
      <c r="R356" s="889" t="str">
        <f t="shared" si="259"/>
        <v/>
      </c>
      <c r="S356" s="889"/>
      <c r="T356" s="889"/>
      <c r="U356" s="889"/>
      <c r="V356" s="289"/>
      <c r="W356" s="889" t="str">
        <f t="shared" si="260"/>
        <v/>
      </c>
      <c r="X356" s="889"/>
      <c r="Y356" s="889"/>
      <c r="Z356" s="889"/>
      <c r="AA356" s="889"/>
      <c r="AB356" s="889"/>
      <c r="AC356" s="289"/>
      <c r="AD356" s="885" t="str">
        <f t="shared" si="261"/>
        <v/>
      </c>
      <c r="AE356" s="885"/>
      <c r="AF356" s="885"/>
      <c r="AG356" s="885"/>
      <c r="AH356" s="9"/>
      <c r="AI356" s="288" t="str">
        <f t="shared" si="262"/>
        <v/>
      </c>
      <c r="AJ356" s="13" t="str">
        <f t="shared" si="262"/>
        <v/>
      </c>
      <c r="AK356" s="288" t="str">
        <f t="shared" si="262"/>
        <v/>
      </c>
      <c r="AL356" s="13" t="str">
        <f t="shared" si="262"/>
        <v/>
      </c>
      <c r="AM356" s="672"/>
      <c r="AN356" s="672"/>
      <c r="AO356" s="289"/>
      <c r="AP356" s="273" t="str">
        <f t="shared" si="263"/>
        <v/>
      </c>
      <c r="AQ356" s="13" t="str">
        <f t="shared" si="263"/>
        <v/>
      </c>
      <c r="AR356" s="273" t="str">
        <f t="shared" si="263"/>
        <v/>
      </c>
      <c r="AS356" s="13" t="str">
        <f t="shared" si="263"/>
        <v/>
      </c>
      <c r="AT356" s="672"/>
      <c r="AU356" s="672"/>
      <c r="AV356" s="13"/>
      <c r="AW356" s="746" t="str">
        <f t="shared" si="264"/>
        <v/>
      </c>
      <c r="AX356" s="746"/>
      <c r="AY356" s="75" t="str">
        <f t="shared" si="265"/>
        <v/>
      </c>
      <c r="AZ356" s="13" t="str">
        <f t="shared" si="265"/>
        <v/>
      </c>
      <c r="BA356" s="75" t="str">
        <f t="shared" si="265"/>
        <v/>
      </c>
      <c r="BB356" s="13" t="str">
        <f t="shared" si="265"/>
        <v/>
      </c>
      <c r="BC356" s="672"/>
      <c r="BD356" s="672"/>
      <c r="BE356" s="746" t="str">
        <f t="shared" si="265"/>
        <v/>
      </c>
      <c r="BF356" s="746"/>
      <c r="BG356" s="13" t="s">
        <v>142</v>
      </c>
      <c r="BH356" s="884" t="str">
        <f t="shared" si="266"/>
        <v/>
      </c>
      <c r="BI356" s="884"/>
      <c r="BJ356" s="590"/>
      <c r="BO356" s="94"/>
      <c r="BP356" s="94"/>
      <c r="BQ356" s="94"/>
      <c r="BR356" s="94"/>
      <c r="BS356" s="94"/>
      <c r="BT356" s="94"/>
      <c r="BU356" s="94"/>
      <c r="BV356" s="94"/>
      <c r="BW356" s="94"/>
      <c r="BX356" s="94"/>
      <c r="BY356" s="94"/>
      <c r="BZ356" s="94"/>
      <c r="CA356" s="94"/>
      <c r="CB356" s="94"/>
      <c r="CC356" s="94"/>
      <c r="CD356" s="94"/>
      <c r="CE356" s="94"/>
      <c r="CF356" s="94"/>
      <c r="CG356" s="94"/>
      <c r="CH356" s="94"/>
      <c r="CI356" s="94"/>
      <c r="CJ356" s="94"/>
      <c r="CK356" s="94"/>
      <c r="CL356" s="94"/>
      <c r="CM356" s="94"/>
      <c r="CN356" s="94"/>
      <c r="CO356" s="94"/>
      <c r="CP356" s="94"/>
      <c r="CQ356" s="94"/>
      <c r="CR356" s="94"/>
      <c r="CS356" s="94"/>
      <c r="CT356" s="94"/>
      <c r="CU356" s="94"/>
      <c r="CV356" s="94"/>
      <c r="CW356" s="94"/>
      <c r="CX356" s="94"/>
      <c r="CY356" s="94"/>
      <c r="CZ356" s="94"/>
    </row>
    <row r="357" spans="1:178" ht="12.75" hidden="1">
      <c r="A357" s="74"/>
      <c r="B357" s="288" t="str">
        <f t="shared" si="256"/>
        <v/>
      </c>
      <c r="C357" s="9"/>
      <c r="D357" s="288" t="str">
        <f t="shared" si="257"/>
        <v/>
      </c>
      <c r="E357" s="274"/>
      <c r="F357" s="925" t="str">
        <f t="shared" si="258"/>
        <v/>
      </c>
      <c r="G357" s="925"/>
      <c r="H357" s="925"/>
      <c r="I357" s="925"/>
      <c r="J357" s="925"/>
      <c r="K357" s="925"/>
      <c r="L357" s="925"/>
      <c r="M357" s="925"/>
      <c r="N357" s="925"/>
      <c r="O357" s="925"/>
      <c r="P357" s="925"/>
      <c r="Q357" s="284"/>
      <c r="R357" s="889" t="str">
        <f t="shared" si="259"/>
        <v/>
      </c>
      <c r="S357" s="889"/>
      <c r="T357" s="889"/>
      <c r="U357" s="889"/>
      <c r="V357" s="289"/>
      <c r="W357" s="889" t="str">
        <f t="shared" si="260"/>
        <v/>
      </c>
      <c r="X357" s="889"/>
      <c r="Y357" s="889"/>
      <c r="Z357" s="889"/>
      <c r="AA357" s="889"/>
      <c r="AB357" s="889"/>
      <c r="AC357" s="289"/>
      <c r="AD357" s="885" t="str">
        <f t="shared" si="261"/>
        <v/>
      </c>
      <c r="AE357" s="885"/>
      <c r="AF357" s="885"/>
      <c r="AG357" s="885"/>
      <c r="AH357" s="9"/>
      <c r="AI357" s="288" t="str">
        <f t="shared" si="262"/>
        <v/>
      </c>
      <c r="AJ357" s="13" t="str">
        <f t="shared" si="262"/>
        <v/>
      </c>
      <c r="AK357" s="288" t="str">
        <f t="shared" si="262"/>
        <v/>
      </c>
      <c r="AL357" s="13" t="str">
        <f t="shared" si="262"/>
        <v/>
      </c>
      <c r="AM357" s="672"/>
      <c r="AN357" s="672"/>
      <c r="AO357" s="289"/>
      <c r="AP357" s="273" t="str">
        <f t="shared" si="263"/>
        <v/>
      </c>
      <c r="AQ357" s="13" t="str">
        <f t="shared" si="263"/>
        <v/>
      </c>
      <c r="AR357" s="273" t="str">
        <f t="shared" si="263"/>
        <v/>
      </c>
      <c r="AS357" s="13" t="str">
        <f t="shared" si="263"/>
        <v/>
      </c>
      <c r="AT357" s="672"/>
      <c r="AU357" s="672"/>
      <c r="AV357" s="13"/>
      <c r="AW357" s="746" t="str">
        <f t="shared" si="264"/>
        <v/>
      </c>
      <c r="AX357" s="746"/>
      <c r="AY357" s="75" t="str">
        <f t="shared" si="265"/>
        <v/>
      </c>
      <c r="AZ357" s="13" t="str">
        <f t="shared" si="265"/>
        <v/>
      </c>
      <c r="BA357" s="75" t="str">
        <f t="shared" si="265"/>
        <v/>
      </c>
      <c r="BB357" s="13" t="str">
        <f t="shared" si="265"/>
        <v/>
      </c>
      <c r="BC357" s="672"/>
      <c r="BD357" s="672"/>
      <c r="BE357" s="746" t="str">
        <f t="shared" si="265"/>
        <v/>
      </c>
      <c r="BF357" s="746"/>
      <c r="BG357" s="13" t="s">
        <v>142</v>
      </c>
      <c r="BH357" s="884" t="str">
        <f t="shared" si="266"/>
        <v/>
      </c>
      <c r="BI357" s="884"/>
      <c r="BJ357" s="590"/>
      <c r="BO357" s="102"/>
      <c r="BP357" s="102"/>
      <c r="BQ357" s="102"/>
      <c r="BR357" s="102"/>
      <c r="BS357" s="102"/>
      <c r="BT357" s="102"/>
      <c r="BU357" s="102"/>
      <c r="BV357" s="102"/>
      <c r="BW357" s="102"/>
      <c r="BX357" s="102"/>
      <c r="BY357" s="94"/>
      <c r="BZ357" s="94"/>
      <c r="CA357" s="94"/>
      <c r="CB357" s="94"/>
      <c r="CC357" s="94"/>
      <c r="CD357" s="94"/>
      <c r="CE357" s="94"/>
      <c r="CF357" s="94"/>
      <c r="CG357" s="94"/>
      <c r="CH357" s="94"/>
      <c r="CI357" s="94"/>
      <c r="CJ357" s="94"/>
      <c r="CK357" s="94"/>
      <c r="CL357" s="94"/>
      <c r="CM357" s="94"/>
      <c r="CN357" s="94"/>
      <c r="CO357" s="94"/>
      <c r="CP357" s="94"/>
      <c r="CQ357" s="94"/>
      <c r="CR357" s="94"/>
      <c r="CS357" s="94"/>
      <c r="CT357" s="94"/>
      <c r="CU357" s="94"/>
      <c r="CV357" s="94"/>
      <c r="CW357" s="94"/>
      <c r="CX357" s="94"/>
      <c r="CY357" s="94"/>
      <c r="CZ357" s="94"/>
    </row>
    <row r="358" spans="1:178" ht="12.75" hidden="1">
      <c r="A358" s="74"/>
      <c r="B358" s="288" t="str">
        <f t="shared" si="256"/>
        <v/>
      </c>
      <c r="C358" s="9"/>
      <c r="D358" s="288" t="str">
        <f t="shared" si="257"/>
        <v/>
      </c>
      <c r="E358" s="274"/>
      <c r="F358" s="925" t="str">
        <f t="shared" si="258"/>
        <v/>
      </c>
      <c r="G358" s="925"/>
      <c r="H358" s="925"/>
      <c r="I358" s="925"/>
      <c r="J358" s="925"/>
      <c r="K358" s="925"/>
      <c r="L358" s="925"/>
      <c r="M358" s="925"/>
      <c r="N358" s="925"/>
      <c r="O358" s="925"/>
      <c r="P358" s="925"/>
      <c r="Q358" s="284"/>
      <c r="R358" s="889" t="str">
        <f t="shared" si="259"/>
        <v/>
      </c>
      <c r="S358" s="889"/>
      <c r="T358" s="889"/>
      <c r="U358" s="889"/>
      <c r="V358" s="289"/>
      <c r="W358" s="889" t="str">
        <f t="shared" si="260"/>
        <v/>
      </c>
      <c r="X358" s="889"/>
      <c r="Y358" s="889"/>
      <c r="Z358" s="889"/>
      <c r="AA358" s="889"/>
      <c r="AB358" s="889"/>
      <c r="AC358" s="289"/>
      <c r="AD358" s="885" t="str">
        <f t="shared" si="261"/>
        <v/>
      </c>
      <c r="AE358" s="885"/>
      <c r="AF358" s="885"/>
      <c r="AG358" s="885"/>
      <c r="AH358" s="9"/>
      <c r="AI358" s="288" t="str">
        <f t="shared" si="262"/>
        <v/>
      </c>
      <c r="AJ358" s="13" t="str">
        <f t="shared" si="262"/>
        <v/>
      </c>
      <c r="AK358" s="288" t="str">
        <f t="shared" si="262"/>
        <v/>
      </c>
      <c r="AL358" s="13" t="str">
        <f t="shared" si="262"/>
        <v/>
      </c>
      <c r="AM358" s="672"/>
      <c r="AN358" s="672"/>
      <c r="AO358" s="289"/>
      <c r="AP358" s="273" t="str">
        <f t="shared" si="263"/>
        <v/>
      </c>
      <c r="AQ358" s="13" t="str">
        <f t="shared" si="263"/>
        <v/>
      </c>
      <c r="AR358" s="273" t="str">
        <f t="shared" si="263"/>
        <v/>
      </c>
      <c r="AS358" s="13" t="str">
        <f t="shared" si="263"/>
        <v/>
      </c>
      <c r="AT358" s="672"/>
      <c r="AU358" s="672"/>
      <c r="AV358" s="13"/>
      <c r="AW358" s="746" t="str">
        <f t="shared" si="264"/>
        <v/>
      </c>
      <c r="AX358" s="746"/>
      <c r="AY358" s="75" t="str">
        <f t="shared" si="265"/>
        <v/>
      </c>
      <c r="AZ358" s="13" t="str">
        <f t="shared" si="265"/>
        <v/>
      </c>
      <c r="BA358" s="75" t="str">
        <f t="shared" si="265"/>
        <v/>
      </c>
      <c r="BB358" s="13" t="str">
        <f t="shared" si="265"/>
        <v/>
      </c>
      <c r="BC358" s="672"/>
      <c r="BD358" s="672"/>
      <c r="BE358" s="746" t="str">
        <f t="shared" si="265"/>
        <v/>
      </c>
      <c r="BF358" s="746"/>
      <c r="BG358" s="13" t="s">
        <v>142</v>
      </c>
      <c r="BH358" s="884" t="str">
        <f t="shared" si="266"/>
        <v/>
      </c>
      <c r="BI358" s="884"/>
      <c r="BJ358" s="590"/>
      <c r="BO358" s="102"/>
      <c r="BP358" s="102"/>
      <c r="BQ358" s="102"/>
      <c r="BR358" s="102"/>
      <c r="BS358" s="102"/>
      <c r="BT358" s="102"/>
      <c r="BU358" s="102"/>
      <c r="BV358" s="102"/>
      <c r="BW358" s="102"/>
      <c r="BX358" s="102"/>
      <c r="BY358" s="94"/>
      <c r="BZ358" s="94"/>
      <c r="CA358" s="94"/>
      <c r="CB358" s="94"/>
      <c r="CC358" s="94"/>
      <c r="CD358" s="94"/>
      <c r="CE358" s="94"/>
      <c r="CF358" s="94"/>
      <c r="CG358" s="94"/>
      <c r="CH358" s="94"/>
      <c r="CI358" s="94"/>
      <c r="CJ358" s="94"/>
      <c r="CK358" s="94"/>
      <c r="CL358" s="94"/>
      <c r="CM358" s="94"/>
      <c r="CN358" s="94"/>
      <c r="CO358" s="94"/>
      <c r="CP358" s="94"/>
      <c r="CQ358" s="94"/>
      <c r="CR358" s="94"/>
      <c r="CS358" s="94"/>
      <c r="CT358" s="94"/>
      <c r="CU358" s="94"/>
      <c r="CV358" s="94"/>
      <c r="CW358" s="94"/>
      <c r="CX358" s="94"/>
      <c r="CY358" s="94"/>
      <c r="CZ358" s="94"/>
    </row>
    <row r="359" spans="1:178" ht="12.75" hidden="1">
      <c r="A359" s="74"/>
      <c r="B359" s="288" t="str">
        <f t="shared" si="256"/>
        <v/>
      </c>
      <c r="C359" s="9"/>
      <c r="D359" s="288" t="str">
        <f t="shared" si="257"/>
        <v/>
      </c>
      <c r="E359" s="274"/>
      <c r="F359" s="925" t="str">
        <f t="shared" si="258"/>
        <v/>
      </c>
      <c r="G359" s="925"/>
      <c r="H359" s="925"/>
      <c r="I359" s="925"/>
      <c r="J359" s="925"/>
      <c r="K359" s="925"/>
      <c r="L359" s="925"/>
      <c r="M359" s="925"/>
      <c r="N359" s="925"/>
      <c r="O359" s="925"/>
      <c r="P359" s="925"/>
      <c r="Q359" s="284"/>
      <c r="R359" s="889" t="str">
        <f t="shared" si="259"/>
        <v/>
      </c>
      <c r="S359" s="889"/>
      <c r="T359" s="889"/>
      <c r="U359" s="889"/>
      <c r="V359" s="289"/>
      <c r="W359" s="889" t="str">
        <f t="shared" si="260"/>
        <v/>
      </c>
      <c r="X359" s="889"/>
      <c r="Y359" s="889"/>
      <c r="Z359" s="889"/>
      <c r="AA359" s="889"/>
      <c r="AB359" s="889"/>
      <c r="AC359" s="289"/>
      <c r="AD359" s="885" t="str">
        <f t="shared" si="261"/>
        <v/>
      </c>
      <c r="AE359" s="885"/>
      <c r="AF359" s="885"/>
      <c r="AG359" s="885"/>
      <c r="AH359" s="9"/>
      <c r="AI359" s="288" t="str">
        <f t="shared" si="262"/>
        <v/>
      </c>
      <c r="AJ359" s="13" t="str">
        <f t="shared" si="262"/>
        <v/>
      </c>
      <c r="AK359" s="288" t="str">
        <f t="shared" si="262"/>
        <v/>
      </c>
      <c r="AL359" s="13" t="str">
        <f t="shared" si="262"/>
        <v/>
      </c>
      <c r="AM359" s="672"/>
      <c r="AN359" s="672"/>
      <c r="AO359" s="289"/>
      <c r="AP359" s="273" t="str">
        <f t="shared" si="263"/>
        <v/>
      </c>
      <c r="AQ359" s="13" t="str">
        <f t="shared" si="263"/>
        <v/>
      </c>
      <c r="AR359" s="273" t="str">
        <f t="shared" si="263"/>
        <v/>
      </c>
      <c r="AS359" s="13" t="str">
        <f t="shared" si="263"/>
        <v/>
      </c>
      <c r="AT359" s="672"/>
      <c r="AU359" s="672"/>
      <c r="AV359" s="13"/>
      <c r="AW359" s="746" t="str">
        <f t="shared" si="264"/>
        <v/>
      </c>
      <c r="AX359" s="746"/>
      <c r="AY359" s="75" t="str">
        <f t="shared" si="265"/>
        <v/>
      </c>
      <c r="AZ359" s="13" t="str">
        <f t="shared" si="265"/>
        <v/>
      </c>
      <c r="BA359" s="75" t="str">
        <f t="shared" si="265"/>
        <v/>
      </c>
      <c r="BB359" s="13" t="str">
        <f t="shared" si="265"/>
        <v/>
      </c>
      <c r="BC359" s="672"/>
      <c r="BD359" s="672"/>
      <c r="BE359" s="746" t="str">
        <f t="shared" si="265"/>
        <v/>
      </c>
      <c r="BF359" s="746"/>
      <c r="BG359" s="13" t="s">
        <v>142</v>
      </c>
      <c r="BH359" s="884" t="str">
        <f t="shared" si="266"/>
        <v/>
      </c>
      <c r="BI359" s="884"/>
      <c r="BJ359" s="590"/>
      <c r="BO359" s="102"/>
      <c r="BP359" s="102"/>
      <c r="BQ359" s="102"/>
      <c r="BR359" s="102"/>
      <c r="BS359" s="102"/>
      <c r="BT359" s="102"/>
      <c r="BU359" s="102"/>
      <c r="BV359" s="102"/>
      <c r="BW359" s="102"/>
      <c r="BX359" s="102"/>
      <c r="BY359" s="94"/>
      <c r="BZ359" s="94"/>
      <c r="CA359" s="94"/>
      <c r="CB359" s="94"/>
      <c r="CC359" s="94"/>
      <c r="CD359" s="94"/>
      <c r="CE359" s="94"/>
      <c r="CF359" s="94"/>
      <c r="CG359" s="94"/>
      <c r="CH359" s="94"/>
      <c r="CI359" s="94"/>
      <c r="CJ359" s="94"/>
      <c r="CK359" s="94"/>
      <c r="CL359" s="94"/>
      <c r="CM359" s="94"/>
      <c r="CN359" s="94"/>
      <c r="CO359" s="94"/>
      <c r="CP359" s="94"/>
      <c r="CQ359" s="94"/>
      <c r="CR359" s="94"/>
      <c r="CS359" s="94"/>
      <c r="CT359" s="94"/>
      <c r="CU359" s="94"/>
      <c r="CV359" s="94"/>
      <c r="CW359" s="94"/>
      <c r="CX359" s="94"/>
      <c r="CY359" s="94"/>
      <c r="CZ359" s="94"/>
    </row>
    <row r="360" spans="1:178" ht="12.75" hidden="1">
      <c r="A360" s="74"/>
      <c r="B360" s="288" t="str">
        <f t="shared" si="256"/>
        <v/>
      </c>
      <c r="C360" s="9"/>
      <c r="D360" s="288" t="str">
        <f t="shared" si="257"/>
        <v/>
      </c>
      <c r="E360" s="274"/>
      <c r="F360" s="925" t="str">
        <f t="shared" si="258"/>
        <v/>
      </c>
      <c r="G360" s="925"/>
      <c r="H360" s="925"/>
      <c r="I360" s="925"/>
      <c r="J360" s="925"/>
      <c r="K360" s="925"/>
      <c r="L360" s="925"/>
      <c r="M360" s="925"/>
      <c r="N360" s="925"/>
      <c r="O360" s="925"/>
      <c r="P360" s="925"/>
      <c r="Q360" s="284"/>
      <c r="R360" s="889" t="str">
        <f t="shared" si="259"/>
        <v/>
      </c>
      <c r="S360" s="889"/>
      <c r="T360" s="889"/>
      <c r="U360" s="889"/>
      <c r="V360" s="289"/>
      <c r="W360" s="889" t="str">
        <f t="shared" si="260"/>
        <v/>
      </c>
      <c r="X360" s="889"/>
      <c r="Y360" s="889"/>
      <c r="Z360" s="889"/>
      <c r="AA360" s="889"/>
      <c r="AB360" s="889"/>
      <c r="AC360" s="289"/>
      <c r="AD360" s="885" t="str">
        <f t="shared" si="261"/>
        <v/>
      </c>
      <c r="AE360" s="885"/>
      <c r="AF360" s="885"/>
      <c r="AG360" s="885"/>
      <c r="AH360" s="9"/>
      <c r="AI360" s="288" t="str">
        <f t="shared" si="262"/>
        <v/>
      </c>
      <c r="AJ360" s="13" t="str">
        <f t="shared" si="262"/>
        <v/>
      </c>
      <c r="AK360" s="288" t="str">
        <f t="shared" si="262"/>
        <v/>
      </c>
      <c r="AL360" s="13" t="str">
        <f t="shared" si="262"/>
        <v/>
      </c>
      <c r="AM360" s="672"/>
      <c r="AN360" s="672"/>
      <c r="AO360" s="289"/>
      <c r="AP360" s="273" t="str">
        <f t="shared" si="263"/>
        <v/>
      </c>
      <c r="AQ360" s="13" t="str">
        <f t="shared" si="263"/>
        <v/>
      </c>
      <c r="AR360" s="273" t="str">
        <f t="shared" si="263"/>
        <v/>
      </c>
      <c r="AS360" s="13" t="str">
        <f t="shared" si="263"/>
        <v/>
      </c>
      <c r="AT360" s="672"/>
      <c r="AU360" s="672"/>
      <c r="AV360" s="13"/>
      <c r="AW360" s="746" t="str">
        <f t="shared" si="264"/>
        <v/>
      </c>
      <c r="AX360" s="746"/>
      <c r="AY360" s="75" t="str">
        <f t="shared" si="265"/>
        <v/>
      </c>
      <c r="AZ360" s="13" t="str">
        <f t="shared" si="265"/>
        <v/>
      </c>
      <c r="BA360" s="75" t="str">
        <f t="shared" si="265"/>
        <v/>
      </c>
      <c r="BB360" s="13" t="str">
        <f t="shared" si="265"/>
        <v/>
      </c>
      <c r="BC360" s="672"/>
      <c r="BD360" s="672"/>
      <c r="BE360" s="746" t="str">
        <f t="shared" si="265"/>
        <v/>
      </c>
      <c r="BF360" s="746"/>
      <c r="BG360" s="13" t="s">
        <v>142</v>
      </c>
      <c r="BH360" s="884" t="str">
        <f t="shared" si="266"/>
        <v/>
      </c>
      <c r="BI360" s="884"/>
      <c r="BJ360" s="590"/>
      <c r="BO360" s="94"/>
      <c r="BP360" s="94"/>
      <c r="BQ360" s="94"/>
      <c r="BR360" s="94"/>
      <c r="BS360" s="94"/>
      <c r="BT360" s="94"/>
      <c r="BU360" s="94"/>
      <c r="BV360" s="94"/>
      <c r="BW360" s="94"/>
      <c r="BX360" s="94"/>
      <c r="BY360" s="94"/>
      <c r="BZ360" s="94"/>
      <c r="CA360" s="94"/>
      <c r="CB360" s="94"/>
      <c r="CC360" s="94"/>
      <c r="CD360" s="94"/>
      <c r="CE360" s="94"/>
      <c r="CF360" s="94"/>
      <c r="CG360" s="94"/>
      <c r="CH360" s="94"/>
      <c r="CI360" s="94"/>
      <c r="CJ360" s="94"/>
      <c r="CK360" s="94"/>
      <c r="CL360" s="94"/>
      <c r="CM360" s="94"/>
      <c r="CN360" s="94"/>
      <c r="CO360" s="94"/>
      <c r="CP360" s="94"/>
      <c r="CQ360" s="94"/>
      <c r="CR360" s="94"/>
      <c r="CS360" s="94"/>
      <c r="CT360" s="94"/>
      <c r="CU360" s="94"/>
      <c r="CV360" s="94"/>
      <c r="CW360" s="94"/>
      <c r="CX360" s="94"/>
      <c r="CY360" s="94"/>
      <c r="CZ360" s="94"/>
    </row>
    <row r="361" spans="1:178" ht="12.75" hidden="1">
      <c r="A361" s="74"/>
      <c r="B361" s="288" t="str">
        <f t="shared" si="256"/>
        <v/>
      </c>
      <c r="C361" s="9"/>
      <c r="D361" s="288" t="str">
        <f t="shared" si="257"/>
        <v/>
      </c>
      <c r="E361" s="274"/>
      <c r="F361" s="925" t="str">
        <f t="shared" si="258"/>
        <v/>
      </c>
      <c r="G361" s="925"/>
      <c r="H361" s="925"/>
      <c r="I361" s="925"/>
      <c r="J361" s="925"/>
      <c r="K361" s="925"/>
      <c r="L361" s="925"/>
      <c r="M361" s="925"/>
      <c r="N361" s="925"/>
      <c r="O361" s="925"/>
      <c r="P361" s="925"/>
      <c r="Q361" s="284"/>
      <c r="R361" s="889" t="str">
        <f t="shared" si="259"/>
        <v/>
      </c>
      <c r="S361" s="889"/>
      <c r="T361" s="889"/>
      <c r="U361" s="889"/>
      <c r="V361" s="289"/>
      <c r="W361" s="889" t="str">
        <f t="shared" si="260"/>
        <v/>
      </c>
      <c r="X361" s="889"/>
      <c r="Y361" s="889"/>
      <c r="Z361" s="889"/>
      <c r="AA361" s="889"/>
      <c r="AB361" s="889"/>
      <c r="AC361" s="289"/>
      <c r="AD361" s="885" t="str">
        <f t="shared" si="261"/>
        <v/>
      </c>
      <c r="AE361" s="885"/>
      <c r="AF361" s="885"/>
      <c r="AG361" s="885"/>
      <c r="AH361" s="9"/>
      <c r="AI361" s="288" t="str">
        <f t="shared" si="262"/>
        <v/>
      </c>
      <c r="AJ361" s="13" t="str">
        <f t="shared" si="262"/>
        <v/>
      </c>
      <c r="AK361" s="288" t="str">
        <f t="shared" si="262"/>
        <v/>
      </c>
      <c r="AL361" s="13" t="str">
        <f t="shared" si="262"/>
        <v/>
      </c>
      <c r="AM361" s="672"/>
      <c r="AN361" s="672"/>
      <c r="AO361" s="289"/>
      <c r="AP361" s="273" t="str">
        <f t="shared" si="263"/>
        <v/>
      </c>
      <c r="AQ361" s="13" t="str">
        <f t="shared" si="263"/>
        <v/>
      </c>
      <c r="AR361" s="273" t="str">
        <f t="shared" si="263"/>
        <v/>
      </c>
      <c r="AS361" s="13" t="str">
        <f t="shared" si="263"/>
        <v/>
      </c>
      <c r="AT361" s="672"/>
      <c r="AU361" s="672"/>
      <c r="AV361" s="13"/>
      <c r="AW361" s="746" t="str">
        <f t="shared" si="264"/>
        <v/>
      </c>
      <c r="AX361" s="746"/>
      <c r="AY361" s="75" t="str">
        <f t="shared" si="265"/>
        <v/>
      </c>
      <c r="AZ361" s="13" t="str">
        <f t="shared" si="265"/>
        <v/>
      </c>
      <c r="BA361" s="75" t="str">
        <f t="shared" si="265"/>
        <v/>
      </c>
      <c r="BB361" s="13" t="str">
        <f t="shared" si="265"/>
        <v/>
      </c>
      <c r="BC361" s="672"/>
      <c r="BD361" s="672"/>
      <c r="BE361" s="746" t="str">
        <f t="shared" si="265"/>
        <v/>
      </c>
      <c r="BF361" s="746"/>
      <c r="BG361" s="13" t="s">
        <v>142</v>
      </c>
      <c r="BH361" s="884" t="str">
        <f t="shared" si="266"/>
        <v/>
      </c>
      <c r="BI361" s="884"/>
      <c r="BJ361" s="590"/>
      <c r="BO361" s="94"/>
      <c r="BP361" s="94"/>
      <c r="BQ361" s="94"/>
      <c r="BR361" s="94"/>
      <c r="BS361" s="94"/>
      <c r="BT361" s="94"/>
      <c r="BU361" s="94"/>
      <c r="BV361" s="94"/>
      <c r="BW361" s="94"/>
      <c r="BX361" s="94"/>
      <c r="BY361" s="94"/>
      <c r="BZ361" s="94"/>
      <c r="CA361" s="94"/>
      <c r="CB361" s="94"/>
      <c r="CC361" s="94"/>
      <c r="CD361" s="94"/>
      <c r="CE361" s="94"/>
      <c r="CF361" s="94"/>
      <c r="CG361" s="94"/>
      <c r="CH361" s="94"/>
      <c r="CI361" s="94"/>
      <c r="CJ361" s="94"/>
      <c r="CK361" s="94"/>
      <c r="CL361" s="94"/>
      <c r="CM361" s="94"/>
      <c r="CN361" s="94"/>
      <c r="CO361" s="94"/>
      <c r="CP361" s="94"/>
      <c r="CQ361" s="94"/>
      <c r="CR361" s="94"/>
      <c r="CS361" s="94"/>
      <c r="CT361" s="94"/>
      <c r="CU361" s="94"/>
      <c r="CV361" s="94"/>
      <c r="CW361" s="94"/>
      <c r="CX361" s="94"/>
      <c r="CY361" s="94"/>
      <c r="CZ361" s="94"/>
    </row>
    <row r="362" spans="1:178" ht="12.75" hidden="1">
      <c r="A362" s="74"/>
      <c r="B362" s="288" t="str">
        <f t="shared" si="256"/>
        <v/>
      </c>
      <c r="C362" s="9"/>
      <c r="D362" s="288" t="str">
        <f t="shared" si="257"/>
        <v/>
      </c>
      <c r="E362" s="274"/>
      <c r="F362" s="925" t="str">
        <f t="shared" si="258"/>
        <v/>
      </c>
      <c r="G362" s="925"/>
      <c r="H362" s="925"/>
      <c r="I362" s="925"/>
      <c r="J362" s="925"/>
      <c r="K362" s="925"/>
      <c r="L362" s="925"/>
      <c r="M362" s="925"/>
      <c r="N362" s="925"/>
      <c r="O362" s="925"/>
      <c r="P362" s="925"/>
      <c r="Q362" s="284"/>
      <c r="R362" s="889" t="str">
        <f t="shared" si="259"/>
        <v/>
      </c>
      <c r="S362" s="889"/>
      <c r="T362" s="889"/>
      <c r="U362" s="889"/>
      <c r="V362" s="289"/>
      <c r="W362" s="889" t="str">
        <f t="shared" si="260"/>
        <v/>
      </c>
      <c r="X362" s="889"/>
      <c r="Y362" s="889"/>
      <c r="Z362" s="889"/>
      <c r="AA362" s="889"/>
      <c r="AB362" s="889"/>
      <c r="AC362" s="289"/>
      <c r="AD362" s="885" t="str">
        <f t="shared" si="261"/>
        <v/>
      </c>
      <c r="AE362" s="885"/>
      <c r="AF362" s="885"/>
      <c r="AG362" s="885"/>
      <c r="AH362" s="9"/>
      <c r="AI362" s="288" t="str">
        <f t="shared" si="262"/>
        <v/>
      </c>
      <c r="AJ362" s="13" t="str">
        <f t="shared" si="262"/>
        <v/>
      </c>
      <c r="AK362" s="288" t="str">
        <f t="shared" si="262"/>
        <v/>
      </c>
      <c r="AL362" s="13" t="str">
        <f t="shared" si="262"/>
        <v/>
      </c>
      <c r="AM362" s="672"/>
      <c r="AN362" s="672"/>
      <c r="AO362" s="289"/>
      <c r="AP362" s="273" t="str">
        <f t="shared" si="263"/>
        <v/>
      </c>
      <c r="AQ362" s="13" t="str">
        <f t="shared" si="263"/>
        <v/>
      </c>
      <c r="AR362" s="273" t="str">
        <f t="shared" si="263"/>
        <v/>
      </c>
      <c r="AS362" s="13" t="str">
        <f t="shared" si="263"/>
        <v/>
      </c>
      <c r="AT362" s="672"/>
      <c r="AU362" s="672"/>
      <c r="AV362" s="13"/>
      <c r="AW362" s="746" t="str">
        <f t="shared" si="264"/>
        <v/>
      </c>
      <c r="AX362" s="746"/>
      <c r="AY362" s="75" t="str">
        <f t="shared" si="265"/>
        <v/>
      </c>
      <c r="AZ362" s="13" t="str">
        <f t="shared" si="265"/>
        <v/>
      </c>
      <c r="BA362" s="75" t="str">
        <f t="shared" si="265"/>
        <v/>
      </c>
      <c r="BB362" s="13" t="str">
        <f t="shared" si="265"/>
        <v/>
      </c>
      <c r="BC362" s="672"/>
      <c r="BD362" s="672"/>
      <c r="BE362" s="746" t="str">
        <f t="shared" si="265"/>
        <v/>
      </c>
      <c r="BF362" s="746"/>
      <c r="BG362" s="13" t="s">
        <v>142</v>
      </c>
      <c r="BH362" s="884" t="str">
        <f t="shared" si="266"/>
        <v/>
      </c>
      <c r="BI362" s="884"/>
      <c r="BJ362" s="590"/>
      <c r="BO362" s="94"/>
      <c r="BP362" s="94"/>
      <c r="BQ362" s="94"/>
      <c r="BR362" s="94"/>
      <c r="BS362" s="94"/>
      <c r="BT362" s="94"/>
      <c r="BU362" s="94"/>
      <c r="BV362" s="94"/>
      <c r="BW362" s="94"/>
      <c r="BX362" s="94"/>
      <c r="BY362" s="94"/>
      <c r="BZ362" s="94"/>
      <c r="CA362" s="94"/>
      <c r="CB362" s="94"/>
      <c r="CC362" s="94"/>
      <c r="CD362" s="94"/>
      <c r="CE362" s="94"/>
      <c r="CF362" s="94"/>
      <c r="CG362" s="94"/>
      <c r="CH362" s="94"/>
      <c r="CI362" s="94"/>
      <c r="CJ362" s="94"/>
      <c r="CK362" s="94"/>
      <c r="CL362" s="94"/>
      <c r="CM362" s="94"/>
      <c r="CN362" s="94"/>
      <c r="CO362" s="94"/>
      <c r="CP362" s="94"/>
      <c r="CQ362" s="94"/>
      <c r="CR362" s="94"/>
      <c r="CS362" s="94"/>
      <c r="CT362" s="94"/>
      <c r="CU362" s="94"/>
      <c r="CV362" s="94"/>
      <c r="CW362" s="94"/>
      <c r="CX362" s="94"/>
      <c r="CY362" s="94"/>
      <c r="CZ362" s="94"/>
    </row>
    <row r="363" spans="1:178" ht="13.5" hidden="1" thickBot="1">
      <c r="A363" s="74"/>
      <c r="B363" s="274"/>
      <c r="C363" s="9"/>
      <c r="D363" s="274"/>
      <c r="E363" s="274"/>
      <c r="F363" s="415"/>
      <c r="G363" s="415"/>
      <c r="H363" s="415"/>
      <c r="I363" s="415"/>
      <c r="J363" s="415"/>
      <c r="K363" s="415"/>
      <c r="L363" s="415"/>
      <c r="M363" s="415"/>
      <c r="N363" s="415"/>
      <c r="O363" s="415"/>
      <c r="P363" s="415"/>
      <c r="Q363" s="284"/>
      <c r="R363" s="274"/>
      <c r="S363" s="274"/>
      <c r="T363" s="274"/>
      <c r="U363" s="274"/>
      <c r="V363" s="289"/>
      <c r="W363" s="274"/>
      <c r="X363" s="274"/>
      <c r="Y363" s="274"/>
      <c r="Z363" s="274"/>
      <c r="AA363" s="274"/>
      <c r="AB363" s="274"/>
      <c r="AC363" s="289"/>
      <c r="AD363" s="416"/>
      <c r="AE363" s="416"/>
      <c r="AF363" s="416"/>
      <c r="AG363" s="416"/>
      <c r="AH363" s="9"/>
      <c r="AI363" s="274"/>
      <c r="AJ363" s="13"/>
      <c r="AK363" s="274"/>
      <c r="AL363" s="13"/>
      <c r="AM363" s="672"/>
      <c r="AN363" s="672"/>
      <c r="AO363" s="289"/>
      <c r="AP363" s="417"/>
      <c r="AQ363" s="13"/>
      <c r="AR363" s="417"/>
      <c r="AS363" s="13"/>
      <c r="AT363" s="672"/>
      <c r="AU363" s="672"/>
      <c r="AV363" s="13"/>
      <c r="AW363" s="10"/>
      <c r="AX363" s="10"/>
      <c r="AY363" s="417"/>
      <c r="AZ363" s="13"/>
      <c r="BA363" s="417"/>
      <c r="BB363" s="13"/>
      <c r="BC363" s="672"/>
      <c r="BD363" s="672"/>
      <c r="BE363" s="10"/>
      <c r="BF363" s="10"/>
      <c r="BG363" s="13"/>
      <c r="BH363" s="418"/>
      <c r="BI363" s="418"/>
      <c r="BJ363" s="590"/>
      <c r="BO363" s="94"/>
      <c r="BP363" s="94"/>
      <c r="BQ363" s="94"/>
      <c r="BR363" s="94"/>
      <c r="BS363" s="94"/>
      <c r="BT363" s="94"/>
      <c r="BU363" s="94"/>
      <c r="BV363" s="94"/>
      <c r="BW363" s="94"/>
      <c r="BX363" s="94"/>
      <c r="BY363" s="94"/>
      <c r="BZ363" s="94"/>
      <c r="CA363" s="94"/>
      <c r="CB363" s="94"/>
      <c r="CC363" s="94"/>
      <c r="CD363" s="94"/>
      <c r="CE363" s="94"/>
      <c r="CF363" s="94"/>
      <c r="CG363" s="94"/>
      <c r="CH363" s="94"/>
      <c r="CI363" s="94"/>
      <c r="CJ363" s="94"/>
      <c r="CK363" s="94"/>
      <c r="CL363" s="94"/>
      <c r="CM363" s="94"/>
      <c r="CN363" s="94"/>
      <c r="CO363" s="94"/>
      <c r="CP363" s="94"/>
      <c r="CQ363" s="94"/>
      <c r="CR363" s="94"/>
      <c r="CS363" s="94"/>
      <c r="CT363" s="94"/>
      <c r="CU363" s="94"/>
      <c r="CV363" s="94"/>
      <c r="CW363" s="94"/>
      <c r="CX363" s="94"/>
      <c r="CY363" s="94"/>
      <c r="CZ363" s="94"/>
    </row>
    <row r="364" spans="1:178" s="22" customFormat="1" ht="12.75" hidden="1" customHeight="1">
      <c r="A364" s="588"/>
      <c r="B364" s="573"/>
      <c r="C364" s="573"/>
      <c r="D364" s="573"/>
      <c r="E364" s="573"/>
      <c r="F364" s="573"/>
      <c r="G364" s="573"/>
      <c r="H364" s="573"/>
      <c r="I364" s="573"/>
      <c r="J364" s="573"/>
      <c r="K364" s="573"/>
      <c r="L364" s="573"/>
      <c r="M364" s="573"/>
      <c r="N364" s="573"/>
      <c r="O364" s="573"/>
      <c r="P364" s="573"/>
      <c r="Q364" s="573"/>
      <c r="R364" s="573"/>
      <c r="S364" s="573"/>
      <c r="T364" s="573"/>
      <c r="U364" s="573"/>
      <c r="V364" s="573"/>
      <c r="W364" s="573"/>
      <c r="X364" s="573"/>
      <c r="Y364" s="573"/>
      <c r="Z364" s="573"/>
      <c r="AA364" s="573"/>
      <c r="AB364" s="573"/>
      <c r="AC364" s="573"/>
      <c r="AD364" s="573"/>
      <c r="AE364" s="573"/>
      <c r="AF364" s="573"/>
      <c r="AG364" s="573"/>
      <c r="AH364" s="573"/>
      <c r="AI364" s="573"/>
      <c r="AJ364" s="573"/>
      <c r="AK364" s="573"/>
      <c r="AL364" s="573"/>
      <c r="AM364" s="674"/>
      <c r="AN364" s="674"/>
      <c r="AO364" s="573"/>
      <c r="AP364" s="887" t="s">
        <v>2655</v>
      </c>
      <c r="AQ364" s="887"/>
      <c r="AR364" s="887"/>
      <c r="AS364" s="887"/>
      <c r="AT364" s="887"/>
      <c r="AU364" s="887"/>
      <c r="AV364" s="887"/>
      <c r="AW364" s="887"/>
      <c r="AX364" s="887"/>
      <c r="AY364" s="887"/>
      <c r="AZ364" s="887"/>
      <c r="BA364" s="887"/>
      <c r="BB364" s="887"/>
      <c r="BC364" s="887"/>
      <c r="BD364" s="887"/>
      <c r="BE364" s="887"/>
      <c r="BF364" s="887"/>
      <c r="BG364" s="589"/>
      <c r="BH364" s="888" t="str">
        <f>IF(BG94="","",BG94)</f>
        <v>Incentive
(tons x $40 or $100)</v>
      </c>
      <c r="BI364" s="888"/>
      <c r="BJ364" s="267"/>
      <c r="BK364" s="1"/>
      <c r="BL364" s="1"/>
      <c r="BM364" s="1"/>
      <c r="BN364" s="1"/>
      <c r="BO364" s="94"/>
      <c r="BP364" s="94"/>
      <c r="BQ364" s="94"/>
      <c r="BR364" s="94"/>
      <c r="BS364" s="94"/>
      <c r="BT364" s="94"/>
      <c r="BU364" s="94"/>
      <c r="BV364" s="94"/>
      <c r="BW364" s="94"/>
      <c r="BX364" s="94"/>
      <c r="BY364" s="102"/>
      <c r="BZ364" s="102"/>
      <c r="CA364" s="102"/>
      <c r="CB364" s="102"/>
      <c r="CC364" s="102"/>
      <c r="CD364" s="102"/>
      <c r="CE364" s="102"/>
      <c r="CF364" s="102"/>
      <c r="CG364" s="102"/>
      <c r="CH364" s="102"/>
      <c r="CI364" s="102"/>
      <c r="CJ364" s="102"/>
      <c r="CK364" s="102"/>
      <c r="CL364" s="102"/>
      <c r="CM364" s="102"/>
      <c r="CN364" s="102"/>
      <c r="CO364" s="102"/>
      <c r="CP364" s="102"/>
      <c r="CQ364" s="102"/>
      <c r="CR364" s="102"/>
      <c r="CS364" s="102"/>
      <c r="CT364" s="102"/>
      <c r="CU364" s="102"/>
      <c r="CV364" s="102"/>
      <c r="CW364" s="102"/>
      <c r="CX364" s="102"/>
      <c r="CY364" s="102"/>
      <c r="CZ364" s="102"/>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row>
    <row r="365" spans="1:178" s="22" customFormat="1" ht="12.75" hidden="1" customHeight="1">
      <c r="A365" s="520" t="str">
        <f>A95</f>
        <v>Water-Cooled Air Conditioners*/Heat Pumps*</v>
      </c>
      <c r="B365" s="284"/>
      <c r="C365" s="70"/>
      <c r="D365" s="284"/>
      <c r="E365" s="284"/>
      <c r="F365" s="285"/>
      <c r="G365" s="285"/>
      <c r="H365" s="285"/>
      <c r="I365" s="285"/>
      <c r="J365" s="285"/>
      <c r="K365" s="285"/>
      <c r="L365" s="285"/>
      <c r="M365" s="285"/>
      <c r="N365" s="285"/>
      <c r="O365" s="285"/>
      <c r="P365" s="285"/>
      <c r="Q365" s="284"/>
      <c r="R365" s="781" t="s">
        <v>2714</v>
      </c>
      <c r="S365" s="781"/>
      <c r="T365" s="781"/>
      <c r="U365" s="781"/>
      <c r="V365" s="289"/>
      <c r="W365" s="781" t="s">
        <v>2680</v>
      </c>
      <c r="X365" s="781"/>
      <c r="Y365" s="781"/>
      <c r="Z365" s="781"/>
      <c r="AA365" s="781"/>
      <c r="AB365" s="781"/>
      <c r="AC365" s="289"/>
      <c r="AD365" s="289"/>
      <c r="AE365" s="289"/>
      <c r="AF365" s="289"/>
      <c r="AG365" s="289"/>
      <c r="AH365" s="71"/>
      <c r="AI365" s="71" t="s">
        <v>2715</v>
      </c>
      <c r="AJ365" s="289"/>
      <c r="AK365" s="72" t="s">
        <v>2750</v>
      </c>
      <c r="AL365" s="289"/>
      <c r="AM365" s="289"/>
      <c r="AN365" s="289"/>
      <c r="AO365" s="289"/>
      <c r="AP365" s="880" t="str">
        <f>IF(AP95="","",AP95)</f>
        <v>Tier 1</v>
      </c>
      <c r="AQ365" s="880" t="str">
        <f t="shared" ref="AQ365:AX365" si="267">IF(AQ95="","",AQ95)</f>
        <v/>
      </c>
      <c r="AR365" s="880" t="str">
        <f t="shared" si="267"/>
        <v/>
      </c>
      <c r="AS365" s="880" t="str">
        <f t="shared" si="267"/>
        <v/>
      </c>
      <c r="AT365" s="880"/>
      <c r="AU365" s="880"/>
      <c r="AV365" s="880" t="str">
        <f t="shared" si="267"/>
        <v/>
      </c>
      <c r="AW365" s="880" t="str">
        <f t="shared" si="267"/>
        <v/>
      </c>
      <c r="AX365" s="880" t="str">
        <f t="shared" si="267"/>
        <v/>
      </c>
      <c r="AY365" s="880"/>
      <c r="AZ365" s="880"/>
      <c r="BA365" s="880"/>
      <c r="BB365" s="880"/>
      <c r="BC365" s="880"/>
      <c r="BD365" s="880"/>
      <c r="BE365" s="880"/>
      <c r="BF365" s="880"/>
      <c r="BG365"/>
      <c r="BH365" s="736"/>
      <c r="BI365" s="736"/>
      <c r="BJ365" s="73"/>
      <c r="BK365" s="1"/>
      <c r="BL365" s="1"/>
      <c r="BM365" s="1"/>
      <c r="BN365" s="1"/>
      <c r="BO365" s="94"/>
      <c r="BP365" s="94"/>
      <c r="BQ365" s="94"/>
      <c r="BR365" s="94"/>
      <c r="BS365" s="94"/>
      <c r="BT365" s="94"/>
      <c r="BU365" s="94"/>
      <c r="BV365" s="94"/>
      <c r="BW365" s="94"/>
      <c r="BX365" s="94"/>
      <c r="BY365" s="102"/>
      <c r="BZ365" s="102"/>
      <c r="CA365" s="102"/>
      <c r="CB365" s="102"/>
      <c r="CC365" s="102"/>
      <c r="CD365" s="102"/>
      <c r="CE365" s="102"/>
      <c r="CF365" s="102"/>
      <c r="CG365" s="102"/>
      <c r="CH365" s="102"/>
      <c r="CI365" s="102"/>
      <c r="CJ365" s="102"/>
      <c r="CK365" s="102"/>
      <c r="CL365" s="102"/>
      <c r="CM365" s="102"/>
      <c r="CN365" s="102"/>
      <c r="CO365" s="102"/>
      <c r="CP365" s="102"/>
      <c r="CQ365" s="102"/>
      <c r="CR365" s="102"/>
      <c r="CS365" s="102"/>
      <c r="CT365" s="102"/>
      <c r="CU365" s="102"/>
      <c r="CV365" s="102"/>
      <c r="CW365" s="102"/>
      <c r="CX365" s="102"/>
      <c r="CY365" s="102"/>
      <c r="CZ365" s="102"/>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row>
    <row r="366" spans="1:178" s="22" customFormat="1" ht="26.1" hidden="1" customHeight="1">
      <c r="A366" s="69"/>
      <c r="B366" s="13" t="s">
        <v>2661</v>
      </c>
      <c r="C366" s="412"/>
      <c r="D366" s="246" t="s">
        <v>2662</v>
      </c>
      <c r="E366" s="246"/>
      <c r="F366" s="246" t="s">
        <v>2717</v>
      </c>
      <c r="G366" s="246"/>
      <c r="H366" s="246"/>
      <c r="I366" s="246"/>
      <c r="J366" s="246"/>
      <c r="K366" s="285"/>
      <c r="L366" s="285"/>
      <c r="M366" s="285"/>
      <c r="N366" s="285"/>
      <c r="O366" s="285"/>
      <c r="P366" s="285"/>
      <c r="Q366" s="284"/>
      <c r="R366" s="781"/>
      <c r="S366" s="781"/>
      <c r="T366" s="781"/>
      <c r="U366" s="781"/>
      <c r="V366" s="289"/>
      <c r="W366" s="781"/>
      <c r="X366" s="781"/>
      <c r="Y366" s="781"/>
      <c r="Z366" s="781"/>
      <c r="AA366" s="781"/>
      <c r="AB366" s="781"/>
      <c r="AC366" s="289"/>
      <c r="AD366" s="246" t="s">
        <v>2664</v>
      </c>
      <c r="AE366" s="281"/>
      <c r="AF366" s="246"/>
      <c r="AG366" s="246"/>
      <c r="AH366" s="413"/>
      <c r="AI366" s="246" t="s">
        <v>2665</v>
      </c>
      <c r="AJ366" s="281"/>
      <c r="AK366" s="246" t="s">
        <v>2665</v>
      </c>
      <c r="AL366" s="281"/>
      <c r="AM366" s="670"/>
      <c r="AN366" s="670"/>
      <c r="AO366" s="281"/>
      <c r="AP366" s="879" t="str">
        <f>IF(AP96="","",AP96)</f>
        <v>Water Cooled AC ($40/ton)*
Water Cooled HP ($100/ton)*</v>
      </c>
      <c r="AQ366" s="863"/>
      <c r="AR366" s="863"/>
      <c r="AS366" s="863"/>
      <c r="AT366" s="863"/>
      <c r="AU366" s="863"/>
      <c r="AV366" s="863"/>
      <c r="AW366" s="863"/>
      <c r="AX366" s="246"/>
      <c r="AY366" s="879"/>
      <c r="AZ366" s="879"/>
      <c r="BA366" s="879"/>
      <c r="BB366" s="879"/>
      <c r="BC366" s="879"/>
      <c r="BD366" s="879"/>
      <c r="BE366" s="879"/>
      <c r="BF366" s="246"/>
      <c r="BG366"/>
      <c r="BH366" s="736"/>
      <c r="BI366" s="736"/>
      <c r="BJ366" s="73"/>
      <c r="BK366" s="1"/>
      <c r="BL366" s="1"/>
      <c r="BM366" s="1"/>
      <c r="BN366" s="1"/>
      <c r="BO366" s="94"/>
      <c r="BP366" s="94"/>
      <c r="BQ366" s="94"/>
      <c r="BR366" s="94"/>
      <c r="BS366" s="94"/>
      <c r="BT366" s="94"/>
      <c r="BU366" s="94"/>
      <c r="BV366" s="94"/>
      <c r="BW366" s="94"/>
      <c r="BX366" s="94"/>
      <c r="BY366" s="102"/>
      <c r="BZ366" s="102"/>
      <c r="CA366" s="102"/>
      <c r="CB366" s="102"/>
      <c r="CC366" s="102"/>
      <c r="CD366" s="102"/>
      <c r="CE366" s="102"/>
      <c r="CF366" s="102"/>
      <c r="CG366" s="102"/>
      <c r="CH366" s="102"/>
      <c r="CI366" s="102"/>
      <c r="CJ366" s="102"/>
      <c r="CK366" s="102"/>
      <c r="CL366" s="102"/>
      <c r="CM366" s="102"/>
      <c r="CN366" s="102"/>
      <c r="CO366" s="102"/>
      <c r="CP366" s="102"/>
      <c r="CQ366" s="102"/>
      <c r="CR366" s="102"/>
      <c r="CS366" s="102"/>
      <c r="CT366" s="102"/>
      <c r="CU366" s="102"/>
      <c r="CV366" s="102"/>
      <c r="CW366" s="102"/>
      <c r="CX366" s="102"/>
      <c r="CY366" s="102"/>
      <c r="CZ366" s="102"/>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row>
    <row r="367" spans="1:178" ht="12.75" hidden="1" customHeight="1">
      <c r="A367" s="74"/>
      <c r="B367" s="287" t="str">
        <f>IF(B97="","",B97)</f>
        <v/>
      </c>
      <c r="C367" s="9"/>
      <c r="D367" s="287" t="str">
        <f>IF(D97="","",D97)</f>
        <v/>
      </c>
      <c r="E367" s="274"/>
      <c r="F367" s="883" t="str">
        <f>IF(F97="","",F97)</f>
        <v/>
      </c>
      <c r="G367" s="883"/>
      <c r="H367" s="883"/>
      <c r="I367" s="883"/>
      <c r="J367" s="883"/>
      <c r="K367" s="883"/>
      <c r="L367" s="883"/>
      <c r="M367" s="883"/>
      <c r="N367" s="883"/>
      <c r="O367" s="883"/>
      <c r="P367" s="883"/>
      <c r="Q367" s="284"/>
      <c r="R367" s="915" t="str">
        <f>IF(R97="","",R97)</f>
        <v/>
      </c>
      <c r="S367" s="915"/>
      <c r="T367" s="915"/>
      <c r="U367" s="915"/>
      <c r="V367" s="289"/>
      <c r="W367" s="915" t="str">
        <f>IF(W97="","",W97)</f>
        <v/>
      </c>
      <c r="X367" s="915"/>
      <c r="Y367" s="915"/>
      <c r="Z367" s="915"/>
      <c r="AA367" s="915"/>
      <c r="AB367" s="915"/>
      <c r="AC367" s="289"/>
      <c r="AD367" s="886" t="str">
        <f>IF(AD97="","",AD97)</f>
        <v/>
      </c>
      <c r="AE367" s="886"/>
      <c r="AF367" s="886"/>
      <c r="AG367" s="886"/>
      <c r="AH367" s="9"/>
      <c r="AI367" s="287" t="str">
        <f>IF(AI97="","",AI97)</f>
        <v/>
      </c>
      <c r="AJ367" s="13" t="str">
        <f>IF(AJ97="","",AJ97)</f>
        <v/>
      </c>
      <c r="AK367" s="287" t="str">
        <f>IF(AK97="","",AK97)</f>
        <v/>
      </c>
      <c r="AL367" s="13" t="str">
        <f>IF(AL97="","",AL97)</f>
        <v/>
      </c>
      <c r="AM367" s="672"/>
      <c r="AN367" s="672"/>
      <c r="AO367" s="289"/>
      <c r="AP367" s="75" t="str">
        <f>IF(AP97="","",AP97)</f>
        <v/>
      </c>
      <c r="AQ367" s="417" t="str">
        <f t="shared" ref="AQ367:AS367" si="268">IF(AQ97="","",AQ97)</f>
        <v/>
      </c>
      <c r="AR367" s="75" t="str">
        <f t="shared" si="268"/>
        <v/>
      </c>
      <c r="AS367" s="417" t="str">
        <f t="shared" si="268"/>
        <v/>
      </c>
      <c r="AT367" s="417"/>
      <c r="AU367" s="417"/>
      <c r="AV367" s="13"/>
      <c r="AW367" s="746" t="str">
        <f>IF(AW97="","",AW97)</f>
        <v/>
      </c>
      <c r="AX367" s="746"/>
      <c r="AY367" s="464" t="str">
        <f>IF(AY97="","",AY97)</f>
        <v/>
      </c>
      <c r="AZ367" s="464" t="str">
        <f t="shared" ref="AZ367:BB367" si="269">IF(AZ97="","",AZ97)</f>
        <v/>
      </c>
      <c r="BA367" s="464" t="str">
        <f t="shared" si="269"/>
        <v/>
      </c>
      <c r="BB367" s="464" t="str">
        <f t="shared" si="269"/>
        <v/>
      </c>
      <c r="BC367" s="464"/>
      <c r="BD367" s="464"/>
      <c r="BE367" s="917" t="str">
        <f>IF(BE97="","",BE97)</f>
        <v/>
      </c>
      <c r="BF367" s="917"/>
      <c r="BG367" s="13" t="s">
        <v>142</v>
      </c>
      <c r="BH367" s="884" t="str">
        <f>IF(BH97="","",BH97)</f>
        <v/>
      </c>
      <c r="BI367" s="884"/>
      <c r="BJ367" s="590"/>
      <c r="BO367" s="94"/>
      <c r="BP367" s="94"/>
      <c r="BQ367" s="94"/>
      <c r="BR367" s="94"/>
      <c r="BS367" s="94"/>
      <c r="BT367" s="94"/>
      <c r="BU367" s="94"/>
      <c r="BV367" s="94"/>
      <c r="BW367" s="94"/>
      <c r="BX367" s="94"/>
      <c r="BY367" s="94"/>
      <c r="BZ367" s="94"/>
      <c r="CA367" s="94"/>
      <c r="CB367" s="94"/>
      <c r="CC367" s="94"/>
      <c r="CD367" s="94"/>
      <c r="CE367" s="94"/>
      <c r="CF367" s="94"/>
      <c r="CG367" s="94"/>
      <c r="CH367" s="94"/>
      <c r="CI367" s="94"/>
      <c r="CJ367" s="94"/>
      <c r="CK367" s="94"/>
      <c r="CL367" s="94"/>
      <c r="CM367" s="94"/>
      <c r="CN367" s="94"/>
      <c r="CO367" s="94"/>
      <c r="CP367" s="94"/>
      <c r="CQ367" s="94"/>
      <c r="CR367" s="94"/>
      <c r="CS367" s="94"/>
      <c r="CT367" s="94"/>
      <c r="CU367" s="94"/>
      <c r="CV367" s="94"/>
      <c r="CW367" s="94"/>
      <c r="CX367" s="94"/>
      <c r="CY367" s="94"/>
      <c r="CZ367" s="94"/>
    </row>
    <row r="368" spans="1:178" ht="12.75" hidden="1" customHeight="1">
      <c r="A368" s="74"/>
      <c r="B368" s="287" t="str">
        <f t="shared" ref="B368:B376" si="270">IF(B98="","",B98)</f>
        <v/>
      </c>
      <c r="C368" s="9"/>
      <c r="D368" s="287" t="str">
        <f t="shared" ref="D368:D376" si="271">IF(D98="","",D98)</f>
        <v/>
      </c>
      <c r="E368" s="274"/>
      <c r="F368" s="883" t="str">
        <f t="shared" ref="F368:F376" si="272">IF(F98="","",F98)</f>
        <v/>
      </c>
      <c r="G368" s="883"/>
      <c r="H368" s="883"/>
      <c r="I368" s="883"/>
      <c r="J368" s="883"/>
      <c r="K368" s="883"/>
      <c r="L368" s="883"/>
      <c r="M368" s="883"/>
      <c r="N368" s="883"/>
      <c r="O368" s="883"/>
      <c r="P368" s="883"/>
      <c r="Q368" s="284"/>
      <c r="R368" s="915" t="str">
        <f t="shared" ref="R368:R376" si="273">IF(R98="","",R98)</f>
        <v/>
      </c>
      <c r="S368" s="915"/>
      <c r="T368" s="915"/>
      <c r="U368" s="915"/>
      <c r="V368" s="289"/>
      <c r="W368" s="915" t="str">
        <f t="shared" ref="W368:W376" si="274">IF(W98="","",W98)</f>
        <v/>
      </c>
      <c r="X368" s="915"/>
      <c r="Y368" s="915"/>
      <c r="Z368" s="915"/>
      <c r="AA368" s="915"/>
      <c r="AB368" s="915"/>
      <c r="AC368" s="289"/>
      <c r="AD368" s="886" t="str">
        <f t="shared" ref="AD368:AD376" si="275">IF(AD98="","",AD98)</f>
        <v/>
      </c>
      <c r="AE368" s="886"/>
      <c r="AF368" s="886"/>
      <c r="AG368" s="886"/>
      <c r="AH368" s="9"/>
      <c r="AI368" s="287" t="str">
        <f t="shared" ref="AI368:AJ376" si="276">IF(AI98="","",AI98)</f>
        <v/>
      </c>
      <c r="AJ368" s="13" t="str">
        <f t="shared" si="276"/>
        <v/>
      </c>
      <c r="AK368" s="287" t="str">
        <f t="shared" ref="AK368:AL376" si="277">IF(AK98="","",AK98)</f>
        <v/>
      </c>
      <c r="AL368" s="13" t="str">
        <f t="shared" si="277"/>
        <v/>
      </c>
      <c r="AM368" s="672"/>
      <c r="AN368" s="672"/>
      <c r="AO368" s="289"/>
      <c r="AP368" s="75" t="str">
        <f t="shared" ref="AP368:AS368" si="278">IF(AP98="","",AP98)</f>
        <v/>
      </c>
      <c r="AQ368" s="417" t="str">
        <f t="shared" si="278"/>
        <v/>
      </c>
      <c r="AR368" s="75" t="str">
        <f t="shared" si="278"/>
        <v/>
      </c>
      <c r="AS368" s="417" t="str">
        <f t="shared" si="278"/>
        <v/>
      </c>
      <c r="AT368" s="417"/>
      <c r="AU368" s="417"/>
      <c r="AV368" s="13"/>
      <c r="AW368" s="746" t="str">
        <f t="shared" ref="AW368:AW376" si="279">IF(AW98="","",AW98)</f>
        <v/>
      </c>
      <c r="AX368" s="746"/>
      <c r="AY368" s="464" t="str">
        <f t="shared" ref="AY368:BE368" si="280">IF(AY98="","",AY98)</f>
        <v/>
      </c>
      <c r="AZ368" s="464" t="str">
        <f t="shared" si="280"/>
        <v/>
      </c>
      <c r="BA368" s="464" t="str">
        <f t="shared" si="280"/>
        <v/>
      </c>
      <c r="BB368" s="464" t="str">
        <f t="shared" si="280"/>
        <v/>
      </c>
      <c r="BC368" s="464"/>
      <c r="BD368" s="464"/>
      <c r="BE368" s="917" t="str">
        <f t="shared" si="280"/>
        <v/>
      </c>
      <c r="BF368" s="917"/>
      <c r="BG368" s="13" t="s">
        <v>142</v>
      </c>
      <c r="BH368" s="884" t="str">
        <f t="shared" ref="BH368:BH376" si="281">IF(BH98="","",BH98)</f>
        <v/>
      </c>
      <c r="BI368" s="884"/>
      <c r="BJ368" s="590"/>
      <c r="BO368" s="94"/>
      <c r="BP368" s="94"/>
      <c r="BQ368" s="94"/>
      <c r="BR368" s="94"/>
      <c r="BS368" s="94"/>
      <c r="BT368" s="94"/>
      <c r="BU368" s="94"/>
      <c r="BV368" s="94"/>
      <c r="BW368" s="94"/>
      <c r="BX368" s="94"/>
      <c r="BY368" s="94"/>
      <c r="BZ368" s="94"/>
      <c r="CA368" s="94"/>
      <c r="CB368" s="94"/>
      <c r="CC368" s="94"/>
      <c r="CD368" s="94"/>
      <c r="CE368" s="94"/>
      <c r="CF368" s="94"/>
      <c r="CG368" s="94"/>
      <c r="CH368" s="94"/>
      <c r="CI368" s="94"/>
      <c r="CJ368" s="94"/>
      <c r="CK368" s="94"/>
      <c r="CL368" s="94"/>
      <c r="CM368" s="94"/>
      <c r="CN368" s="94"/>
      <c r="CO368" s="94"/>
      <c r="CP368" s="94"/>
      <c r="CQ368" s="94"/>
      <c r="CR368" s="94"/>
      <c r="CS368" s="94"/>
      <c r="CT368" s="94"/>
      <c r="CU368" s="94"/>
      <c r="CV368" s="94"/>
      <c r="CW368" s="94"/>
      <c r="CX368" s="94"/>
      <c r="CY368" s="94"/>
      <c r="CZ368" s="94"/>
    </row>
    <row r="369" spans="1:178" ht="12.75" hidden="1">
      <c r="A369" s="74"/>
      <c r="B369" s="287" t="str">
        <f t="shared" si="270"/>
        <v/>
      </c>
      <c r="C369" s="9"/>
      <c r="D369" s="287" t="str">
        <f t="shared" si="271"/>
        <v/>
      </c>
      <c r="E369" s="274"/>
      <c r="F369" s="883" t="str">
        <f t="shared" si="272"/>
        <v/>
      </c>
      <c r="G369" s="883"/>
      <c r="H369" s="883"/>
      <c r="I369" s="883"/>
      <c r="J369" s="883"/>
      <c r="K369" s="883"/>
      <c r="L369" s="883"/>
      <c r="M369" s="883"/>
      <c r="N369" s="883"/>
      <c r="O369" s="883"/>
      <c r="P369" s="883"/>
      <c r="Q369" s="284"/>
      <c r="R369" s="915" t="str">
        <f t="shared" si="273"/>
        <v/>
      </c>
      <c r="S369" s="915"/>
      <c r="T369" s="915"/>
      <c r="U369" s="915"/>
      <c r="V369" s="289"/>
      <c r="W369" s="915" t="str">
        <f t="shared" si="274"/>
        <v/>
      </c>
      <c r="X369" s="915"/>
      <c r="Y369" s="915"/>
      <c r="Z369" s="915"/>
      <c r="AA369" s="915"/>
      <c r="AB369" s="915"/>
      <c r="AC369" s="289"/>
      <c r="AD369" s="886" t="str">
        <f t="shared" si="275"/>
        <v/>
      </c>
      <c r="AE369" s="886"/>
      <c r="AF369" s="886"/>
      <c r="AG369" s="886"/>
      <c r="AH369" s="9"/>
      <c r="AI369" s="287" t="str">
        <f t="shared" si="276"/>
        <v/>
      </c>
      <c r="AJ369" s="13" t="str">
        <f t="shared" si="276"/>
        <v/>
      </c>
      <c r="AK369" s="287" t="str">
        <f t="shared" si="277"/>
        <v/>
      </c>
      <c r="AL369" s="13" t="str">
        <f t="shared" si="277"/>
        <v/>
      </c>
      <c r="AM369" s="672"/>
      <c r="AN369" s="672"/>
      <c r="AO369" s="289"/>
      <c r="AP369" s="75" t="str">
        <f t="shared" ref="AP369:AS369" si="282">IF(AP99="","",AP99)</f>
        <v/>
      </c>
      <c r="AQ369" s="417" t="str">
        <f t="shared" si="282"/>
        <v/>
      </c>
      <c r="AR369" s="75" t="str">
        <f t="shared" si="282"/>
        <v/>
      </c>
      <c r="AS369" s="417" t="str">
        <f t="shared" si="282"/>
        <v/>
      </c>
      <c r="AT369" s="417"/>
      <c r="AU369" s="417"/>
      <c r="AV369" s="13"/>
      <c r="AW369" s="746" t="str">
        <f t="shared" si="279"/>
        <v/>
      </c>
      <c r="AX369" s="746"/>
      <c r="AY369" s="464" t="str">
        <f t="shared" ref="AY369:BE369" si="283">IF(AY99="","",AY99)</f>
        <v/>
      </c>
      <c r="AZ369" s="464" t="str">
        <f t="shared" si="283"/>
        <v/>
      </c>
      <c r="BA369" s="464" t="str">
        <f t="shared" si="283"/>
        <v/>
      </c>
      <c r="BB369" s="464" t="str">
        <f t="shared" si="283"/>
        <v/>
      </c>
      <c r="BC369" s="464"/>
      <c r="BD369" s="464"/>
      <c r="BE369" s="917" t="str">
        <f t="shared" si="283"/>
        <v/>
      </c>
      <c r="BF369" s="917"/>
      <c r="BG369" s="13" t="s">
        <v>142</v>
      </c>
      <c r="BH369" s="884" t="str">
        <f t="shared" si="281"/>
        <v/>
      </c>
      <c r="BI369" s="884"/>
      <c r="BJ369" s="590"/>
      <c r="BO369" s="94"/>
      <c r="BP369" s="94"/>
      <c r="BQ369" s="94"/>
      <c r="BR369" s="94"/>
      <c r="BS369" s="94"/>
      <c r="BT369" s="94"/>
      <c r="BU369" s="94"/>
      <c r="BV369" s="94"/>
      <c r="BW369" s="94"/>
      <c r="BX369" s="94"/>
      <c r="BY369" s="94"/>
      <c r="BZ369" s="94"/>
      <c r="CA369" s="94"/>
      <c r="CB369" s="94"/>
      <c r="CC369" s="94"/>
      <c r="CD369" s="94"/>
      <c r="CE369" s="94"/>
      <c r="CF369" s="94"/>
      <c r="CG369" s="94"/>
      <c r="CH369" s="94"/>
      <c r="CI369" s="94"/>
      <c r="CJ369" s="94"/>
      <c r="CK369" s="94"/>
      <c r="CL369" s="94"/>
      <c r="CM369" s="94"/>
      <c r="CN369" s="94"/>
      <c r="CO369" s="94"/>
      <c r="CP369" s="94"/>
      <c r="CQ369" s="94"/>
      <c r="CR369" s="94"/>
      <c r="CS369" s="94"/>
      <c r="CT369" s="94"/>
      <c r="CU369" s="94"/>
      <c r="CV369" s="94"/>
      <c r="CW369" s="94"/>
      <c r="CX369" s="94"/>
      <c r="CY369" s="94"/>
      <c r="CZ369" s="94"/>
    </row>
    <row r="370" spans="1:178" ht="12.75" hidden="1">
      <c r="A370" s="74"/>
      <c r="B370" s="287" t="str">
        <f t="shared" si="270"/>
        <v/>
      </c>
      <c r="C370" s="9"/>
      <c r="D370" s="287" t="str">
        <f t="shared" si="271"/>
        <v/>
      </c>
      <c r="E370" s="274"/>
      <c r="F370" s="883" t="str">
        <f t="shared" si="272"/>
        <v/>
      </c>
      <c r="G370" s="883"/>
      <c r="H370" s="883"/>
      <c r="I370" s="883"/>
      <c r="J370" s="883"/>
      <c r="K370" s="883"/>
      <c r="L370" s="883"/>
      <c r="M370" s="883"/>
      <c r="N370" s="883"/>
      <c r="O370" s="883"/>
      <c r="P370" s="883"/>
      <c r="Q370" s="284"/>
      <c r="R370" s="915" t="str">
        <f t="shared" si="273"/>
        <v/>
      </c>
      <c r="S370" s="915"/>
      <c r="T370" s="915"/>
      <c r="U370" s="915"/>
      <c r="V370" s="289"/>
      <c r="W370" s="915" t="str">
        <f t="shared" si="274"/>
        <v/>
      </c>
      <c r="X370" s="915"/>
      <c r="Y370" s="915"/>
      <c r="Z370" s="915"/>
      <c r="AA370" s="915"/>
      <c r="AB370" s="915"/>
      <c r="AC370" s="289"/>
      <c r="AD370" s="886" t="str">
        <f t="shared" si="275"/>
        <v/>
      </c>
      <c r="AE370" s="886"/>
      <c r="AF370" s="886"/>
      <c r="AG370" s="886"/>
      <c r="AH370" s="9"/>
      <c r="AI370" s="287" t="str">
        <f t="shared" si="276"/>
        <v/>
      </c>
      <c r="AJ370" s="13" t="str">
        <f t="shared" si="276"/>
        <v/>
      </c>
      <c r="AK370" s="287" t="str">
        <f t="shared" si="277"/>
        <v/>
      </c>
      <c r="AL370" s="13" t="str">
        <f t="shared" si="277"/>
        <v/>
      </c>
      <c r="AM370" s="672"/>
      <c r="AN370" s="672"/>
      <c r="AO370" s="289"/>
      <c r="AP370" s="75" t="str">
        <f t="shared" ref="AP370:AS370" si="284">IF(AP100="","",AP100)</f>
        <v/>
      </c>
      <c r="AQ370" s="417" t="str">
        <f t="shared" si="284"/>
        <v/>
      </c>
      <c r="AR370" s="75" t="str">
        <f t="shared" si="284"/>
        <v/>
      </c>
      <c r="AS370" s="417" t="str">
        <f t="shared" si="284"/>
        <v/>
      </c>
      <c r="AT370" s="417"/>
      <c r="AU370" s="417"/>
      <c r="AV370" s="13"/>
      <c r="AW370" s="746" t="str">
        <f t="shared" si="279"/>
        <v/>
      </c>
      <c r="AX370" s="746"/>
      <c r="AY370" s="464" t="str">
        <f t="shared" ref="AY370:BE370" si="285">IF(AY100="","",AY100)</f>
        <v/>
      </c>
      <c r="AZ370" s="464" t="str">
        <f t="shared" si="285"/>
        <v/>
      </c>
      <c r="BA370" s="464" t="str">
        <f t="shared" si="285"/>
        <v/>
      </c>
      <c r="BB370" s="464" t="str">
        <f t="shared" si="285"/>
        <v/>
      </c>
      <c r="BC370" s="464"/>
      <c r="BD370" s="464"/>
      <c r="BE370" s="917" t="str">
        <f t="shared" si="285"/>
        <v/>
      </c>
      <c r="BF370" s="917"/>
      <c r="BG370" s="13" t="s">
        <v>142</v>
      </c>
      <c r="BH370" s="884" t="str">
        <f t="shared" si="281"/>
        <v/>
      </c>
      <c r="BI370" s="884"/>
      <c r="BJ370" s="590"/>
      <c r="BO370" s="94"/>
      <c r="BP370" s="94"/>
      <c r="BQ370" s="94"/>
      <c r="BR370" s="94"/>
      <c r="BS370" s="94"/>
      <c r="BT370" s="94"/>
      <c r="BU370" s="94"/>
      <c r="BV370" s="94"/>
      <c r="BW370" s="94"/>
      <c r="BX370" s="94"/>
      <c r="BY370" s="94"/>
      <c r="BZ370" s="94"/>
      <c r="CA370" s="94"/>
      <c r="CB370" s="94"/>
      <c r="CC370" s="94"/>
      <c r="CD370" s="94"/>
      <c r="CE370" s="94"/>
      <c r="CF370" s="94"/>
      <c r="CG370" s="94"/>
      <c r="CH370" s="94"/>
      <c r="CI370" s="94"/>
      <c r="CJ370" s="94"/>
      <c r="CK370" s="94"/>
      <c r="CL370" s="94"/>
      <c r="CM370" s="94"/>
      <c r="CN370" s="94"/>
      <c r="CO370" s="94"/>
      <c r="CP370" s="94"/>
      <c r="CQ370" s="94"/>
      <c r="CR370" s="94"/>
      <c r="CS370" s="94"/>
      <c r="CT370" s="94"/>
      <c r="CU370" s="94"/>
      <c r="CV370" s="94"/>
      <c r="CW370" s="94"/>
      <c r="CX370" s="94"/>
      <c r="CY370" s="94"/>
      <c r="CZ370" s="94"/>
    </row>
    <row r="371" spans="1:178" ht="12.75" hidden="1">
      <c r="A371" s="74"/>
      <c r="B371" s="287" t="str">
        <f t="shared" si="270"/>
        <v/>
      </c>
      <c r="C371" s="9"/>
      <c r="D371" s="287" t="str">
        <f t="shared" si="271"/>
        <v/>
      </c>
      <c r="E371" s="274"/>
      <c r="F371" s="883" t="str">
        <f t="shared" si="272"/>
        <v/>
      </c>
      <c r="G371" s="883"/>
      <c r="H371" s="883"/>
      <c r="I371" s="883"/>
      <c r="J371" s="883"/>
      <c r="K371" s="883"/>
      <c r="L371" s="883"/>
      <c r="M371" s="883"/>
      <c r="N371" s="883"/>
      <c r="O371" s="883"/>
      <c r="P371" s="883"/>
      <c r="Q371" s="284"/>
      <c r="R371" s="915" t="str">
        <f t="shared" si="273"/>
        <v/>
      </c>
      <c r="S371" s="915"/>
      <c r="T371" s="915"/>
      <c r="U371" s="915"/>
      <c r="V371" s="289"/>
      <c r="W371" s="915" t="str">
        <f t="shared" si="274"/>
        <v/>
      </c>
      <c r="X371" s="915"/>
      <c r="Y371" s="915"/>
      <c r="Z371" s="915"/>
      <c r="AA371" s="915"/>
      <c r="AB371" s="915"/>
      <c r="AC371" s="289"/>
      <c r="AD371" s="886" t="str">
        <f t="shared" si="275"/>
        <v/>
      </c>
      <c r="AE371" s="886"/>
      <c r="AF371" s="886"/>
      <c r="AG371" s="886"/>
      <c r="AH371" s="9"/>
      <c r="AI371" s="287" t="str">
        <f t="shared" si="276"/>
        <v/>
      </c>
      <c r="AJ371" s="13" t="str">
        <f t="shared" si="276"/>
        <v/>
      </c>
      <c r="AK371" s="287" t="str">
        <f t="shared" si="277"/>
        <v/>
      </c>
      <c r="AL371" s="13" t="str">
        <f t="shared" si="277"/>
        <v/>
      </c>
      <c r="AM371" s="672"/>
      <c r="AN371" s="672"/>
      <c r="AO371" s="289"/>
      <c r="AP371" s="75" t="str">
        <f t="shared" ref="AP371:AS371" si="286">IF(AP101="","",AP101)</f>
        <v/>
      </c>
      <c r="AQ371" s="417" t="str">
        <f t="shared" si="286"/>
        <v/>
      </c>
      <c r="AR371" s="75" t="str">
        <f t="shared" si="286"/>
        <v/>
      </c>
      <c r="AS371" s="417" t="str">
        <f t="shared" si="286"/>
        <v/>
      </c>
      <c r="AT371" s="417"/>
      <c r="AU371" s="417"/>
      <c r="AV371" s="13"/>
      <c r="AW371" s="746" t="str">
        <f t="shared" si="279"/>
        <v/>
      </c>
      <c r="AX371" s="746"/>
      <c r="AY371" s="464" t="str">
        <f t="shared" ref="AY371:BE371" si="287">IF(AY101="","",AY101)</f>
        <v/>
      </c>
      <c r="AZ371" s="464" t="str">
        <f t="shared" si="287"/>
        <v/>
      </c>
      <c r="BA371" s="464" t="str">
        <f t="shared" si="287"/>
        <v/>
      </c>
      <c r="BB371" s="464" t="str">
        <f t="shared" si="287"/>
        <v/>
      </c>
      <c r="BC371" s="464"/>
      <c r="BD371" s="464"/>
      <c r="BE371" s="917" t="str">
        <f t="shared" si="287"/>
        <v/>
      </c>
      <c r="BF371" s="917"/>
      <c r="BG371" s="13" t="s">
        <v>142</v>
      </c>
      <c r="BH371" s="884" t="str">
        <f t="shared" si="281"/>
        <v/>
      </c>
      <c r="BI371" s="884"/>
      <c r="BJ371" s="590"/>
      <c r="BO371" s="94"/>
      <c r="BP371" s="94"/>
      <c r="BQ371" s="94"/>
      <c r="BR371" s="94"/>
      <c r="BS371" s="94"/>
      <c r="BT371" s="94"/>
      <c r="BU371" s="94"/>
      <c r="BV371" s="94"/>
      <c r="BW371" s="94"/>
      <c r="BX371" s="94"/>
      <c r="BY371" s="94"/>
      <c r="BZ371" s="94"/>
      <c r="CA371" s="94"/>
      <c r="CB371" s="94"/>
      <c r="CC371" s="94"/>
      <c r="CD371" s="94"/>
      <c r="CE371" s="94"/>
      <c r="CF371" s="94"/>
      <c r="CG371" s="94"/>
      <c r="CH371" s="94"/>
      <c r="CI371" s="94"/>
      <c r="CJ371" s="94"/>
      <c r="CK371" s="94"/>
      <c r="CL371" s="94"/>
      <c r="CM371" s="94"/>
      <c r="CN371" s="94"/>
      <c r="CO371" s="94"/>
      <c r="CP371" s="94"/>
      <c r="CQ371" s="94"/>
      <c r="CR371" s="94"/>
      <c r="CS371" s="94"/>
      <c r="CT371" s="94"/>
      <c r="CU371" s="94"/>
      <c r="CV371" s="94"/>
      <c r="CW371" s="94"/>
      <c r="CX371" s="94"/>
      <c r="CY371" s="94"/>
      <c r="CZ371" s="94"/>
    </row>
    <row r="372" spans="1:178" ht="12.75" hidden="1">
      <c r="A372" s="74"/>
      <c r="B372" s="287" t="str">
        <f t="shared" si="270"/>
        <v/>
      </c>
      <c r="C372" s="9"/>
      <c r="D372" s="287" t="str">
        <f t="shared" si="271"/>
        <v/>
      </c>
      <c r="E372" s="274"/>
      <c r="F372" s="883" t="str">
        <f t="shared" si="272"/>
        <v/>
      </c>
      <c r="G372" s="883"/>
      <c r="H372" s="883"/>
      <c r="I372" s="883"/>
      <c r="J372" s="883"/>
      <c r="K372" s="883"/>
      <c r="L372" s="883"/>
      <c r="M372" s="883"/>
      <c r="N372" s="883"/>
      <c r="O372" s="883"/>
      <c r="P372" s="883"/>
      <c r="Q372" s="284"/>
      <c r="R372" s="915" t="str">
        <f t="shared" si="273"/>
        <v/>
      </c>
      <c r="S372" s="915"/>
      <c r="T372" s="915"/>
      <c r="U372" s="915"/>
      <c r="V372" s="289"/>
      <c r="W372" s="915" t="str">
        <f t="shared" si="274"/>
        <v/>
      </c>
      <c r="X372" s="915"/>
      <c r="Y372" s="915"/>
      <c r="Z372" s="915"/>
      <c r="AA372" s="915"/>
      <c r="AB372" s="915"/>
      <c r="AC372" s="289"/>
      <c r="AD372" s="886" t="str">
        <f t="shared" si="275"/>
        <v/>
      </c>
      <c r="AE372" s="886"/>
      <c r="AF372" s="886"/>
      <c r="AG372" s="886"/>
      <c r="AH372" s="9"/>
      <c r="AI372" s="287" t="str">
        <f t="shared" si="276"/>
        <v/>
      </c>
      <c r="AJ372" s="13" t="str">
        <f t="shared" si="276"/>
        <v/>
      </c>
      <c r="AK372" s="287" t="str">
        <f t="shared" si="277"/>
        <v/>
      </c>
      <c r="AL372" s="13" t="str">
        <f t="shared" si="277"/>
        <v/>
      </c>
      <c r="AM372" s="672"/>
      <c r="AN372" s="672"/>
      <c r="AO372" s="289"/>
      <c r="AP372" s="75" t="str">
        <f t="shared" ref="AP372:AS372" si="288">IF(AP102="","",AP102)</f>
        <v/>
      </c>
      <c r="AQ372" s="417" t="str">
        <f t="shared" si="288"/>
        <v/>
      </c>
      <c r="AR372" s="75" t="str">
        <f t="shared" si="288"/>
        <v/>
      </c>
      <c r="AS372" s="417" t="str">
        <f t="shared" si="288"/>
        <v/>
      </c>
      <c r="AT372" s="417"/>
      <c r="AU372" s="417"/>
      <c r="AV372" s="13"/>
      <c r="AW372" s="746" t="str">
        <f t="shared" si="279"/>
        <v/>
      </c>
      <c r="AX372" s="746"/>
      <c r="AY372" s="464" t="str">
        <f t="shared" ref="AY372:BE372" si="289">IF(AY102="","",AY102)</f>
        <v/>
      </c>
      <c r="AZ372" s="464" t="str">
        <f t="shared" si="289"/>
        <v/>
      </c>
      <c r="BA372" s="464" t="str">
        <f t="shared" si="289"/>
        <v/>
      </c>
      <c r="BB372" s="464" t="str">
        <f t="shared" si="289"/>
        <v/>
      </c>
      <c r="BC372" s="464"/>
      <c r="BD372" s="464"/>
      <c r="BE372" s="917" t="str">
        <f t="shared" si="289"/>
        <v/>
      </c>
      <c r="BF372" s="917"/>
      <c r="BG372" s="13" t="s">
        <v>142</v>
      </c>
      <c r="BH372" s="884" t="str">
        <f t="shared" si="281"/>
        <v/>
      </c>
      <c r="BI372" s="884"/>
      <c r="BJ372" s="590"/>
      <c r="BO372" s="94"/>
      <c r="BP372" s="94"/>
      <c r="BQ372" s="94"/>
      <c r="BR372" s="94"/>
      <c r="BS372" s="94"/>
      <c r="BT372" s="94"/>
      <c r="BU372" s="94"/>
      <c r="BV372" s="94"/>
      <c r="BW372" s="94"/>
      <c r="BX372" s="94"/>
      <c r="BY372" s="94"/>
      <c r="BZ372" s="94"/>
      <c r="CA372" s="94"/>
      <c r="CB372" s="94"/>
      <c r="CC372" s="94"/>
      <c r="CD372" s="94"/>
      <c r="CE372" s="94"/>
      <c r="CF372" s="94"/>
      <c r="CG372" s="94"/>
      <c r="CH372" s="94"/>
      <c r="CI372" s="94"/>
      <c r="CJ372" s="94"/>
      <c r="CK372" s="94"/>
      <c r="CL372" s="94"/>
      <c r="CM372" s="94"/>
      <c r="CN372" s="94"/>
      <c r="CO372" s="94"/>
      <c r="CP372" s="94"/>
      <c r="CQ372" s="94"/>
      <c r="CR372" s="94"/>
      <c r="CS372" s="94"/>
      <c r="CT372" s="94"/>
      <c r="CU372" s="94"/>
      <c r="CV372" s="94"/>
      <c r="CW372" s="94"/>
      <c r="CX372" s="94"/>
      <c r="CY372" s="94"/>
      <c r="CZ372" s="94"/>
    </row>
    <row r="373" spans="1:178" ht="12.75" hidden="1">
      <c r="A373" s="74"/>
      <c r="B373" s="287" t="str">
        <f t="shared" si="270"/>
        <v/>
      </c>
      <c r="C373" s="9"/>
      <c r="D373" s="287" t="str">
        <f t="shared" si="271"/>
        <v/>
      </c>
      <c r="E373" s="274"/>
      <c r="F373" s="883" t="str">
        <f t="shared" si="272"/>
        <v/>
      </c>
      <c r="G373" s="883"/>
      <c r="H373" s="883"/>
      <c r="I373" s="883"/>
      <c r="J373" s="883"/>
      <c r="K373" s="883"/>
      <c r="L373" s="883"/>
      <c r="M373" s="883"/>
      <c r="N373" s="883"/>
      <c r="O373" s="883"/>
      <c r="P373" s="883"/>
      <c r="Q373" s="284"/>
      <c r="R373" s="915" t="str">
        <f t="shared" si="273"/>
        <v/>
      </c>
      <c r="S373" s="915"/>
      <c r="T373" s="915"/>
      <c r="U373" s="915"/>
      <c r="V373" s="289"/>
      <c r="W373" s="915" t="str">
        <f t="shared" si="274"/>
        <v/>
      </c>
      <c r="X373" s="915"/>
      <c r="Y373" s="915"/>
      <c r="Z373" s="915"/>
      <c r="AA373" s="915"/>
      <c r="AB373" s="915"/>
      <c r="AC373" s="289"/>
      <c r="AD373" s="886" t="str">
        <f t="shared" si="275"/>
        <v/>
      </c>
      <c r="AE373" s="886"/>
      <c r="AF373" s="886"/>
      <c r="AG373" s="886"/>
      <c r="AH373" s="9"/>
      <c r="AI373" s="287" t="str">
        <f t="shared" si="276"/>
        <v/>
      </c>
      <c r="AJ373" s="13" t="str">
        <f t="shared" si="276"/>
        <v/>
      </c>
      <c r="AK373" s="287" t="str">
        <f t="shared" si="277"/>
        <v/>
      </c>
      <c r="AL373" s="13" t="str">
        <f t="shared" si="277"/>
        <v/>
      </c>
      <c r="AM373" s="672"/>
      <c r="AN373" s="672"/>
      <c r="AO373" s="289"/>
      <c r="AP373" s="75" t="str">
        <f t="shared" ref="AP373:AS373" si="290">IF(AP103="","",AP103)</f>
        <v/>
      </c>
      <c r="AQ373" s="417" t="str">
        <f t="shared" si="290"/>
        <v/>
      </c>
      <c r="AR373" s="75" t="str">
        <f t="shared" si="290"/>
        <v/>
      </c>
      <c r="AS373" s="417" t="str">
        <f t="shared" si="290"/>
        <v/>
      </c>
      <c r="AT373" s="417"/>
      <c r="AU373" s="417"/>
      <c r="AV373" s="13"/>
      <c r="AW373" s="746" t="str">
        <f t="shared" si="279"/>
        <v/>
      </c>
      <c r="AX373" s="746"/>
      <c r="AY373" s="464" t="str">
        <f t="shared" ref="AY373:BE373" si="291">IF(AY103="","",AY103)</f>
        <v/>
      </c>
      <c r="AZ373" s="464" t="str">
        <f t="shared" si="291"/>
        <v/>
      </c>
      <c r="BA373" s="464" t="str">
        <f t="shared" si="291"/>
        <v/>
      </c>
      <c r="BB373" s="464" t="str">
        <f t="shared" si="291"/>
        <v/>
      </c>
      <c r="BC373" s="464"/>
      <c r="BD373" s="464"/>
      <c r="BE373" s="917" t="str">
        <f t="shared" si="291"/>
        <v/>
      </c>
      <c r="BF373" s="917"/>
      <c r="BG373" s="13" t="s">
        <v>142</v>
      </c>
      <c r="BH373" s="884" t="str">
        <f t="shared" si="281"/>
        <v/>
      </c>
      <c r="BI373" s="884"/>
      <c r="BJ373" s="590"/>
      <c r="BO373" s="94"/>
      <c r="BP373" s="94"/>
      <c r="BQ373" s="94"/>
      <c r="BR373" s="94"/>
      <c r="BS373" s="94"/>
      <c r="BT373" s="94"/>
      <c r="BU373" s="94"/>
      <c r="BV373" s="94"/>
      <c r="BW373" s="94"/>
      <c r="BX373" s="94"/>
      <c r="BY373" s="94"/>
      <c r="BZ373" s="94"/>
      <c r="CA373" s="94"/>
      <c r="CB373" s="94"/>
      <c r="CC373" s="94"/>
      <c r="CD373" s="94"/>
      <c r="CE373" s="94"/>
      <c r="CF373" s="94"/>
      <c r="CG373" s="94"/>
      <c r="CH373" s="94"/>
      <c r="CI373" s="94"/>
      <c r="CJ373" s="94"/>
      <c r="CK373" s="94"/>
      <c r="CL373" s="94"/>
      <c r="CM373" s="94"/>
      <c r="CN373" s="94"/>
      <c r="CO373" s="94"/>
      <c r="CP373" s="94"/>
      <c r="CQ373" s="94"/>
      <c r="CR373" s="94"/>
      <c r="CS373" s="94"/>
      <c r="CT373" s="94"/>
      <c r="CU373" s="94"/>
      <c r="CV373" s="94"/>
      <c r="CW373" s="94"/>
      <c r="CX373" s="94"/>
      <c r="CY373" s="94"/>
      <c r="CZ373" s="94"/>
    </row>
    <row r="374" spans="1:178" ht="12.75" hidden="1">
      <c r="A374" s="74"/>
      <c r="B374" s="287" t="str">
        <f t="shared" si="270"/>
        <v/>
      </c>
      <c r="C374" s="9"/>
      <c r="D374" s="287" t="str">
        <f t="shared" si="271"/>
        <v/>
      </c>
      <c r="E374" s="274"/>
      <c r="F374" s="883" t="str">
        <f t="shared" si="272"/>
        <v/>
      </c>
      <c r="G374" s="883"/>
      <c r="H374" s="883"/>
      <c r="I374" s="883"/>
      <c r="J374" s="883"/>
      <c r="K374" s="883"/>
      <c r="L374" s="883"/>
      <c r="M374" s="883"/>
      <c r="N374" s="883"/>
      <c r="O374" s="883"/>
      <c r="P374" s="883"/>
      <c r="Q374" s="284"/>
      <c r="R374" s="915" t="str">
        <f t="shared" si="273"/>
        <v/>
      </c>
      <c r="S374" s="915"/>
      <c r="T374" s="915"/>
      <c r="U374" s="915"/>
      <c r="V374" s="289"/>
      <c r="W374" s="915" t="str">
        <f t="shared" si="274"/>
        <v/>
      </c>
      <c r="X374" s="915"/>
      <c r="Y374" s="915"/>
      <c r="Z374" s="915"/>
      <c r="AA374" s="915"/>
      <c r="AB374" s="915"/>
      <c r="AC374" s="289"/>
      <c r="AD374" s="886" t="str">
        <f t="shared" si="275"/>
        <v/>
      </c>
      <c r="AE374" s="886"/>
      <c r="AF374" s="886"/>
      <c r="AG374" s="886"/>
      <c r="AH374" s="9"/>
      <c r="AI374" s="287" t="str">
        <f t="shared" si="276"/>
        <v/>
      </c>
      <c r="AJ374" s="13" t="str">
        <f t="shared" si="276"/>
        <v/>
      </c>
      <c r="AK374" s="287" t="str">
        <f t="shared" si="277"/>
        <v/>
      </c>
      <c r="AL374" s="13" t="str">
        <f t="shared" si="277"/>
        <v/>
      </c>
      <c r="AM374" s="672"/>
      <c r="AN374" s="672"/>
      <c r="AO374" s="289"/>
      <c r="AP374" s="75" t="str">
        <f t="shared" ref="AP374:AS374" si="292">IF(AP104="","",AP104)</f>
        <v/>
      </c>
      <c r="AQ374" s="417" t="str">
        <f t="shared" si="292"/>
        <v/>
      </c>
      <c r="AR374" s="75" t="str">
        <f t="shared" si="292"/>
        <v/>
      </c>
      <c r="AS374" s="417" t="str">
        <f t="shared" si="292"/>
        <v/>
      </c>
      <c r="AT374" s="417"/>
      <c r="AU374" s="417"/>
      <c r="AV374" s="13"/>
      <c r="AW374" s="746" t="str">
        <f t="shared" si="279"/>
        <v/>
      </c>
      <c r="AX374" s="746"/>
      <c r="AY374" s="464" t="str">
        <f t="shared" ref="AY374:BE374" si="293">IF(AY104="","",AY104)</f>
        <v/>
      </c>
      <c r="AZ374" s="464" t="str">
        <f t="shared" si="293"/>
        <v/>
      </c>
      <c r="BA374" s="464" t="str">
        <f t="shared" si="293"/>
        <v/>
      </c>
      <c r="BB374" s="464" t="str">
        <f t="shared" si="293"/>
        <v/>
      </c>
      <c r="BC374" s="464"/>
      <c r="BD374" s="464"/>
      <c r="BE374" s="917" t="str">
        <f t="shared" si="293"/>
        <v/>
      </c>
      <c r="BF374" s="917"/>
      <c r="BG374" s="13" t="s">
        <v>142</v>
      </c>
      <c r="BH374" s="884" t="str">
        <f t="shared" si="281"/>
        <v/>
      </c>
      <c r="BI374" s="884"/>
      <c r="BJ374" s="590"/>
      <c r="BO374" s="94"/>
      <c r="BP374" s="94"/>
      <c r="BQ374" s="94"/>
      <c r="BR374" s="94"/>
      <c r="BS374" s="94"/>
      <c r="BT374" s="94"/>
      <c r="BU374" s="94"/>
      <c r="BV374" s="94"/>
      <c r="BW374" s="94"/>
      <c r="BX374" s="94"/>
      <c r="BY374" s="94"/>
      <c r="BZ374" s="94"/>
      <c r="CA374" s="94"/>
      <c r="CB374" s="94"/>
      <c r="CC374" s="94"/>
      <c r="CD374" s="94"/>
      <c r="CE374" s="94"/>
      <c r="CF374" s="94"/>
      <c r="CG374" s="94"/>
      <c r="CH374" s="94"/>
      <c r="CI374" s="94"/>
      <c r="CJ374" s="94"/>
      <c r="CK374" s="94"/>
      <c r="CL374" s="94"/>
      <c r="CM374" s="94"/>
      <c r="CN374" s="94"/>
      <c r="CO374" s="94"/>
      <c r="CP374" s="94"/>
      <c r="CQ374" s="94"/>
      <c r="CR374" s="94"/>
      <c r="CS374" s="94"/>
      <c r="CT374" s="94"/>
      <c r="CU374" s="94"/>
      <c r="CV374" s="94"/>
      <c r="CW374" s="94"/>
      <c r="CX374" s="94"/>
      <c r="CY374" s="94"/>
      <c r="CZ374" s="94"/>
    </row>
    <row r="375" spans="1:178" ht="12.75" hidden="1">
      <c r="A375" s="74"/>
      <c r="B375" s="287" t="str">
        <f t="shared" si="270"/>
        <v/>
      </c>
      <c r="C375" s="9"/>
      <c r="D375" s="287" t="str">
        <f t="shared" si="271"/>
        <v/>
      </c>
      <c r="E375" s="274"/>
      <c r="F375" s="883" t="str">
        <f t="shared" si="272"/>
        <v/>
      </c>
      <c r="G375" s="883"/>
      <c r="H375" s="883"/>
      <c r="I375" s="883"/>
      <c r="J375" s="883"/>
      <c r="K375" s="883"/>
      <c r="L375" s="883"/>
      <c r="M375" s="883"/>
      <c r="N375" s="883"/>
      <c r="O375" s="883"/>
      <c r="P375" s="883"/>
      <c r="Q375" s="284"/>
      <c r="R375" s="915" t="str">
        <f t="shared" si="273"/>
        <v/>
      </c>
      <c r="S375" s="915"/>
      <c r="T375" s="915"/>
      <c r="U375" s="915"/>
      <c r="V375" s="289"/>
      <c r="W375" s="915" t="str">
        <f t="shared" si="274"/>
        <v/>
      </c>
      <c r="X375" s="915"/>
      <c r="Y375" s="915"/>
      <c r="Z375" s="915"/>
      <c r="AA375" s="915"/>
      <c r="AB375" s="915"/>
      <c r="AC375" s="289"/>
      <c r="AD375" s="886" t="str">
        <f t="shared" si="275"/>
        <v/>
      </c>
      <c r="AE375" s="886"/>
      <c r="AF375" s="886"/>
      <c r="AG375" s="886"/>
      <c r="AH375" s="9"/>
      <c r="AI375" s="287" t="str">
        <f t="shared" si="276"/>
        <v/>
      </c>
      <c r="AJ375" s="13" t="str">
        <f t="shared" si="276"/>
        <v/>
      </c>
      <c r="AK375" s="287" t="str">
        <f t="shared" si="277"/>
        <v/>
      </c>
      <c r="AL375" s="13" t="str">
        <f t="shared" si="277"/>
        <v/>
      </c>
      <c r="AM375" s="672"/>
      <c r="AN375" s="672"/>
      <c r="AO375" s="289"/>
      <c r="AP375" s="75" t="str">
        <f t="shared" ref="AP375:AS375" si="294">IF(AP105="","",AP105)</f>
        <v/>
      </c>
      <c r="AQ375" s="417" t="str">
        <f t="shared" si="294"/>
        <v/>
      </c>
      <c r="AR375" s="75" t="str">
        <f t="shared" si="294"/>
        <v/>
      </c>
      <c r="AS375" s="417" t="str">
        <f t="shared" si="294"/>
        <v/>
      </c>
      <c r="AT375" s="417"/>
      <c r="AU375" s="417"/>
      <c r="AV375" s="13"/>
      <c r="AW375" s="746" t="str">
        <f t="shared" si="279"/>
        <v/>
      </c>
      <c r="AX375" s="746"/>
      <c r="AY375" s="464" t="str">
        <f t="shared" ref="AY375:BE375" si="295">IF(AY105="","",AY105)</f>
        <v/>
      </c>
      <c r="AZ375" s="464" t="str">
        <f t="shared" si="295"/>
        <v/>
      </c>
      <c r="BA375" s="464" t="str">
        <f t="shared" si="295"/>
        <v/>
      </c>
      <c r="BB375" s="464" t="str">
        <f t="shared" si="295"/>
        <v/>
      </c>
      <c r="BC375" s="464"/>
      <c r="BD375" s="464"/>
      <c r="BE375" s="917" t="str">
        <f t="shared" si="295"/>
        <v/>
      </c>
      <c r="BF375" s="917"/>
      <c r="BG375" s="13" t="s">
        <v>142</v>
      </c>
      <c r="BH375" s="884" t="str">
        <f t="shared" si="281"/>
        <v/>
      </c>
      <c r="BI375" s="884"/>
      <c r="BJ375" s="590"/>
      <c r="BO375" s="94"/>
      <c r="BP375" s="94"/>
      <c r="BQ375" s="94"/>
      <c r="BR375" s="94"/>
      <c r="BS375" s="94"/>
      <c r="BT375" s="94"/>
      <c r="BU375" s="94"/>
      <c r="BV375" s="94"/>
      <c r="BW375" s="94"/>
      <c r="BX375" s="94"/>
      <c r="BY375" s="94"/>
      <c r="BZ375" s="94"/>
      <c r="CA375" s="94"/>
      <c r="CB375" s="94"/>
      <c r="CC375" s="94"/>
      <c r="CD375" s="94"/>
      <c r="CE375" s="94"/>
      <c r="CF375" s="94"/>
      <c r="CG375" s="94"/>
      <c r="CH375" s="94"/>
      <c r="CI375" s="94"/>
      <c r="CJ375" s="94"/>
      <c r="CK375" s="94"/>
      <c r="CL375" s="94"/>
      <c r="CM375" s="94"/>
      <c r="CN375" s="94"/>
      <c r="CO375" s="94"/>
      <c r="CP375" s="94"/>
      <c r="CQ375" s="94"/>
      <c r="CR375" s="94"/>
      <c r="CS375" s="94"/>
      <c r="CT375" s="94"/>
      <c r="CU375" s="94"/>
      <c r="CV375" s="94"/>
      <c r="CW375" s="94"/>
      <c r="CX375" s="94"/>
      <c r="CY375" s="94"/>
      <c r="CZ375" s="94"/>
    </row>
    <row r="376" spans="1:178" ht="12.75" hidden="1">
      <c r="A376" s="74"/>
      <c r="B376" s="287" t="str">
        <f t="shared" si="270"/>
        <v/>
      </c>
      <c r="C376" s="9"/>
      <c r="D376" s="287" t="str">
        <f t="shared" si="271"/>
        <v/>
      </c>
      <c r="E376" s="274"/>
      <c r="F376" s="883" t="str">
        <f t="shared" si="272"/>
        <v/>
      </c>
      <c r="G376" s="883"/>
      <c r="H376" s="883"/>
      <c r="I376" s="883"/>
      <c r="J376" s="883"/>
      <c r="K376" s="883"/>
      <c r="L376" s="883"/>
      <c r="M376" s="883"/>
      <c r="N376" s="883"/>
      <c r="O376" s="883"/>
      <c r="P376" s="883"/>
      <c r="Q376" s="284"/>
      <c r="R376" s="915" t="str">
        <f t="shared" si="273"/>
        <v/>
      </c>
      <c r="S376" s="915"/>
      <c r="T376" s="915"/>
      <c r="U376" s="915"/>
      <c r="V376" s="289"/>
      <c r="W376" s="915" t="str">
        <f t="shared" si="274"/>
        <v/>
      </c>
      <c r="X376" s="915"/>
      <c r="Y376" s="915"/>
      <c r="Z376" s="915"/>
      <c r="AA376" s="915"/>
      <c r="AB376" s="915"/>
      <c r="AC376" s="289"/>
      <c r="AD376" s="886" t="str">
        <f t="shared" si="275"/>
        <v/>
      </c>
      <c r="AE376" s="886"/>
      <c r="AF376" s="886"/>
      <c r="AG376" s="886"/>
      <c r="AH376" s="9"/>
      <c r="AI376" s="287" t="str">
        <f t="shared" si="276"/>
        <v/>
      </c>
      <c r="AJ376" s="13" t="str">
        <f t="shared" si="276"/>
        <v/>
      </c>
      <c r="AK376" s="287" t="str">
        <f t="shared" si="277"/>
        <v/>
      </c>
      <c r="AL376" s="13" t="str">
        <f t="shared" si="277"/>
        <v/>
      </c>
      <c r="AM376" s="672"/>
      <c r="AN376" s="672"/>
      <c r="AO376" s="289"/>
      <c r="AP376" s="75" t="str">
        <f t="shared" ref="AP376:AS376" si="296">IF(AP106="","",AP106)</f>
        <v/>
      </c>
      <c r="AQ376" s="417" t="str">
        <f t="shared" si="296"/>
        <v/>
      </c>
      <c r="AR376" s="75" t="str">
        <f t="shared" si="296"/>
        <v/>
      </c>
      <c r="AS376" s="417" t="str">
        <f t="shared" si="296"/>
        <v/>
      </c>
      <c r="AT376" s="417"/>
      <c r="AU376" s="417"/>
      <c r="AV376" s="13"/>
      <c r="AW376" s="746" t="str">
        <f t="shared" si="279"/>
        <v/>
      </c>
      <c r="AX376" s="746"/>
      <c r="AY376" s="464" t="str">
        <f t="shared" ref="AY376:BE376" si="297">IF(AY106="","",AY106)</f>
        <v/>
      </c>
      <c r="AZ376" s="464" t="str">
        <f t="shared" si="297"/>
        <v/>
      </c>
      <c r="BA376" s="464" t="str">
        <f t="shared" si="297"/>
        <v/>
      </c>
      <c r="BB376" s="464" t="str">
        <f t="shared" si="297"/>
        <v/>
      </c>
      <c r="BC376" s="464"/>
      <c r="BD376" s="464"/>
      <c r="BE376" s="917" t="str">
        <f t="shared" si="297"/>
        <v/>
      </c>
      <c r="BF376" s="917"/>
      <c r="BG376" s="13" t="s">
        <v>142</v>
      </c>
      <c r="BH376" s="884" t="str">
        <f t="shared" si="281"/>
        <v/>
      </c>
      <c r="BI376" s="884"/>
      <c r="BJ376" s="590"/>
      <c r="BO376" s="102"/>
      <c r="BP376" s="102"/>
      <c r="BQ376" s="102"/>
      <c r="BR376" s="102"/>
      <c r="BS376" s="102"/>
      <c r="BT376" s="102"/>
      <c r="BU376" s="102"/>
      <c r="BV376" s="102"/>
      <c r="BW376" s="102"/>
      <c r="BX376" s="102"/>
      <c r="BY376" s="94"/>
      <c r="BZ376" s="94"/>
      <c r="CA376" s="94"/>
      <c r="CB376" s="94"/>
      <c r="CC376" s="94"/>
      <c r="CD376" s="94"/>
      <c r="CE376" s="94"/>
      <c r="CF376" s="94"/>
      <c r="CG376" s="94"/>
      <c r="CH376" s="94"/>
      <c r="CI376" s="94"/>
      <c r="CJ376" s="94"/>
      <c r="CK376" s="94"/>
      <c r="CL376" s="94"/>
      <c r="CM376" s="94"/>
      <c r="CN376" s="94"/>
      <c r="CO376" s="94"/>
      <c r="CP376" s="94"/>
      <c r="CQ376" s="94"/>
      <c r="CR376" s="94"/>
      <c r="CS376" s="94"/>
      <c r="CT376" s="94"/>
      <c r="CU376" s="94"/>
      <c r="CV376" s="94"/>
      <c r="CW376" s="94"/>
      <c r="CX376" s="94"/>
      <c r="CY376" s="94"/>
      <c r="CZ376" s="94"/>
    </row>
    <row r="377" spans="1:178" ht="12.75" customHeight="1" thickBot="1">
      <c r="A377" s="76"/>
      <c r="B377" s="275"/>
      <c r="C377" s="275"/>
      <c r="D377" s="275"/>
      <c r="E377" s="275"/>
      <c r="F377" s="276"/>
      <c r="G377" s="276"/>
      <c r="H377" s="276"/>
      <c r="I377" s="276"/>
      <c r="J377" s="276"/>
      <c r="K377" s="276"/>
      <c r="L377" s="276"/>
      <c r="M377" s="276"/>
      <c r="N377" s="276"/>
      <c r="O377" s="276"/>
      <c r="P377" s="276"/>
      <c r="Q377" s="276"/>
      <c r="R377" s="276"/>
      <c r="S377" s="276"/>
      <c r="T377" s="276"/>
      <c r="U377" s="275"/>
      <c r="V377" s="275"/>
      <c r="W377" s="276"/>
      <c r="X377" s="276"/>
      <c r="Y377" s="276"/>
      <c r="Z377" s="276"/>
      <c r="AA377" s="276"/>
      <c r="AB377" s="275"/>
      <c r="AC377" s="275"/>
      <c r="AD377" s="275"/>
      <c r="AE377" s="275"/>
      <c r="AF377" s="275"/>
      <c r="AG377" s="275"/>
      <c r="AH377" s="275"/>
      <c r="AI377" s="275"/>
      <c r="AJ377" s="275"/>
      <c r="AK377" s="275"/>
      <c r="AL377" s="275"/>
      <c r="AM377" s="275"/>
      <c r="AN377" s="275"/>
      <c r="AO377" s="275"/>
      <c r="AP377" s="275"/>
      <c r="AQ377" s="275"/>
      <c r="AR377" s="275"/>
      <c r="AS377" s="275"/>
      <c r="AT377" s="275"/>
      <c r="AU377" s="275"/>
      <c r="AV377" s="275"/>
      <c r="AW377" s="275"/>
      <c r="AX377" s="275"/>
      <c r="AY377" s="275"/>
      <c r="AZ377" s="275"/>
      <c r="BA377" s="275"/>
      <c r="BB377" s="275"/>
      <c r="BC377" s="275"/>
      <c r="BD377" s="275"/>
      <c r="BE377" s="275"/>
      <c r="BF377" s="275"/>
      <c r="BG377" s="276"/>
      <c r="BH377" s="276"/>
      <c r="BI377" s="275"/>
      <c r="BJ377" s="78"/>
      <c r="BO377" s="94"/>
      <c r="BP377" s="94"/>
      <c r="BQ377" s="94"/>
      <c r="BR377" s="94"/>
      <c r="BS377" s="94"/>
      <c r="BT377" s="94"/>
      <c r="BU377" s="94"/>
      <c r="BV377" s="94"/>
      <c r="BW377" s="94"/>
      <c r="BX377" s="94"/>
      <c r="BY377" s="94"/>
      <c r="BZ377" s="94"/>
      <c r="CA377" s="94"/>
      <c r="CB377" s="94"/>
      <c r="CC377" s="94"/>
      <c r="CD377" s="94"/>
      <c r="CE377" s="94"/>
      <c r="CF377" s="94"/>
      <c r="CG377" s="94"/>
      <c r="CH377" s="94"/>
      <c r="CI377" s="94"/>
      <c r="CJ377" s="94"/>
      <c r="CK377" s="94"/>
      <c r="CL377" s="94"/>
      <c r="CM377" s="94"/>
      <c r="CN377" s="94"/>
      <c r="CO377" s="94"/>
      <c r="CP377" s="94"/>
      <c r="CQ377" s="94"/>
      <c r="CR377" s="94"/>
      <c r="CS377" s="94"/>
      <c r="CT377" s="94"/>
      <c r="CU377" s="94"/>
      <c r="CV377" s="94"/>
      <c r="CW377" s="94"/>
      <c r="CX377" s="94"/>
      <c r="CY377" s="94"/>
      <c r="CZ377" s="94"/>
    </row>
    <row r="378" spans="1:178" ht="12.75">
      <c r="B378" s="3"/>
      <c r="C378" s="3"/>
      <c r="D378" s="9"/>
      <c r="E378" s="9"/>
      <c r="F378" s="9"/>
      <c r="G378" s="9"/>
      <c r="H378" s="9"/>
      <c r="I378" s="9"/>
      <c r="J378" s="9"/>
      <c r="K378" s="9"/>
      <c r="L378" s="9"/>
      <c r="M378" s="9"/>
      <c r="N378" s="9"/>
      <c r="O378" s="9"/>
      <c r="P378" s="9"/>
      <c r="Q378" s="9"/>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79" t="s">
        <v>2751</v>
      </c>
      <c r="BG378" s="13" t="s">
        <v>142</v>
      </c>
      <c r="BH378" s="884" t="str">
        <f>IF(BH108="","",BH108)</f>
        <v/>
      </c>
      <c r="BI378" s="884"/>
      <c r="BO378" s="94"/>
      <c r="BP378" s="94"/>
      <c r="BQ378" s="94"/>
      <c r="BR378" s="94"/>
      <c r="BS378" s="94"/>
      <c r="BT378" s="94"/>
      <c r="BU378" s="94"/>
      <c r="BV378" s="94"/>
      <c r="BW378" s="94"/>
      <c r="BX378" s="94"/>
      <c r="BY378" s="94"/>
      <c r="BZ378" s="94"/>
      <c r="CA378" s="94"/>
      <c r="CB378" s="94"/>
      <c r="CC378" s="94"/>
      <c r="CD378" s="94"/>
      <c r="CE378" s="94"/>
      <c r="CF378" s="94"/>
      <c r="CG378" s="94"/>
      <c r="CH378" s="94"/>
      <c r="CI378" s="94"/>
      <c r="CJ378" s="94"/>
      <c r="CK378" s="94"/>
      <c r="CL378" s="94"/>
      <c r="CM378" s="94"/>
      <c r="CN378" s="94"/>
      <c r="CO378" s="94"/>
      <c r="CP378" s="94"/>
      <c r="CQ378" s="94"/>
      <c r="CR378" s="94"/>
      <c r="CS378" s="94"/>
      <c r="CT378" s="94"/>
      <c r="CU378" s="94"/>
      <c r="CV378" s="94"/>
      <c r="CW378" s="94"/>
      <c r="CX378" s="94"/>
      <c r="CY378" s="94"/>
      <c r="CZ378" s="94"/>
    </row>
    <row r="379" spans="1:178" ht="16.5" hidden="1" thickBot="1">
      <c r="A379" s="80" t="str">
        <f>A109</f>
        <v>A2- Efficient VRF Units* - HIDE ROWS. KEEPING IN CASE WE NEED TO ADD BACK IN.</v>
      </c>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280"/>
      <c r="BH379" s="20"/>
      <c r="BO379" s="94"/>
      <c r="BP379" s="94"/>
      <c r="BQ379" s="94"/>
      <c r="BR379" s="94"/>
      <c r="BS379" s="94"/>
      <c r="BT379" s="94"/>
      <c r="BU379" s="94"/>
      <c r="BV379" s="94"/>
      <c r="BW379" s="94"/>
      <c r="BX379" s="94"/>
      <c r="BY379" s="94"/>
      <c r="BZ379" s="94"/>
      <c r="CA379" s="94"/>
      <c r="CB379" s="94"/>
      <c r="CC379" s="94"/>
      <c r="CD379" s="94"/>
      <c r="CE379" s="94"/>
      <c r="CF379" s="94"/>
      <c r="CG379" s="94"/>
      <c r="CH379" s="94"/>
      <c r="CI379" s="94"/>
      <c r="CJ379" s="94"/>
      <c r="CK379" s="94"/>
      <c r="CL379" s="94"/>
      <c r="CM379" s="94"/>
      <c r="CN379" s="94"/>
      <c r="CO379" s="94"/>
      <c r="CP379" s="94"/>
      <c r="CQ379" s="94"/>
      <c r="CR379" s="94"/>
      <c r="CS379" s="94"/>
      <c r="CT379" s="94"/>
      <c r="CU379" s="94"/>
      <c r="CV379" s="94"/>
      <c r="CW379" s="94"/>
      <c r="CX379" s="94"/>
      <c r="CY379" s="94"/>
      <c r="CZ379" s="94"/>
    </row>
    <row r="380" spans="1:178" s="22" customFormat="1" ht="12.75" hidden="1" customHeight="1">
      <c r="A380" s="588"/>
      <c r="B380" s="573"/>
      <c r="C380" s="573"/>
      <c r="D380" s="573"/>
      <c r="E380" s="573"/>
      <c r="F380" s="573"/>
      <c r="G380" s="573"/>
      <c r="H380" s="573"/>
      <c r="I380" s="573"/>
      <c r="J380" s="573"/>
      <c r="K380" s="573"/>
      <c r="L380" s="573"/>
      <c r="M380" s="573"/>
      <c r="N380" s="573"/>
      <c r="O380" s="573"/>
      <c r="P380" s="573"/>
      <c r="Q380" s="573"/>
      <c r="R380" s="573"/>
      <c r="S380" s="573"/>
      <c r="T380" s="573"/>
      <c r="U380" s="573"/>
      <c r="V380" s="573"/>
      <c r="W380" s="573"/>
      <c r="X380" s="573"/>
      <c r="Y380" s="573"/>
      <c r="Z380" s="573"/>
      <c r="AA380" s="573"/>
      <c r="AB380" s="573"/>
      <c r="AC380" s="573"/>
      <c r="AD380" s="573"/>
      <c r="AE380" s="573"/>
      <c r="AF380" s="573"/>
      <c r="AG380" s="573"/>
      <c r="AH380" s="573"/>
      <c r="AI380" s="573"/>
      <c r="AJ380" s="573"/>
      <c r="AK380" s="573"/>
      <c r="AL380" s="573"/>
      <c r="AM380" s="674"/>
      <c r="AN380" s="674"/>
      <c r="AO380" s="573"/>
      <c r="AP380" s="887" t="s">
        <v>2655</v>
      </c>
      <c r="AQ380" s="887"/>
      <c r="AR380" s="887"/>
      <c r="AS380" s="887"/>
      <c r="AT380" s="887"/>
      <c r="AU380" s="887"/>
      <c r="AV380" s="887"/>
      <c r="AW380" s="887"/>
      <c r="AX380" s="887"/>
      <c r="AY380" s="887"/>
      <c r="AZ380" s="887"/>
      <c r="BA380" s="887"/>
      <c r="BB380" s="887"/>
      <c r="BC380" s="887"/>
      <c r="BD380" s="887"/>
      <c r="BE380" s="887"/>
      <c r="BF380" s="887"/>
      <c r="BH380" s="888" t="str">
        <f>IF(BG110="","",BG110)</f>
        <v>Incentive
(tons x $35, $50, $55, $85, or $100)</v>
      </c>
      <c r="BI380" s="888"/>
      <c r="BJ380" s="267"/>
      <c r="BK380" s="1"/>
      <c r="BL380" s="1"/>
      <c r="BM380" s="1"/>
      <c r="BN380" s="1"/>
      <c r="BO380" s="94"/>
      <c r="BP380" s="94"/>
      <c r="BQ380" s="94"/>
      <c r="BR380" s="94"/>
      <c r="BS380" s="94"/>
      <c r="BT380" s="94"/>
      <c r="BU380" s="94"/>
      <c r="BV380" s="94"/>
      <c r="BW380" s="94"/>
      <c r="BX380" s="94"/>
      <c r="BY380" s="102"/>
      <c r="BZ380" s="102"/>
      <c r="CA380" s="102"/>
      <c r="CB380" s="102"/>
      <c r="CC380" s="102"/>
      <c r="CD380" s="102"/>
      <c r="CE380" s="102"/>
      <c r="CF380" s="102"/>
      <c r="CG380" s="102"/>
      <c r="CH380" s="102"/>
      <c r="CI380" s="102"/>
      <c r="CJ380" s="102"/>
      <c r="CK380" s="102"/>
      <c r="CL380" s="102"/>
      <c r="CM380" s="102"/>
      <c r="CN380" s="102"/>
      <c r="CO380" s="102"/>
      <c r="CP380" s="102"/>
      <c r="CQ380" s="102"/>
      <c r="CR380" s="102"/>
      <c r="CS380" s="102"/>
      <c r="CT380" s="102"/>
      <c r="CU380" s="102"/>
      <c r="CV380" s="102"/>
      <c r="CW380" s="102"/>
      <c r="CX380" s="102"/>
      <c r="CY380" s="102"/>
      <c r="CZ380" s="102"/>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row>
    <row r="381" spans="1:178" s="22" customFormat="1" ht="12.75" hidden="1" customHeight="1">
      <c r="A381" s="69"/>
      <c r="B381" s="284"/>
      <c r="C381" s="70"/>
      <c r="D381" s="284"/>
      <c r="E381" s="284"/>
      <c r="F381" s="285"/>
      <c r="G381" s="285"/>
      <c r="H381" s="285"/>
      <c r="I381" s="285"/>
      <c r="J381" s="285"/>
      <c r="K381" s="285"/>
      <c r="L381" s="285"/>
      <c r="M381" s="285"/>
      <c r="N381" s="285"/>
      <c r="O381" s="285"/>
      <c r="P381" s="285"/>
      <c r="Q381" s="284"/>
      <c r="R381" s="781" t="s">
        <v>2714</v>
      </c>
      <c r="S381" s="781"/>
      <c r="T381" s="781"/>
      <c r="U381" s="781"/>
      <c r="V381" s="289"/>
      <c r="W381" s="781" t="s">
        <v>2733</v>
      </c>
      <c r="X381" s="781"/>
      <c r="Y381" s="781"/>
      <c r="Z381" s="781"/>
      <c r="AA381" s="781"/>
      <c r="AB381" s="781"/>
      <c r="AC381" s="289"/>
      <c r="AD381" s="289"/>
      <c r="AE381" s="289"/>
      <c r="AF381" s="289"/>
      <c r="AG381" s="289"/>
      <c r="AH381" s="289"/>
      <c r="AI381" s="71" t="s">
        <v>2715</v>
      </c>
      <c r="AJ381" s="289"/>
      <c r="AK381" s="72" t="s">
        <v>2752</v>
      </c>
      <c r="AL381" s="289"/>
      <c r="AM381" s="289"/>
      <c r="AN381" s="289"/>
      <c r="AO381" s="284"/>
      <c r="AP381" s="880" t="str">
        <f>IF(AP111="","",AP111)</f>
        <v>Tier 1</v>
      </c>
      <c r="AQ381" s="880" t="str">
        <f t="shared" ref="AQ381:AX381" si="298">IF(AQ111="","",AQ111)</f>
        <v/>
      </c>
      <c r="AR381" s="880" t="str">
        <f t="shared" si="298"/>
        <v/>
      </c>
      <c r="AS381" s="880" t="str">
        <f t="shared" si="298"/>
        <v/>
      </c>
      <c r="AT381" s="880"/>
      <c r="AU381" s="880"/>
      <c r="AV381" s="880" t="str">
        <f t="shared" si="298"/>
        <v/>
      </c>
      <c r="AW381" s="880" t="str">
        <f t="shared" si="298"/>
        <v/>
      </c>
      <c r="AX381" s="880" t="str">
        <f t="shared" si="298"/>
        <v/>
      </c>
      <c r="AY381" s="880" t="str">
        <f>IF(AY111="","",AY111)</f>
        <v>Tier 2</v>
      </c>
      <c r="AZ381" s="880" t="str">
        <f t="shared" ref="AZ381:BG381" si="299">IF(AZ111="","",AZ111)</f>
        <v/>
      </c>
      <c r="BA381" s="880" t="str">
        <f t="shared" si="299"/>
        <v/>
      </c>
      <c r="BB381" s="880" t="str">
        <f t="shared" si="299"/>
        <v/>
      </c>
      <c r="BC381" s="880"/>
      <c r="BD381" s="880"/>
      <c r="BE381" s="880" t="str">
        <f t="shared" si="299"/>
        <v/>
      </c>
      <c r="BF381" s="880" t="str">
        <f t="shared" si="299"/>
        <v/>
      </c>
      <c r="BG381" s="880" t="str">
        <f t="shared" si="299"/>
        <v/>
      </c>
      <c r="BH381" s="736"/>
      <c r="BI381" s="736"/>
      <c r="BJ381" s="73"/>
      <c r="BK381" s="1"/>
      <c r="BL381" s="1"/>
      <c r="BM381" s="1"/>
      <c r="BN381" s="1"/>
      <c r="BO381" s="94"/>
      <c r="BP381" s="94"/>
      <c r="BQ381" s="94"/>
      <c r="BR381" s="94"/>
      <c r="BS381" s="94"/>
      <c r="BT381" s="94"/>
      <c r="BU381" s="94"/>
      <c r="BV381" s="94"/>
      <c r="BW381" s="94"/>
      <c r="BX381" s="94"/>
      <c r="BY381" s="102"/>
      <c r="BZ381" s="102"/>
      <c r="CA381" s="102"/>
      <c r="CB381" s="102"/>
      <c r="CC381" s="102"/>
      <c r="CD381" s="102"/>
      <c r="CE381" s="102"/>
      <c r="CF381" s="102"/>
      <c r="CG381" s="102"/>
      <c r="CH381" s="102"/>
      <c r="CI381" s="102"/>
      <c r="CJ381" s="102"/>
      <c r="CK381" s="102"/>
      <c r="CL381" s="102"/>
      <c r="CM381" s="102"/>
      <c r="CN381" s="102"/>
      <c r="CO381" s="102"/>
      <c r="CP381" s="102"/>
      <c r="CQ381" s="102"/>
      <c r="CR381" s="102"/>
      <c r="CS381" s="102"/>
      <c r="CT381" s="102"/>
      <c r="CU381" s="102"/>
      <c r="CV381" s="102"/>
      <c r="CW381" s="102"/>
      <c r="CX381" s="102"/>
      <c r="CY381" s="102"/>
      <c r="CZ381" s="102"/>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row>
    <row r="382" spans="1:178" s="22" customFormat="1" ht="38.1" hidden="1" customHeight="1">
      <c r="A382" s="69"/>
      <c r="B382" s="246" t="s">
        <v>2661</v>
      </c>
      <c r="C382" s="412"/>
      <c r="D382" s="246" t="s">
        <v>2662</v>
      </c>
      <c r="E382" s="246"/>
      <c r="F382" s="246" t="s">
        <v>2717</v>
      </c>
      <c r="G382" s="246"/>
      <c r="H382" s="246"/>
      <c r="I382" s="246"/>
      <c r="J382" s="246"/>
      <c r="K382" s="285"/>
      <c r="L382" s="285"/>
      <c r="M382" s="285"/>
      <c r="N382" s="285"/>
      <c r="O382" s="285"/>
      <c r="P382" s="285"/>
      <c r="Q382" s="284"/>
      <c r="R382" s="781"/>
      <c r="S382" s="781"/>
      <c r="T382" s="781"/>
      <c r="U382" s="781"/>
      <c r="V382" s="289"/>
      <c r="W382" s="781"/>
      <c r="X382" s="781"/>
      <c r="Y382" s="781"/>
      <c r="Z382" s="781"/>
      <c r="AA382" s="781"/>
      <c r="AB382" s="781"/>
      <c r="AC382" s="289"/>
      <c r="AD382" s="285" t="s">
        <v>2664</v>
      </c>
      <c r="AE382" s="289"/>
      <c r="AF382" s="285"/>
      <c r="AG382" s="285"/>
      <c r="AH382" s="71"/>
      <c r="AI382" s="284" t="s">
        <v>2665</v>
      </c>
      <c r="AJ382" s="289"/>
      <c r="AK382" s="284" t="s">
        <v>2665</v>
      </c>
      <c r="AL382" s="289"/>
      <c r="AM382" s="289"/>
      <c r="AN382" s="289"/>
      <c r="AO382" s="289"/>
      <c r="AP382" s="879" t="str">
        <f>IF(AP112="","",AP112)</f>
        <v>Air Cooled AC VRF ($35/ton)
Air Cooled HP VRF ($50/ton)*
Water Cooled HP VRF ($100/ton)*</v>
      </c>
      <c r="AQ382" s="863"/>
      <c r="AR382" s="863"/>
      <c r="AS382" s="863"/>
      <c r="AT382" s="863"/>
      <c r="AU382" s="863"/>
      <c r="AV382" s="863"/>
      <c r="AW382" s="863"/>
      <c r="AX382" s="246"/>
      <c r="AY382" s="879" t="str">
        <f>IF(AY112="","",AY112)</f>
        <v>Air Cooled AC VRF ($55/ton)
Air Cooled HP VRF ($85/ton)*</v>
      </c>
      <c r="AZ382" s="863"/>
      <c r="BA382" s="863"/>
      <c r="BB382" s="863"/>
      <c r="BC382" s="863"/>
      <c r="BD382" s="863"/>
      <c r="BE382" s="863"/>
      <c r="BF382" s="863"/>
      <c r="BG382" s="246"/>
      <c r="BH382" s="736"/>
      <c r="BI382" s="736"/>
      <c r="BJ382" s="73"/>
      <c r="BK382" s="1"/>
      <c r="BL382" s="1"/>
      <c r="BM382" s="1"/>
      <c r="BN382" s="1"/>
      <c r="BO382" s="102"/>
      <c r="BP382" s="102"/>
      <c r="BQ382" s="102"/>
      <c r="BR382" s="102"/>
      <c r="BS382" s="102"/>
      <c r="BT382" s="102"/>
      <c r="BU382" s="102"/>
      <c r="BV382" s="102"/>
      <c r="BW382" s="102"/>
      <c r="BX382" s="102"/>
      <c r="BY382" s="102"/>
      <c r="BZ382" s="102"/>
      <c r="CA382" s="102"/>
      <c r="CB382" s="102"/>
      <c r="CC382" s="102"/>
      <c r="CD382" s="102"/>
      <c r="CE382" s="102"/>
      <c r="CF382" s="102"/>
      <c r="CG382" s="102"/>
      <c r="CH382" s="102"/>
      <c r="CI382" s="102"/>
      <c r="CJ382" s="102"/>
      <c r="CK382" s="102"/>
      <c r="CL382" s="102"/>
      <c r="CM382" s="102"/>
      <c r="CN382" s="102"/>
      <c r="CO382" s="102"/>
      <c r="CP382" s="102"/>
      <c r="CQ382" s="102"/>
      <c r="CR382" s="102"/>
      <c r="CS382" s="102"/>
      <c r="CT382" s="102"/>
      <c r="CU382" s="102"/>
      <c r="CV382" s="102"/>
      <c r="CW382" s="102"/>
      <c r="CX382" s="102"/>
      <c r="CY382" s="102"/>
      <c r="CZ382" s="102"/>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row>
    <row r="383" spans="1:178" ht="12.75" hidden="1" customHeight="1">
      <c r="A383" s="74"/>
      <c r="B383" s="287" t="str">
        <f>IF(B113="","",B113)</f>
        <v/>
      </c>
      <c r="C383" s="9"/>
      <c r="D383" s="287" t="str">
        <f>IF(D113="","",D113)</f>
        <v/>
      </c>
      <c r="E383" s="274"/>
      <c r="F383" s="883" t="str">
        <f>IF(F113="","",F113)</f>
        <v/>
      </c>
      <c r="G383" s="883"/>
      <c r="H383" s="883"/>
      <c r="I383" s="883"/>
      <c r="J383" s="883"/>
      <c r="K383" s="883"/>
      <c r="L383" s="883"/>
      <c r="M383" s="883"/>
      <c r="N383" s="883"/>
      <c r="O383" s="883"/>
      <c r="P383" s="883"/>
      <c r="Q383" s="284"/>
      <c r="R383" s="915" t="str">
        <f>IF(R113="","",R113)</f>
        <v/>
      </c>
      <c r="S383" s="915"/>
      <c r="T383" s="915"/>
      <c r="U383" s="915"/>
      <c r="V383" s="289"/>
      <c r="W383" s="915" t="str">
        <f>IF(W113="","",W113)</f>
        <v/>
      </c>
      <c r="X383" s="915"/>
      <c r="Y383" s="915"/>
      <c r="Z383" s="915"/>
      <c r="AA383" s="915"/>
      <c r="AB383" s="915"/>
      <c r="AC383" s="289"/>
      <c r="AD383" s="886" t="str">
        <f>IF(AD113="","",AD113)</f>
        <v/>
      </c>
      <c r="AE383" s="886"/>
      <c r="AF383" s="886"/>
      <c r="AG383" s="886"/>
      <c r="AH383" s="9"/>
      <c r="AI383" s="287" t="str">
        <f t="shared" ref="AI383:AL387" si="300">IF(AI113="","",AI113)</f>
        <v/>
      </c>
      <c r="AJ383" s="13" t="str">
        <f t="shared" si="300"/>
        <v/>
      </c>
      <c r="AK383" s="288" t="str">
        <f t="shared" si="300"/>
        <v/>
      </c>
      <c r="AL383" s="13" t="str">
        <f t="shared" si="300"/>
        <v/>
      </c>
      <c r="AM383" s="672"/>
      <c r="AN383" s="672"/>
      <c r="AO383" s="289"/>
      <c r="AP383" s="75" t="str">
        <f t="shared" ref="AP383:AS383" si="301">IF(AP113="","",AP113)</f>
        <v/>
      </c>
      <c r="AQ383" s="13" t="str">
        <f t="shared" si="301"/>
        <v/>
      </c>
      <c r="AR383" s="75" t="str">
        <f t="shared" si="301"/>
        <v/>
      </c>
      <c r="AS383" s="13" t="str">
        <f t="shared" si="301"/>
        <v/>
      </c>
      <c r="AT383" s="672"/>
      <c r="AU383" s="672"/>
      <c r="AV383" s="13"/>
      <c r="AW383" s="746" t="str">
        <f t="shared" ref="AW383:BE387" si="302">IF(AW113="","",AW113)</f>
        <v/>
      </c>
      <c r="AX383" s="746"/>
      <c r="AY383" s="75" t="str">
        <f t="shared" si="302"/>
        <v/>
      </c>
      <c r="AZ383" s="13" t="str">
        <f t="shared" si="302"/>
        <v/>
      </c>
      <c r="BA383" s="75" t="str">
        <f t="shared" ref="BA383:BB383" si="303">IF(BA113="","",BA113)</f>
        <v/>
      </c>
      <c r="BB383" s="13" t="str">
        <f t="shared" si="303"/>
        <v/>
      </c>
      <c r="BC383" s="672"/>
      <c r="BD383" s="672"/>
      <c r="BE383" s="746" t="str">
        <f t="shared" si="302"/>
        <v/>
      </c>
      <c r="BF383" s="746"/>
      <c r="BG383" s="13" t="s">
        <v>142</v>
      </c>
      <c r="BH383" s="884" t="str">
        <f>IF(BH113="","",BH113)</f>
        <v/>
      </c>
      <c r="BI383" s="884"/>
      <c r="BJ383" s="590"/>
      <c r="BM383" s="23">
        <f>COUNTIF(AW382:AW387,"Qualified")+COUNTIF(BE382:BE387,"Qualified")</f>
        <v>0</v>
      </c>
      <c r="BO383" s="102"/>
      <c r="BP383" s="102"/>
      <c r="BQ383" s="102"/>
      <c r="BR383" s="102"/>
      <c r="BS383" s="102"/>
      <c r="BT383" s="102"/>
      <c r="BU383" s="102"/>
      <c r="BV383" s="102"/>
      <c r="BW383" s="102"/>
      <c r="BX383" s="102"/>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row>
    <row r="384" spans="1:178" ht="12.75" hidden="1" customHeight="1">
      <c r="A384" s="74"/>
      <c r="B384" s="288" t="str">
        <f>IF(B114="","",B114)</f>
        <v/>
      </c>
      <c r="C384" s="9"/>
      <c r="D384" s="288" t="str">
        <f>IF(D114="","",D114)</f>
        <v/>
      </c>
      <c r="E384" s="274"/>
      <c r="F384" s="925" t="str">
        <f>IF(F114="","",F114)</f>
        <v/>
      </c>
      <c r="G384" s="925"/>
      <c r="H384" s="925"/>
      <c r="I384" s="925"/>
      <c r="J384" s="925"/>
      <c r="K384" s="925"/>
      <c r="L384" s="925"/>
      <c r="M384" s="925"/>
      <c r="N384" s="925"/>
      <c r="O384" s="925"/>
      <c r="P384" s="925"/>
      <c r="Q384" s="284"/>
      <c r="R384" s="889" t="str">
        <f>IF(R114="","",R114)</f>
        <v/>
      </c>
      <c r="S384" s="889"/>
      <c r="T384" s="889"/>
      <c r="U384" s="889"/>
      <c r="V384" s="289"/>
      <c r="W384" s="889" t="str">
        <f>IF(W114="","",W114)</f>
        <v/>
      </c>
      <c r="X384" s="889"/>
      <c r="Y384" s="889"/>
      <c r="Z384" s="889"/>
      <c r="AA384" s="889"/>
      <c r="AB384" s="889"/>
      <c r="AC384" s="289"/>
      <c r="AD384" s="885" t="str">
        <f>IF(AD114="","",AD114)</f>
        <v/>
      </c>
      <c r="AE384" s="885"/>
      <c r="AF384" s="885"/>
      <c r="AG384" s="885"/>
      <c r="AH384" s="9"/>
      <c r="AI384" s="288" t="str">
        <f t="shared" si="300"/>
        <v/>
      </c>
      <c r="AJ384" s="13" t="str">
        <f t="shared" si="300"/>
        <v/>
      </c>
      <c r="AK384" s="288" t="str">
        <f t="shared" si="300"/>
        <v/>
      </c>
      <c r="AL384" s="13" t="str">
        <f t="shared" si="300"/>
        <v/>
      </c>
      <c r="AM384" s="672"/>
      <c r="AN384" s="672"/>
      <c r="AO384" s="289"/>
      <c r="AP384" s="75" t="str">
        <f t="shared" ref="AP384:AS384" si="304">IF(AP114="","",AP114)</f>
        <v/>
      </c>
      <c r="AQ384" s="13" t="str">
        <f t="shared" si="304"/>
        <v/>
      </c>
      <c r="AR384" s="75" t="str">
        <f t="shared" si="304"/>
        <v/>
      </c>
      <c r="AS384" s="13" t="str">
        <f t="shared" si="304"/>
        <v/>
      </c>
      <c r="AT384" s="672"/>
      <c r="AU384" s="672"/>
      <c r="AV384" s="13"/>
      <c r="AW384" s="746" t="str">
        <f t="shared" ref="AW384" si="305">IF(AW114="","",AW114)</f>
        <v/>
      </c>
      <c r="AX384" s="746"/>
      <c r="AY384" s="75" t="str">
        <f t="shared" si="302"/>
        <v/>
      </c>
      <c r="AZ384" s="13" t="str">
        <f t="shared" si="302"/>
        <v/>
      </c>
      <c r="BA384" s="75" t="str">
        <f t="shared" ref="BA384:BB384" si="306">IF(BA114="","",BA114)</f>
        <v/>
      </c>
      <c r="BB384" s="13" t="str">
        <f t="shared" si="306"/>
        <v/>
      </c>
      <c r="BC384" s="672"/>
      <c r="BD384" s="672"/>
      <c r="BE384" s="746" t="str">
        <f t="shared" si="302"/>
        <v/>
      </c>
      <c r="BF384" s="746"/>
      <c r="BG384" s="13" t="s">
        <v>142</v>
      </c>
      <c r="BH384" s="884" t="str">
        <f>IF(BH114="","",BH114)</f>
        <v/>
      </c>
      <c r="BI384" s="884"/>
      <c r="BJ384" s="590"/>
      <c r="BO384" s="102"/>
      <c r="BP384" s="102"/>
      <c r="BQ384" s="102"/>
      <c r="BR384" s="102"/>
      <c r="BS384" s="102"/>
      <c r="BT384" s="102"/>
      <c r="BU384" s="102"/>
      <c r="BV384" s="102"/>
      <c r="BW384" s="102"/>
      <c r="BX384" s="102"/>
      <c r="BY384" s="94"/>
      <c r="BZ384" s="94"/>
      <c r="CA384" s="94"/>
      <c r="CB384" s="94"/>
      <c r="CC384" s="94"/>
      <c r="CD384" s="94"/>
      <c r="CE384" s="94"/>
      <c r="CF384" s="94"/>
      <c r="CG384" s="94"/>
      <c r="CH384" s="94"/>
      <c r="CI384" s="94"/>
      <c r="CJ384" s="94"/>
      <c r="CK384" s="94"/>
      <c r="CL384" s="94"/>
      <c r="CM384" s="94"/>
      <c r="CN384" s="94"/>
      <c r="CO384" s="94"/>
      <c r="CP384" s="94"/>
      <c r="CQ384" s="94"/>
      <c r="CR384" s="94"/>
      <c r="CS384" s="94"/>
      <c r="CT384" s="94"/>
      <c r="CU384" s="94"/>
      <c r="CV384" s="94"/>
      <c r="CW384" s="94"/>
      <c r="CX384" s="94"/>
      <c r="CY384" s="94"/>
      <c r="CZ384" s="94"/>
    </row>
    <row r="385" spans="1:104" ht="12.75" hidden="1">
      <c r="A385" s="74"/>
      <c r="B385" s="288" t="str">
        <f>IF(B115="","",B115)</f>
        <v/>
      </c>
      <c r="C385" s="9"/>
      <c r="D385" s="288" t="str">
        <f>IF(D115="","",D115)</f>
        <v/>
      </c>
      <c r="E385" s="274"/>
      <c r="F385" s="925" t="str">
        <f>IF(F115="","",F115)</f>
        <v/>
      </c>
      <c r="G385" s="925"/>
      <c r="H385" s="925"/>
      <c r="I385" s="925"/>
      <c r="J385" s="925"/>
      <c r="K385" s="925"/>
      <c r="L385" s="925"/>
      <c r="M385" s="925"/>
      <c r="N385" s="925"/>
      <c r="O385" s="925"/>
      <c r="P385" s="925"/>
      <c r="Q385" s="284"/>
      <c r="R385" s="889" t="str">
        <f>IF(R115="","",R115)</f>
        <v/>
      </c>
      <c r="S385" s="889"/>
      <c r="T385" s="889"/>
      <c r="U385" s="889"/>
      <c r="V385" s="289"/>
      <c r="W385" s="889" t="str">
        <f>IF(W115="","",W115)</f>
        <v/>
      </c>
      <c r="X385" s="889"/>
      <c r="Y385" s="889"/>
      <c r="Z385" s="889"/>
      <c r="AA385" s="889"/>
      <c r="AB385" s="889"/>
      <c r="AC385" s="289"/>
      <c r="AD385" s="885" t="str">
        <f>IF(AD115="","",AD115)</f>
        <v/>
      </c>
      <c r="AE385" s="885"/>
      <c r="AF385" s="885"/>
      <c r="AG385" s="885"/>
      <c r="AH385" s="9"/>
      <c r="AI385" s="288" t="str">
        <f t="shared" si="300"/>
        <v/>
      </c>
      <c r="AJ385" s="13" t="str">
        <f t="shared" si="300"/>
        <v/>
      </c>
      <c r="AK385" s="288" t="str">
        <f t="shared" si="300"/>
        <v/>
      </c>
      <c r="AL385" s="13" t="str">
        <f t="shared" si="300"/>
        <v/>
      </c>
      <c r="AM385" s="672"/>
      <c r="AN385" s="672"/>
      <c r="AO385" s="289"/>
      <c r="AP385" s="75" t="str">
        <f t="shared" ref="AP385:AS385" si="307">IF(AP115="","",AP115)</f>
        <v/>
      </c>
      <c r="AQ385" s="13" t="str">
        <f t="shared" si="307"/>
        <v/>
      </c>
      <c r="AR385" s="75" t="str">
        <f t="shared" si="307"/>
        <v/>
      </c>
      <c r="AS385" s="13" t="str">
        <f t="shared" si="307"/>
        <v/>
      </c>
      <c r="AT385" s="672"/>
      <c r="AU385" s="672"/>
      <c r="AV385" s="13"/>
      <c r="AW385" s="746" t="str">
        <f t="shared" ref="AW385" si="308">IF(AW115="","",AW115)</f>
        <v/>
      </c>
      <c r="AX385" s="746"/>
      <c r="AY385" s="75" t="str">
        <f t="shared" si="302"/>
        <v/>
      </c>
      <c r="AZ385" s="13" t="str">
        <f t="shared" si="302"/>
        <v/>
      </c>
      <c r="BA385" s="75" t="str">
        <f t="shared" ref="BA385:BB385" si="309">IF(BA115="","",BA115)</f>
        <v/>
      </c>
      <c r="BB385" s="13" t="str">
        <f t="shared" si="309"/>
        <v/>
      </c>
      <c r="BC385" s="672"/>
      <c r="BD385" s="672"/>
      <c r="BE385" s="746" t="str">
        <f t="shared" si="302"/>
        <v/>
      </c>
      <c r="BF385" s="746"/>
      <c r="BG385" s="13" t="s">
        <v>142</v>
      </c>
      <c r="BH385" s="884" t="str">
        <f>IF(BH115="","",BH115)</f>
        <v/>
      </c>
      <c r="BI385" s="884"/>
      <c r="BJ385" s="590"/>
      <c r="BO385" s="102"/>
      <c r="BP385" s="102"/>
      <c r="BQ385" s="102"/>
      <c r="BR385" s="102"/>
      <c r="BS385" s="102"/>
      <c r="BT385" s="102"/>
      <c r="BU385" s="102"/>
      <c r="BV385" s="102"/>
      <c r="BW385" s="102"/>
      <c r="BX385" s="102"/>
      <c r="BY385" s="94"/>
      <c r="BZ385" s="94"/>
      <c r="CA385" s="94"/>
      <c r="CB385" s="94"/>
      <c r="CC385" s="94"/>
      <c r="CD385" s="94"/>
      <c r="CE385" s="94"/>
      <c r="CF385" s="94"/>
      <c r="CG385" s="94"/>
      <c r="CH385" s="94"/>
      <c r="CI385" s="94"/>
      <c r="CJ385" s="94"/>
      <c r="CK385" s="94"/>
      <c r="CL385" s="94"/>
      <c r="CM385" s="94"/>
      <c r="CN385" s="94"/>
      <c r="CO385" s="94"/>
      <c r="CP385" s="94"/>
      <c r="CQ385" s="94"/>
      <c r="CR385" s="94"/>
      <c r="CS385" s="94"/>
      <c r="CT385" s="94"/>
      <c r="CU385" s="94"/>
      <c r="CV385" s="94"/>
      <c r="CW385" s="94"/>
      <c r="CX385" s="94"/>
      <c r="CY385" s="94"/>
      <c r="CZ385" s="94"/>
    </row>
    <row r="386" spans="1:104" ht="12.75" hidden="1">
      <c r="A386" s="74"/>
      <c r="B386" s="288" t="str">
        <f>IF(B116="","",B116)</f>
        <v/>
      </c>
      <c r="C386" s="9"/>
      <c r="D386" s="288" t="str">
        <f>IF(D116="","",D116)</f>
        <v/>
      </c>
      <c r="E386" s="274"/>
      <c r="F386" s="925" t="str">
        <f>IF(F116="","",F116)</f>
        <v/>
      </c>
      <c r="G386" s="925"/>
      <c r="H386" s="925"/>
      <c r="I386" s="925"/>
      <c r="J386" s="925"/>
      <c r="K386" s="925"/>
      <c r="L386" s="925"/>
      <c r="M386" s="925"/>
      <c r="N386" s="925"/>
      <c r="O386" s="925"/>
      <c r="P386" s="925"/>
      <c r="Q386" s="284"/>
      <c r="R386" s="889" t="str">
        <f>IF(R116="","",R116)</f>
        <v/>
      </c>
      <c r="S386" s="889"/>
      <c r="T386" s="889"/>
      <c r="U386" s="889"/>
      <c r="V386" s="289"/>
      <c r="W386" s="889" t="str">
        <f>IF(W116="","",W116)</f>
        <v/>
      </c>
      <c r="X386" s="889"/>
      <c r="Y386" s="889"/>
      <c r="Z386" s="889"/>
      <c r="AA386" s="889"/>
      <c r="AB386" s="889"/>
      <c r="AC386" s="289"/>
      <c r="AD386" s="885" t="str">
        <f>IF(AD116="","",AD116)</f>
        <v/>
      </c>
      <c r="AE386" s="885"/>
      <c r="AF386" s="885"/>
      <c r="AG386" s="885"/>
      <c r="AH386" s="9"/>
      <c r="AI386" s="288" t="str">
        <f t="shared" si="300"/>
        <v/>
      </c>
      <c r="AJ386" s="13" t="str">
        <f t="shared" si="300"/>
        <v/>
      </c>
      <c r="AK386" s="288" t="str">
        <f t="shared" si="300"/>
        <v/>
      </c>
      <c r="AL386" s="13" t="str">
        <f t="shared" si="300"/>
        <v/>
      </c>
      <c r="AM386" s="672"/>
      <c r="AN386" s="672"/>
      <c r="AO386" s="289"/>
      <c r="AP386" s="75" t="str">
        <f t="shared" ref="AP386:AS386" si="310">IF(AP116="","",AP116)</f>
        <v/>
      </c>
      <c r="AQ386" s="13" t="str">
        <f t="shared" si="310"/>
        <v/>
      </c>
      <c r="AR386" s="75" t="str">
        <f t="shared" si="310"/>
        <v/>
      </c>
      <c r="AS386" s="13" t="str">
        <f t="shared" si="310"/>
        <v/>
      </c>
      <c r="AT386" s="672"/>
      <c r="AU386" s="672"/>
      <c r="AV386" s="13"/>
      <c r="AW386" s="746" t="str">
        <f t="shared" ref="AW386" si="311">IF(AW116="","",AW116)</f>
        <v/>
      </c>
      <c r="AX386" s="746"/>
      <c r="AY386" s="75" t="str">
        <f t="shared" si="302"/>
        <v/>
      </c>
      <c r="AZ386" s="13" t="str">
        <f t="shared" si="302"/>
        <v/>
      </c>
      <c r="BA386" s="75" t="str">
        <f t="shared" ref="BA386:BB386" si="312">IF(BA116="","",BA116)</f>
        <v/>
      </c>
      <c r="BB386" s="13" t="str">
        <f t="shared" si="312"/>
        <v/>
      </c>
      <c r="BC386" s="672"/>
      <c r="BD386" s="672"/>
      <c r="BE386" s="746" t="str">
        <f t="shared" si="302"/>
        <v/>
      </c>
      <c r="BF386" s="746"/>
      <c r="BG386" s="13" t="s">
        <v>142</v>
      </c>
      <c r="BH386" s="884" t="str">
        <f>IF(BH116="","",BH116)</f>
        <v/>
      </c>
      <c r="BI386" s="884"/>
      <c r="BJ386" s="590"/>
      <c r="BO386" s="102"/>
      <c r="BP386" s="102"/>
      <c r="BQ386" s="102"/>
      <c r="BR386" s="102"/>
      <c r="BS386" s="102"/>
      <c r="BT386" s="102"/>
      <c r="BU386" s="102"/>
      <c r="BV386" s="102"/>
      <c r="BW386" s="102"/>
      <c r="BX386" s="102"/>
      <c r="BY386" s="94"/>
      <c r="BZ386" s="94"/>
      <c r="CA386" s="94"/>
      <c r="CB386" s="94"/>
      <c r="CC386" s="94"/>
      <c r="CD386" s="94"/>
      <c r="CE386" s="94"/>
      <c r="CF386" s="94"/>
      <c r="CG386" s="94"/>
      <c r="CH386" s="94"/>
      <c r="CI386" s="94"/>
      <c r="CJ386" s="94"/>
      <c r="CK386" s="94"/>
      <c r="CL386" s="94"/>
      <c r="CM386" s="94"/>
      <c r="CN386" s="94"/>
      <c r="CO386" s="94"/>
      <c r="CP386" s="94"/>
      <c r="CQ386" s="94"/>
      <c r="CR386" s="94"/>
      <c r="CS386" s="94"/>
      <c r="CT386" s="94"/>
      <c r="CU386" s="94"/>
      <c r="CV386" s="94"/>
      <c r="CW386" s="94"/>
      <c r="CX386" s="94"/>
      <c r="CY386" s="94"/>
      <c r="CZ386" s="94"/>
    </row>
    <row r="387" spans="1:104" ht="12.75" hidden="1">
      <c r="A387" s="74"/>
      <c r="B387" s="288" t="str">
        <f>IF(B117="","",B117)</f>
        <v/>
      </c>
      <c r="C387" s="9"/>
      <c r="D387" s="288" t="str">
        <f>IF(D117="","",D117)</f>
        <v/>
      </c>
      <c r="E387" s="274"/>
      <c r="F387" s="925" t="str">
        <f>IF(F117="","",F117)</f>
        <v/>
      </c>
      <c r="G387" s="925"/>
      <c r="H387" s="925"/>
      <c r="I387" s="925"/>
      <c r="J387" s="925"/>
      <c r="K387" s="925"/>
      <c r="L387" s="925"/>
      <c r="M387" s="925"/>
      <c r="N387" s="925"/>
      <c r="O387" s="925"/>
      <c r="P387" s="925"/>
      <c r="Q387" s="284"/>
      <c r="R387" s="889" t="str">
        <f>IF(R117="","",R117)</f>
        <v/>
      </c>
      <c r="S387" s="889"/>
      <c r="T387" s="889"/>
      <c r="U387" s="889"/>
      <c r="V387" s="289"/>
      <c r="W387" s="889" t="str">
        <f>IF(W117="","",W117)</f>
        <v/>
      </c>
      <c r="X387" s="889"/>
      <c r="Y387" s="889"/>
      <c r="Z387" s="889"/>
      <c r="AA387" s="889"/>
      <c r="AB387" s="889"/>
      <c r="AC387" s="289"/>
      <c r="AD387" s="885" t="str">
        <f>IF(AD117="","",AD117)</f>
        <v/>
      </c>
      <c r="AE387" s="885"/>
      <c r="AF387" s="885"/>
      <c r="AG387" s="885"/>
      <c r="AH387" s="9"/>
      <c r="AI387" s="288" t="str">
        <f t="shared" si="300"/>
        <v/>
      </c>
      <c r="AJ387" s="13" t="str">
        <f t="shared" si="300"/>
        <v/>
      </c>
      <c r="AK387" s="288" t="str">
        <f t="shared" si="300"/>
        <v/>
      </c>
      <c r="AL387" s="13" t="str">
        <f t="shared" si="300"/>
        <v/>
      </c>
      <c r="AM387" s="672"/>
      <c r="AN387" s="672"/>
      <c r="AO387" s="289"/>
      <c r="AP387" s="75" t="str">
        <f t="shared" ref="AP387:AS387" si="313">IF(AP117="","",AP117)</f>
        <v/>
      </c>
      <c r="AQ387" s="13" t="str">
        <f t="shared" si="313"/>
        <v/>
      </c>
      <c r="AR387" s="75" t="str">
        <f t="shared" si="313"/>
        <v/>
      </c>
      <c r="AS387" s="13" t="str">
        <f t="shared" si="313"/>
        <v/>
      </c>
      <c r="AT387" s="672"/>
      <c r="AU387" s="672"/>
      <c r="AV387" s="13"/>
      <c r="AW387" s="746" t="str">
        <f t="shared" ref="AW387" si="314">IF(AW117="","",AW117)</f>
        <v/>
      </c>
      <c r="AX387" s="746"/>
      <c r="AY387" s="75" t="str">
        <f t="shared" si="302"/>
        <v/>
      </c>
      <c r="AZ387" s="13" t="str">
        <f t="shared" si="302"/>
        <v/>
      </c>
      <c r="BA387" s="75" t="str">
        <f t="shared" ref="BA387:BB387" si="315">IF(BA117="","",BA117)</f>
        <v/>
      </c>
      <c r="BB387" s="13" t="str">
        <f t="shared" si="315"/>
        <v/>
      </c>
      <c r="BC387" s="672"/>
      <c r="BD387" s="672"/>
      <c r="BE387" s="746" t="str">
        <f t="shared" si="302"/>
        <v/>
      </c>
      <c r="BF387" s="746"/>
      <c r="BG387" s="13" t="s">
        <v>142</v>
      </c>
      <c r="BH387" s="884" t="str">
        <f>IF(BH117="","",BH117)</f>
        <v/>
      </c>
      <c r="BI387" s="884"/>
      <c r="BJ387" s="590"/>
      <c r="BO387" s="102"/>
      <c r="BP387" s="102"/>
      <c r="BQ387" s="102"/>
      <c r="BR387" s="102"/>
      <c r="BS387" s="102"/>
      <c r="BT387" s="102"/>
      <c r="BU387" s="102"/>
      <c r="BV387" s="102"/>
      <c r="BW387" s="102"/>
      <c r="BX387" s="102"/>
      <c r="BY387" s="94"/>
      <c r="BZ387" s="94"/>
      <c r="CA387" s="94"/>
      <c r="CB387" s="94"/>
      <c r="CC387" s="94"/>
      <c r="CD387" s="94"/>
      <c r="CE387" s="94"/>
      <c r="CF387" s="94"/>
      <c r="CG387" s="94"/>
      <c r="CH387" s="94"/>
      <c r="CI387" s="94"/>
      <c r="CJ387" s="94"/>
      <c r="CK387" s="94"/>
      <c r="CL387" s="94"/>
      <c r="CM387" s="94"/>
      <c r="CN387" s="94"/>
      <c r="CO387" s="94"/>
      <c r="CP387" s="94"/>
      <c r="CQ387" s="94"/>
      <c r="CR387" s="94"/>
      <c r="CS387" s="94"/>
      <c r="CT387" s="94"/>
      <c r="CU387" s="94"/>
      <c r="CV387" s="94"/>
      <c r="CW387" s="94"/>
      <c r="CX387" s="94"/>
      <c r="CY387" s="94"/>
      <c r="CZ387" s="94"/>
    </row>
    <row r="388" spans="1:104" ht="12.75" hidden="1" customHeight="1" thickBot="1">
      <c r="A388" s="76"/>
      <c r="B388" s="275"/>
      <c r="C388" s="275"/>
      <c r="D388" s="275"/>
      <c r="E388" s="275"/>
      <c r="F388" s="276"/>
      <c r="G388" s="276"/>
      <c r="H388" s="276"/>
      <c r="I388" s="276"/>
      <c r="J388" s="276"/>
      <c r="K388" s="276"/>
      <c r="L388" s="276"/>
      <c r="M388" s="276"/>
      <c r="N388" s="276"/>
      <c r="O388" s="276"/>
      <c r="P388" s="276"/>
      <c r="Q388" s="276"/>
      <c r="R388" s="276"/>
      <c r="S388" s="276"/>
      <c r="T388" s="276"/>
      <c r="U388" s="275"/>
      <c r="V388" s="275"/>
      <c r="W388" s="276"/>
      <c r="X388" s="276"/>
      <c r="Y388" s="276"/>
      <c r="Z388" s="276"/>
      <c r="AA388" s="276"/>
      <c r="AB388" s="275"/>
      <c r="AC388" s="275"/>
      <c r="AD388" s="275"/>
      <c r="AE388" s="275"/>
      <c r="AF388" s="275"/>
      <c r="AG388" s="275"/>
      <c r="AH388" s="275"/>
      <c r="AI388" s="275"/>
      <c r="AJ388" s="275"/>
      <c r="AK388" s="275"/>
      <c r="AL388" s="275"/>
      <c r="AM388" s="275"/>
      <c r="AN388" s="275"/>
      <c r="AO388" s="275"/>
      <c r="AP388" s="275"/>
      <c r="AQ388" s="275"/>
      <c r="AR388" s="275"/>
      <c r="AS388" s="275"/>
      <c r="AT388" s="275"/>
      <c r="AU388" s="275"/>
      <c r="AV388" s="275"/>
      <c r="AW388" s="275"/>
      <c r="AX388" s="275"/>
      <c r="AY388" s="275"/>
      <c r="AZ388" s="275"/>
      <c r="BA388" s="275"/>
      <c r="BB388" s="275"/>
      <c r="BC388" s="275"/>
      <c r="BD388" s="275"/>
      <c r="BE388" s="275"/>
      <c r="BF388" s="275"/>
      <c r="BG388" s="276"/>
      <c r="BH388" s="276"/>
      <c r="BI388" s="275"/>
      <c r="BJ388" s="78"/>
      <c r="BO388" s="102"/>
      <c r="BP388" s="102"/>
      <c r="BQ388" s="102"/>
      <c r="BR388" s="102"/>
      <c r="BS388" s="102"/>
      <c r="BT388" s="102"/>
      <c r="BU388" s="102"/>
      <c r="BV388" s="102"/>
      <c r="BW388" s="102"/>
      <c r="BX388" s="102"/>
      <c r="BY388" s="94"/>
      <c r="BZ388" s="94"/>
      <c r="CA388" s="94"/>
      <c r="CB388" s="94"/>
      <c r="CC388" s="94"/>
      <c r="CD388" s="94"/>
      <c r="CE388" s="94"/>
      <c r="CF388" s="94"/>
      <c r="CG388" s="94"/>
      <c r="CH388" s="94"/>
      <c r="CI388" s="94"/>
      <c r="CJ388" s="94"/>
      <c r="CK388" s="94"/>
      <c r="CL388" s="94"/>
      <c r="CM388" s="94"/>
      <c r="CN388" s="94"/>
      <c r="CO388" s="94"/>
      <c r="CP388" s="94"/>
      <c r="CQ388" s="94"/>
      <c r="CR388" s="94"/>
      <c r="CS388" s="94"/>
      <c r="CT388" s="94"/>
      <c r="CU388" s="94"/>
      <c r="CV388" s="94"/>
      <c r="CW388" s="94"/>
      <c r="CX388" s="94"/>
      <c r="CY388" s="94"/>
      <c r="CZ388" s="94"/>
    </row>
    <row r="389" spans="1:104" ht="12.75" hidden="1">
      <c r="B389" s="3"/>
      <c r="C389" s="3"/>
      <c r="D389" s="9"/>
      <c r="E389" s="9"/>
      <c r="F389" s="9"/>
      <c r="G389" s="9"/>
      <c r="H389" s="9"/>
      <c r="I389" s="9"/>
      <c r="J389" s="9"/>
      <c r="K389" s="9"/>
      <c r="L389" s="9"/>
      <c r="M389" s="9"/>
      <c r="N389" s="9"/>
      <c r="O389" s="9"/>
      <c r="P389" s="9"/>
      <c r="Q389" s="9"/>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79" t="str">
        <f>BF119</f>
        <v>A2 Incentive Total=</v>
      </c>
      <c r="BG389" s="13" t="s">
        <v>142</v>
      </c>
      <c r="BH389" s="884" t="str">
        <f>IF(BH119="","",BH119)</f>
        <v/>
      </c>
      <c r="BI389" s="884"/>
      <c r="BO389" s="102"/>
      <c r="BP389" s="102"/>
      <c r="BQ389" s="102"/>
      <c r="BR389" s="102"/>
      <c r="BS389" s="102"/>
      <c r="BT389" s="102"/>
      <c r="BU389" s="102"/>
      <c r="BV389" s="102"/>
      <c r="BW389" s="102"/>
      <c r="BX389" s="102"/>
      <c r="BY389" s="94"/>
      <c r="BZ389" s="94"/>
      <c r="CA389" s="94"/>
      <c r="CB389" s="94"/>
      <c r="CC389" s="94"/>
      <c r="CD389" s="94"/>
      <c r="CE389" s="94"/>
      <c r="CF389" s="94"/>
      <c r="CG389" s="94"/>
      <c r="CH389" s="94"/>
      <c r="CI389" s="94"/>
      <c r="CJ389" s="94"/>
      <c r="CK389" s="94"/>
      <c r="CL389" s="94"/>
      <c r="CM389" s="94"/>
      <c r="CN389" s="94"/>
      <c r="CO389" s="94"/>
      <c r="CP389" s="94"/>
      <c r="CQ389" s="94"/>
      <c r="CR389" s="94"/>
      <c r="CS389" s="94"/>
      <c r="CT389" s="94"/>
      <c r="CU389" s="94"/>
      <c r="CV389" s="94"/>
      <c r="CW389" s="94"/>
      <c r="CX389" s="94"/>
      <c r="CY389" s="94"/>
      <c r="CZ389" s="94"/>
    </row>
    <row r="390" spans="1:104" ht="12.75" hidden="1">
      <c r="B390" s="3"/>
      <c r="C390" s="3"/>
      <c r="D390" s="9"/>
      <c r="E390" s="9"/>
      <c r="F390" s="9"/>
      <c r="G390" s="9"/>
      <c r="H390" s="9"/>
      <c r="I390" s="9"/>
      <c r="J390" s="9"/>
      <c r="K390" s="9"/>
      <c r="L390" s="9"/>
      <c r="M390" s="9"/>
      <c r="N390" s="9"/>
      <c r="O390" s="9"/>
      <c r="P390" s="9"/>
      <c r="Q390" s="9"/>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79"/>
      <c r="BG390" s="3"/>
      <c r="BH390" s="268"/>
      <c r="BI390" s="268"/>
      <c r="BO390" s="102"/>
      <c r="BP390" s="102"/>
      <c r="BQ390" s="102"/>
      <c r="BR390" s="102"/>
      <c r="BS390" s="102"/>
      <c r="BT390" s="102"/>
      <c r="BU390" s="102"/>
      <c r="BV390" s="102"/>
      <c r="BW390" s="102"/>
      <c r="BX390" s="102"/>
      <c r="BY390" s="94"/>
      <c r="BZ390" s="94"/>
      <c r="CA390" s="94"/>
      <c r="CB390" s="94"/>
      <c r="CC390" s="94"/>
      <c r="CD390" s="94"/>
      <c r="CE390" s="94"/>
      <c r="CF390" s="94"/>
      <c r="CG390" s="94"/>
      <c r="CH390" s="94"/>
      <c r="CI390" s="94"/>
      <c r="CJ390" s="94"/>
      <c r="CK390" s="94"/>
      <c r="CL390" s="94"/>
      <c r="CM390" s="94"/>
      <c r="CN390" s="94"/>
      <c r="CO390" s="94"/>
      <c r="CP390" s="94"/>
      <c r="CQ390" s="94"/>
      <c r="CR390" s="94"/>
      <c r="CS390" s="94"/>
      <c r="CT390" s="94"/>
      <c r="CU390" s="94"/>
      <c r="CV390" s="94"/>
      <c r="CW390" s="94"/>
      <c r="CX390" s="94"/>
      <c r="CY390" s="94"/>
      <c r="CZ390" s="94"/>
    </row>
    <row r="391" spans="1:104" ht="16.5" thickBot="1">
      <c r="A391" s="80" t="str">
        <f>A121</f>
        <v>A3N- Efficient Chillers*</v>
      </c>
      <c r="BG391" s="77"/>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94"/>
      <c r="CJ391" s="94"/>
      <c r="CK391" s="94"/>
      <c r="CL391" s="94"/>
      <c r="CM391" s="94"/>
      <c r="CN391" s="94"/>
      <c r="CO391" s="94"/>
      <c r="CP391" s="94"/>
      <c r="CQ391" s="94"/>
      <c r="CR391" s="94"/>
      <c r="CS391" s="94"/>
      <c r="CT391" s="94"/>
      <c r="CU391" s="94"/>
      <c r="CV391" s="94"/>
      <c r="CW391" s="94"/>
      <c r="CX391" s="94"/>
      <c r="CY391" s="94"/>
      <c r="CZ391" s="94"/>
    </row>
    <row r="392" spans="1:104" ht="12.75" customHeight="1">
      <c r="A392" s="214"/>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591"/>
      <c r="AQ392" s="591"/>
      <c r="AR392" s="591"/>
      <c r="AS392" s="591"/>
      <c r="AT392" s="591"/>
      <c r="AU392" s="591"/>
      <c r="AV392" s="591"/>
      <c r="AW392" s="591"/>
      <c r="AX392" s="591"/>
      <c r="AY392" s="591"/>
      <c r="AZ392" s="591"/>
      <c r="BA392" s="591"/>
      <c r="BB392" s="591"/>
      <c r="BC392" s="591"/>
      <c r="BD392" s="591"/>
      <c r="BE392" s="591"/>
      <c r="BF392" s="21"/>
      <c r="BH392" s="888" t="str">
        <f>IF(BG122="","",BG122)</f>
        <v>Incentive
(tons x $40 or $80)</v>
      </c>
      <c r="BI392" s="888"/>
      <c r="BJ392" s="269"/>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94"/>
      <c r="CJ392" s="94"/>
      <c r="CK392" s="94"/>
      <c r="CL392" s="94"/>
      <c r="CM392" s="94"/>
      <c r="CN392" s="94"/>
      <c r="CO392" s="94"/>
      <c r="CP392" s="94"/>
      <c r="CQ392" s="94"/>
      <c r="CR392" s="94"/>
      <c r="CS392" s="94"/>
      <c r="CT392" s="94"/>
      <c r="CU392" s="94"/>
      <c r="CV392" s="94"/>
      <c r="CW392" s="94"/>
      <c r="CX392" s="94"/>
      <c r="CY392" s="94"/>
      <c r="CZ392" s="94"/>
    </row>
    <row r="393" spans="1:104" ht="12.75" customHeight="1">
      <c r="A393" s="74"/>
      <c r="AP393" s="847" t="s">
        <v>2655</v>
      </c>
      <c r="AQ393" s="847"/>
      <c r="AR393" s="847"/>
      <c r="AS393" s="847"/>
      <c r="AT393" s="847"/>
      <c r="AU393" s="847"/>
      <c r="AV393" s="847"/>
      <c r="AW393" s="847"/>
      <c r="AX393" s="847"/>
      <c r="AY393" s="847"/>
      <c r="AZ393" s="847"/>
      <c r="BA393" s="847"/>
      <c r="BB393" s="847"/>
      <c r="BC393" s="847"/>
      <c r="BD393" s="847"/>
      <c r="BE393" s="847"/>
      <c r="BG393" s="512"/>
      <c r="BH393" s="736"/>
      <c r="BI393" s="736"/>
      <c r="BJ393" s="227"/>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94"/>
      <c r="CJ393" s="94"/>
      <c r="CK393" s="94"/>
      <c r="CL393" s="94"/>
      <c r="CM393" s="94"/>
      <c r="CN393" s="94"/>
      <c r="CO393" s="94"/>
      <c r="CP393" s="94"/>
      <c r="CQ393" s="94"/>
      <c r="CR393" s="94"/>
      <c r="CS393" s="94"/>
      <c r="CT393" s="94"/>
      <c r="CU393" s="94"/>
      <c r="CV393" s="94"/>
      <c r="CW393" s="94"/>
      <c r="CX393" s="94"/>
      <c r="CY393" s="94"/>
      <c r="CZ393" s="94"/>
    </row>
    <row r="394" spans="1:104" ht="12.75" customHeight="1">
      <c r="A394" s="74"/>
      <c r="AO394" s="10"/>
      <c r="AP394" s="736" t="s">
        <v>2742</v>
      </c>
      <c r="AQ394" s="736"/>
      <c r="AR394" s="10"/>
      <c r="AS394" s="10"/>
      <c r="AT394" s="671"/>
      <c r="AU394" s="671"/>
      <c r="AV394" s="10"/>
      <c r="AW394" s="13"/>
      <c r="AY394" s="736" t="s">
        <v>2743</v>
      </c>
      <c r="AZ394" s="736"/>
      <c r="BA394" s="10"/>
      <c r="BB394" s="10"/>
      <c r="BC394" s="671"/>
      <c r="BD394" s="671"/>
      <c r="BE394" s="10"/>
      <c r="BF394" s="10"/>
      <c r="BG394" s="512"/>
      <c r="BH394" s="736"/>
      <c r="BI394" s="736"/>
      <c r="BJ394" s="227"/>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94"/>
      <c r="CJ394" s="94"/>
      <c r="CK394" s="94"/>
      <c r="CL394" s="94"/>
      <c r="CM394" s="94"/>
      <c r="CN394" s="94"/>
      <c r="CO394" s="94"/>
      <c r="CP394" s="94"/>
      <c r="CQ394" s="94"/>
      <c r="CR394" s="94"/>
      <c r="CS394" s="94"/>
      <c r="CT394" s="94"/>
      <c r="CU394" s="94"/>
      <c r="CV394" s="94"/>
      <c r="CW394" s="94"/>
      <c r="CX394" s="94"/>
      <c r="CY394" s="94"/>
      <c r="CZ394" s="94"/>
    </row>
    <row r="395" spans="1:104" ht="12.75" customHeight="1">
      <c r="A395" s="69"/>
      <c r="B395" s="13" t="s">
        <v>2661</v>
      </c>
      <c r="C395" s="412"/>
      <c r="D395" s="13" t="s">
        <v>2662</v>
      </c>
      <c r="E395" s="592"/>
      <c r="F395" s="246" t="s">
        <v>2744</v>
      </c>
      <c r="G395" s="246"/>
      <c r="H395" s="246"/>
      <c r="I395" s="246"/>
      <c r="J395" s="246"/>
      <c r="K395" s="246"/>
      <c r="L395" s="246"/>
      <c r="M395" s="246"/>
      <c r="N395" s="246"/>
      <c r="O395" s="246"/>
      <c r="P395" s="246"/>
      <c r="Q395" s="246"/>
      <c r="R395" s="246"/>
      <c r="S395" s="13"/>
      <c r="T395" s="13"/>
      <c r="U395" s="281"/>
      <c r="V395" s="281"/>
      <c r="W395" s="281"/>
      <c r="X395" s="281"/>
      <c r="Y395" s="281"/>
      <c r="Z395" s="281"/>
      <c r="AA395" s="281"/>
      <c r="AB395" s="281"/>
      <c r="AC395" s="281"/>
      <c r="AD395" s="246" t="s">
        <v>2664</v>
      </c>
      <c r="AE395" s="281"/>
      <c r="AF395" s="281"/>
      <c r="AG395" s="413"/>
      <c r="AH395" s="413"/>
      <c r="AI395" s="13" t="s">
        <v>2665</v>
      </c>
      <c r="AJ395" s="413"/>
      <c r="AK395" s="413"/>
      <c r="AL395" s="413"/>
      <c r="AM395" s="413"/>
      <c r="AN395" s="413"/>
      <c r="AO395" s="10"/>
      <c r="AP395" s="736"/>
      <c r="AQ395" s="736"/>
      <c r="AR395" s="10"/>
      <c r="AS395" s="10"/>
      <c r="AT395" s="671"/>
      <c r="AU395" s="671"/>
      <c r="AV395" s="10"/>
      <c r="AW395" s="13"/>
      <c r="AX395" s="10"/>
      <c r="AY395" s="736"/>
      <c r="AZ395" s="736"/>
      <c r="BA395" s="10"/>
      <c r="BB395" s="10"/>
      <c r="BC395" s="671"/>
      <c r="BD395" s="671"/>
      <c r="BE395" s="10"/>
      <c r="BF395" s="10"/>
      <c r="BG395" s="512"/>
      <c r="BH395" s="736"/>
      <c r="BI395" s="736"/>
      <c r="BJ395" s="270"/>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94"/>
      <c r="CJ395" s="94"/>
      <c r="CK395" s="94"/>
      <c r="CL395" s="94"/>
      <c r="CM395" s="94"/>
      <c r="CN395" s="94"/>
      <c r="CO395" s="94"/>
      <c r="CP395" s="94"/>
      <c r="CQ395" s="94"/>
      <c r="CR395" s="94"/>
      <c r="CS395" s="94"/>
      <c r="CT395" s="94"/>
      <c r="CU395" s="94"/>
      <c r="CV395" s="94"/>
      <c r="CW395" s="94"/>
      <c r="CX395" s="94"/>
      <c r="CY395" s="94"/>
      <c r="CZ395" s="94"/>
    </row>
    <row r="396" spans="1:104" ht="12.75">
      <c r="A396" s="74"/>
      <c r="B396" s="287" t="str">
        <f>IF(B126="","",B126)</f>
        <v/>
      </c>
      <c r="C396" s="9"/>
      <c r="D396" s="287" t="str">
        <f>IF(D126="","",D126)</f>
        <v/>
      </c>
      <c r="E396" s="3"/>
      <c r="F396" s="883" t="str">
        <f>IF(F126="","",F126)</f>
        <v/>
      </c>
      <c r="G396" s="883"/>
      <c r="H396" s="883"/>
      <c r="I396" s="883"/>
      <c r="J396" s="883"/>
      <c r="K396" s="883"/>
      <c r="L396" s="883"/>
      <c r="M396" s="883"/>
      <c r="N396" s="883"/>
      <c r="O396" s="883"/>
      <c r="P396" s="883"/>
      <c r="Q396" s="883"/>
      <c r="R396" s="883"/>
      <c r="S396" s="883"/>
      <c r="T396" s="284"/>
      <c r="U396" s="289"/>
      <c r="V396" s="289"/>
      <c r="W396" s="289"/>
      <c r="X396" s="289"/>
      <c r="Y396" s="289"/>
      <c r="Z396" s="289"/>
      <c r="AA396" s="289"/>
      <c r="AB396" s="289"/>
      <c r="AC396" s="289"/>
      <c r="AD396" s="883" t="str">
        <f>IF(AD126="","",AD126)</f>
        <v/>
      </c>
      <c r="AE396" s="883"/>
      <c r="AF396" s="883"/>
      <c r="AG396" s="883"/>
      <c r="AH396" s="71"/>
      <c r="AI396" s="287" t="str">
        <f t="shared" ref="AI396:AJ400" si="316">IF(AI126="","",AI126)</f>
        <v/>
      </c>
      <c r="AJ396" s="13" t="str">
        <f t="shared" si="316"/>
        <v/>
      </c>
      <c r="AK396" s="13"/>
      <c r="AL396" s="13"/>
      <c r="AM396" s="672"/>
      <c r="AN396" s="672"/>
      <c r="AO396" s="13"/>
      <c r="AP396" s="75" t="str">
        <f t="shared" ref="AP396:AR400" si="317">IF(AP126="","",AP126)</f>
        <v/>
      </c>
      <c r="AQ396" s="13" t="str">
        <f t="shared" si="317"/>
        <v/>
      </c>
      <c r="AR396" s="746" t="str">
        <f>IF(AR126="","",AR126)</f>
        <v/>
      </c>
      <c r="AS396" s="746"/>
      <c r="AT396" s="671"/>
      <c r="AU396" s="671"/>
      <c r="AV396" s="13"/>
      <c r="AY396" s="75" t="str">
        <f t="shared" ref="AY396:BA400" si="318">IF(AY126="","",AY126)</f>
        <v/>
      </c>
      <c r="AZ396" s="13" t="str">
        <f t="shared" si="318"/>
        <v/>
      </c>
      <c r="BA396" s="746" t="str">
        <f>IF(BA126="","",BA126)</f>
        <v/>
      </c>
      <c r="BB396" s="746"/>
      <c r="BC396" s="671"/>
      <c r="BD396" s="671"/>
      <c r="BG396" s="13" t="s">
        <v>142</v>
      </c>
      <c r="BH396" s="884" t="str">
        <f t="shared" ref="BH396:BI400" si="319">IF(BH126="","",BH126)</f>
        <v/>
      </c>
      <c r="BI396" s="884" t="str">
        <f t="shared" si="319"/>
        <v/>
      </c>
      <c r="BJ396" s="271"/>
      <c r="BM396" s="726">
        <f>COUNTIF(AR395:AR400,"Qualified")+COUNTIF(BA395:BA400,"Qualified")</f>
        <v>0</v>
      </c>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94"/>
      <c r="CJ396" s="94"/>
      <c r="CK396" s="94"/>
      <c r="CL396" s="94"/>
      <c r="CM396" s="94"/>
      <c r="CN396" s="94"/>
      <c r="CO396" s="94"/>
      <c r="CP396" s="94"/>
      <c r="CQ396" s="94"/>
      <c r="CR396" s="94"/>
      <c r="CS396" s="94"/>
      <c r="CT396" s="94"/>
      <c r="CU396" s="94"/>
      <c r="CV396" s="94"/>
      <c r="CW396" s="94"/>
      <c r="CX396" s="94"/>
      <c r="CY396" s="94"/>
      <c r="CZ396" s="94"/>
    </row>
    <row r="397" spans="1:104" ht="12.75" customHeight="1">
      <c r="A397" s="74"/>
      <c r="B397" s="288" t="str">
        <f>IF(B127="","",B127)</f>
        <v/>
      </c>
      <c r="C397" s="9"/>
      <c r="D397" s="288" t="str">
        <f>IF(D127="","",D127)</f>
        <v/>
      </c>
      <c r="E397" s="3"/>
      <c r="F397" s="925" t="str">
        <f>IF(F127="","",F127)</f>
        <v/>
      </c>
      <c r="G397" s="925"/>
      <c r="H397" s="925"/>
      <c r="I397" s="925"/>
      <c r="J397" s="925"/>
      <c r="K397" s="925"/>
      <c r="L397" s="925"/>
      <c r="M397" s="925"/>
      <c r="N397" s="925"/>
      <c r="O397" s="925"/>
      <c r="P397" s="925"/>
      <c r="Q397" s="925"/>
      <c r="R397" s="925"/>
      <c r="S397" s="925"/>
      <c r="T397" s="284"/>
      <c r="U397" s="289"/>
      <c r="V397" s="289"/>
      <c r="W397" s="289"/>
      <c r="X397" s="289"/>
      <c r="Y397" s="289"/>
      <c r="Z397" s="289"/>
      <c r="AA397" s="289"/>
      <c r="AB397" s="289"/>
      <c r="AC397" s="289"/>
      <c r="AD397" s="925" t="str">
        <f>IF(AD127="","",AD127)</f>
        <v/>
      </c>
      <c r="AE397" s="925"/>
      <c r="AF397" s="925"/>
      <c r="AG397" s="925"/>
      <c r="AH397" s="71"/>
      <c r="AI397" s="288" t="str">
        <f t="shared" si="316"/>
        <v/>
      </c>
      <c r="AJ397" s="13" t="str">
        <f t="shared" si="316"/>
        <v/>
      </c>
      <c r="AK397" s="13"/>
      <c r="AL397" s="13"/>
      <c r="AM397" s="672"/>
      <c r="AN397" s="672"/>
      <c r="AO397" s="13"/>
      <c r="AP397" s="75" t="str">
        <f t="shared" si="317"/>
        <v/>
      </c>
      <c r="AQ397" s="13" t="str">
        <f t="shared" si="317"/>
        <v/>
      </c>
      <c r="AR397" s="746" t="str">
        <f t="shared" si="317"/>
        <v/>
      </c>
      <c r="AS397" s="746"/>
      <c r="AT397" s="671"/>
      <c r="AU397" s="671"/>
      <c r="AV397" s="13"/>
      <c r="AY397" s="75" t="str">
        <f t="shared" si="318"/>
        <v/>
      </c>
      <c r="AZ397" s="13" t="str">
        <f t="shared" si="318"/>
        <v/>
      </c>
      <c r="BA397" s="746" t="str">
        <f t="shared" si="318"/>
        <v/>
      </c>
      <c r="BB397" s="746"/>
      <c r="BC397" s="671"/>
      <c r="BD397" s="671"/>
      <c r="BG397" s="13" t="s">
        <v>142</v>
      </c>
      <c r="BH397" s="884" t="str">
        <f t="shared" si="319"/>
        <v/>
      </c>
      <c r="BI397" s="884" t="str">
        <f t="shared" si="319"/>
        <v/>
      </c>
      <c r="BJ397" s="271"/>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94"/>
      <c r="CJ397" s="94"/>
      <c r="CK397" s="94"/>
      <c r="CL397" s="94"/>
      <c r="CM397" s="94"/>
      <c r="CN397" s="94"/>
      <c r="CO397" s="94"/>
      <c r="CP397" s="94"/>
      <c r="CQ397" s="94"/>
      <c r="CR397" s="94"/>
      <c r="CS397" s="94"/>
      <c r="CT397" s="94"/>
      <c r="CU397" s="94"/>
      <c r="CV397" s="94"/>
      <c r="CW397" s="94"/>
      <c r="CX397" s="94"/>
      <c r="CY397" s="94"/>
      <c r="CZ397" s="94"/>
    </row>
    <row r="398" spans="1:104" ht="12.75">
      <c r="A398" s="74"/>
      <c r="B398" s="288" t="str">
        <f>IF(B128="","",B128)</f>
        <v/>
      </c>
      <c r="C398" s="9"/>
      <c r="D398" s="288" t="str">
        <f>IF(D128="","",D128)</f>
        <v/>
      </c>
      <c r="E398" s="3"/>
      <c r="F398" s="925" t="str">
        <f>IF(F128="","",F128)</f>
        <v/>
      </c>
      <c r="G398" s="925"/>
      <c r="H398" s="925"/>
      <c r="I398" s="925"/>
      <c r="J398" s="925"/>
      <c r="K398" s="925"/>
      <c r="L398" s="925"/>
      <c r="M398" s="925"/>
      <c r="N398" s="925"/>
      <c r="O398" s="925"/>
      <c r="P398" s="925"/>
      <c r="Q398" s="925"/>
      <c r="R398" s="925"/>
      <c r="S398" s="925"/>
      <c r="T398" s="284"/>
      <c r="U398" s="289"/>
      <c r="V398" s="289"/>
      <c r="W398" s="289"/>
      <c r="X398" s="289"/>
      <c r="Y398" s="289"/>
      <c r="Z398" s="289"/>
      <c r="AA398" s="289"/>
      <c r="AB398" s="289"/>
      <c r="AC398" s="289"/>
      <c r="AD398" s="925" t="str">
        <f>IF(AD128="","",AD128)</f>
        <v/>
      </c>
      <c r="AE398" s="925"/>
      <c r="AF398" s="925"/>
      <c r="AG398" s="925"/>
      <c r="AH398" s="71"/>
      <c r="AI398" s="288" t="str">
        <f t="shared" si="316"/>
        <v/>
      </c>
      <c r="AJ398" s="13" t="str">
        <f t="shared" si="316"/>
        <v/>
      </c>
      <c r="AK398" s="13"/>
      <c r="AL398" s="13"/>
      <c r="AM398" s="672"/>
      <c r="AN398" s="672"/>
      <c r="AO398" s="13"/>
      <c r="AP398" s="75" t="str">
        <f t="shared" si="317"/>
        <v/>
      </c>
      <c r="AQ398" s="13" t="str">
        <f t="shared" si="317"/>
        <v/>
      </c>
      <c r="AR398" s="746" t="str">
        <f t="shared" si="317"/>
        <v/>
      </c>
      <c r="AS398" s="746"/>
      <c r="AT398" s="671"/>
      <c r="AU398" s="671"/>
      <c r="AV398" s="13"/>
      <c r="AY398" s="75" t="str">
        <f t="shared" si="318"/>
        <v/>
      </c>
      <c r="AZ398" s="13" t="str">
        <f t="shared" si="318"/>
        <v/>
      </c>
      <c r="BA398" s="746" t="str">
        <f t="shared" si="318"/>
        <v/>
      </c>
      <c r="BB398" s="746"/>
      <c r="BC398" s="671"/>
      <c r="BD398" s="671"/>
      <c r="BG398" s="13" t="s">
        <v>142</v>
      </c>
      <c r="BH398" s="884" t="str">
        <f t="shared" si="319"/>
        <v/>
      </c>
      <c r="BI398" s="884" t="str">
        <f t="shared" si="319"/>
        <v/>
      </c>
      <c r="BJ398" s="271"/>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94"/>
      <c r="CJ398" s="94"/>
      <c r="CK398" s="94"/>
      <c r="CL398" s="94"/>
      <c r="CM398" s="94"/>
      <c r="CN398" s="94"/>
      <c r="CO398" s="94"/>
      <c r="CP398" s="94"/>
      <c r="CQ398" s="94"/>
      <c r="CR398" s="94"/>
      <c r="CS398" s="94"/>
      <c r="CT398" s="94"/>
      <c r="CU398" s="94"/>
      <c r="CV398" s="94"/>
      <c r="CW398" s="94"/>
      <c r="CX398" s="94"/>
      <c r="CY398" s="94"/>
      <c r="CZ398" s="94"/>
    </row>
    <row r="399" spans="1:104" ht="12.75">
      <c r="A399" s="74"/>
      <c r="B399" s="288" t="str">
        <f>IF(B129="","",B129)</f>
        <v/>
      </c>
      <c r="C399" s="9"/>
      <c r="D399" s="288" t="str">
        <f>IF(D129="","",D129)</f>
        <v/>
      </c>
      <c r="E399" s="3"/>
      <c r="F399" s="925" t="str">
        <f>IF(F129="","",F129)</f>
        <v/>
      </c>
      <c r="G399" s="925"/>
      <c r="H399" s="925"/>
      <c r="I399" s="925"/>
      <c r="J399" s="925"/>
      <c r="K399" s="925"/>
      <c r="L399" s="925"/>
      <c r="M399" s="925"/>
      <c r="N399" s="925"/>
      <c r="O399" s="925"/>
      <c r="P399" s="925"/>
      <c r="Q399" s="925"/>
      <c r="R399" s="925"/>
      <c r="S399" s="925"/>
      <c r="T399" s="284"/>
      <c r="U399" s="289"/>
      <c r="V399" s="289"/>
      <c r="W399" s="289"/>
      <c r="X399" s="289"/>
      <c r="Y399" s="289"/>
      <c r="Z399" s="289"/>
      <c r="AA399" s="289"/>
      <c r="AB399" s="289"/>
      <c r="AC399" s="289"/>
      <c r="AD399" s="925" t="str">
        <f>IF(AD129="","",AD129)</f>
        <v/>
      </c>
      <c r="AE399" s="925"/>
      <c r="AF399" s="925"/>
      <c r="AG399" s="925"/>
      <c r="AH399" s="71"/>
      <c r="AI399" s="288" t="str">
        <f t="shared" si="316"/>
        <v/>
      </c>
      <c r="AJ399" s="13" t="str">
        <f t="shared" si="316"/>
        <v/>
      </c>
      <c r="AK399" s="13"/>
      <c r="AL399" s="13"/>
      <c r="AM399" s="672"/>
      <c r="AN399" s="672"/>
      <c r="AO399" s="13"/>
      <c r="AP399" s="75" t="str">
        <f t="shared" si="317"/>
        <v/>
      </c>
      <c r="AQ399" s="13" t="str">
        <f t="shared" si="317"/>
        <v/>
      </c>
      <c r="AR399" s="746" t="str">
        <f t="shared" si="317"/>
        <v/>
      </c>
      <c r="AS399" s="746"/>
      <c r="AT399" s="671"/>
      <c r="AU399" s="671"/>
      <c r="AV399" s="13"/>
      <c r="AY399" s="75" t="str">
        <f t="shared" si="318"/>
        <v/>
      </c>
      <c r="AZ399" s="13" t="str">
        <f t="shared" si="318"/>
        <v/>
      </c>
      <c r="BA399" s="746" t="str">
        <f t="shared" si="318"/>
        <v/>
      </c>
      <c r="BB399" s="746"/>
      <c r="BC399" s="671"/>
      <c r="BD399" s="671"/>
      <c r="BG399" s="13" t="s">
        <v>142</v>
      </c>
      <c r="BH399" s="884" t="str">
        <f t="shared" si="319"/>
        <v/>
      </c>
      <c r="BI399" s="884" t="str">
        <f t="shared" si="319"/>
        <v/>
      </c>
      <c r="BJ399" s="271"/>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94"/>
      <c r="CJ399" s="94"/>
      <c r="CK399" s="94"/>
      <c r="CL399" s="94"/>
      <c r="CM399" s="94"/>
      <c r="CN399" s="94"/>
      <c r="CO399" s="94"/>
      <c r="CP399" s="94"/>
      <c r="CQ399" s="94"/>
      <c r="CR399" s="94"/>
      <c r="CS399" s="94"/>
      <c r="CT399" s="94"/>
      <c r="CU399" s="94"/>
      <c r="CV399" s="94"/>
      <c r="CW399" s="94"/>
      <c r="CX399" s="94"/>
      <c r="CY399" s="94"/>
      <c r="CZ399" s="94"/>
    </row>
    <row r="400" spans="1:104" ht="12.75">
      <c r="A400" s="74"/>
      <c r="B400" s="288" t="str">
        <f>IF(B130="","",B130)</f>
        <v/>
      </c>
      <c r="C400" s="9"/>
      <c r="D400" s="288" t="str">
        <f>IF(D130="","",D130)</f>
        <v/>
      </c>
      <c r="E400" s="3"/>
      <c r="F400" s="925" t="str">
        <f>IF(F130="","",F130)</f>
        <v/>
      </c>
      <c r="G400" s="925"/>
      <c r="H400" s="925"/>
      <c r="I400" s="925"/>
      <c r="J400" s="925"/>
      <c r="K400" s="925"/>
      <c r="L400" s="925"/>
      <c r="M400" s="925"/>
      <c r="N400" s="925"/>
      <c r="O400" s="925"/>
      <c r="P400" s="925"/>
      <c r="Q400" s="925"/>
      <c r="R400" s="925"/>
      <c r="S400" s="925"/>
      <c r="T400" s="284"/>
      <c r="U400" s="289"/>
      <c r="V400" s="289"/>
      <c r="W400" s="289"/>
      <c r="X400" s="289"/>
      <c r="Y400" s="289"/>
      <c r="Z400" s="289"/>
      <c r="AA400" s="289"/>
      <c r="AB400" s="289"/>
      <c r="AC400" s="289"/>
      <c r="AD400" s="925" t="str">
        <f>IF(AD130="","",AD130)</f>
        <v/>
      </c>
      <c r="AE400" s="925"/>
      <c r="AF400" s="925"/>
      <c r="AG400" s="925"/>
      <c r="AH400" s="71"/>
      <c r="AI400" s="288" t="str">
        <f t="shared" si="316"/>
        <v/>
      </c>
      <c r="AJ400" s="13" t="str">
        <f t="shared" si="316"/>
        <v/>
      </c>
      <c r="AK400" s="13"/>
      <c r="AL400" s="13"/>
      <c r="AM400" s="672"/>
      <c r="AN400" s="672"/>
      <c r="AO400" s="13"/>
      <c r="AP400" s="75" t="str">
        <f t="shared" si="317"/>
        <v/>
      </c>
      <c r="AQ400" s="13" t="str">
        <f t="shared" si="317"/>
        <v/>
      </c>
      <c r="AR400" s="746" t="str">
        <f t="shared" si="317"/>
        <v/>
      </c>
      <c r="AS400" s="746"/>
      <c r="AT400" s="671"/>
      <c r="AU400" s="671"/>
      <c r="AV400" s="13"/>
      <c r="AY400" s="75" t="str">
        <f t="shared" si="318"/>
        <v/>
      </c>
      <c r="AZ400" s="13" t="str">
        <f t="shared" si="318"/>
        <v/>
      </c>
      <c r="BA400" s="746" t="str">
        <f t="shared" si="318"/>
        <v/>
      </c>
      <c r="BB400" s="746"/>
      <c r="BC400" s="671"/>
      <c r="BD400" s="671"/>
      <c r="BG400" s="13" t="s">
        <v>142</v>
      </c>
      <c r="BH400" s="884" t="str">
        <f t="shared" si="319"/>
        <v/>
      </c>
      <c r="BI400" s="884" t="str">
        <f t="shared" si="319"/>
        <v/>
      </c>
      <c r="BJ400" s="271"/>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94"/>
      <c r="CJ400" s="94"/>
      <c r="CK400" s="94"/>
      <c r="CL400" s="94"/>
      <c r="CM400" s="94"/>
      <c r="CN400" s="94"/>
      <c r="CO400" s="94"/>
      <c r="CP400" s="94"/>
      <c r="CQ400" s="94"/>
      <c r="CR400" s="94"/>
      <c r="CS400" s="94"/>
      <c r="CT400" s="94"/>
      <c r="CU400" s="94"/>
      <c r="CV400" s="94"/>
      <c r="CW400" s="94"/>
      <c r="CX400" s="94"/>
      <c r="CY400" s="94"/>
      <c r="CZ400" s="94"/>
    </row>
    <row r="401" spans="1:104" ht="12.75" customHeight="1" thickBot="1">
      <c r="A401" s="76"/>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75"/>
      <c r="AE401" s="275"/>
      <c r="AF401" s="275"/>
      <c r="AG401" s="275"/>
      <c r="AH401" s="275"/>
      <c r="AI401" s="275"/>
      <c r="AJ401" s="275"/>
      <c r="AK401" s="275"/>
      <c r="AL401" s="275"/>
      <c r="AM401" s="275"/>
      <c r="AN401" s="275"/>
      <c r="AO401" s="275"/>
      <c r="AP401" s="275"/>
      <c r="AQ401" s="275"/>
      <c r="AR401" s="275"/>
      <c r="AS401" s="275"/>
      <c r="AT401" s="275"/>
      <c r="AU401" s="275"/>
      <c r="AV401" s="275"/>
      <c r="AW401" s="275"/>
      <c r="AX401" s="275"/>
      <c r="AY401" s="275"/>
      <c r="AZ401" s="275"/>
      <c r="BA401" s="275"/>
      <c r="BB401" s="275"/>
      <c r="BC401" s="275"/>
      <c r="BD401" s="275"/>
      <c r="BE401" s="275"/>
      <c r="BF401" s="275"/>
      <c r="BG401" s="275"/>
      <c r="BH401" s="275"/>
      <c r="BI401" s="277"/>
      <c r="BJ401" s="593"/>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94"/>
      <c r="CJ401" s="94"/>
      <c r="CK401" s="94"/>
      <c r="CL401" s="94"/>
      <c r="CM401" s="94"/>
      <c r="CN401" s="94"/>
      <c r="CO401" s="94"/>
      <c r="CP401" s="94"/>
      <c r="CQ401" s="94"/>
      <c r="CR401" s="94"/>
      <c r="CS401" s="94"/>
      <c r="CT401" s="94"/>
      <c r="CU401" s="94"/>
      <c r="CV401" s="94"/>
      <c r="CW401" s="94"/>
      <c r="CX401" s="94"/>
      <c r="CY401" s="94"/>
      <c r="CZ401" s="94"/>
    </row>
    <row r="402" spans="1:104" ht="14.25">
      <c r="B402" s="278" t="str">
        <f>B132</f>
        <v>* Indicates some incentives are available in Idaho only. Visit idahopower.com/multifamily to learn more.</v>
      </c>
      <c r="C402" s="3"/>
      <c r="D402" s="3"/>
      <c r="E402" s="3"/>
      <c r="F402" s="3"/>
      <c r="G402" s="3"/>
      <c r="H402" s="3"/>
      <c r="I402" s="3"/>
      <c r="J402" s="3"/>
      <c r="K402" s="3"/>
      <c r="L402" s="3"/>
      <c r="M402" s="3"/>
      <c r="N402" s="3"/>
      <c r="O402" s="3"/>
      <c r="P402" s="3"/>
      <c r="Q402" s="9"/>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79" t="s">
        <v>2753</v>
      </c>
      <c r="BG402" s="13" t="s">
        <v>142</v>
      </c>
      <c r="BH402" s="927" t="str">
        <f>IF(BH132="","",BH132)</f>
        <v/>
      </c>
      <c r="BI402" s="927"/>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94"/>
      <c r="CJ402" s="94"/>
      <c r="CK402" s="94"/>
      <c r="CL402" s="94"/>
      <c r="CM402" s="94"/>
      <c r="CN402" s="94"/>
      <c r="CO402" s="94"/>
      <c r="CP402" s="94"/>
      <c r="CQ402" s="94"/>
      <c r="CR402" s="94"/>
      <c r="CS402" s="94"/>
      <c r="CT402" s="94"/>
      <c r="CU402" s="94"/>
      <c r="CV402" s="94"/>
      <c r="CW402" s="94"/>
      <c r="CX402" s="94"/>
      <c r="CY402" s="94"/>
      <c r="CZ402" s="94"/>
    </row>
    <row r="403" spans="1:104" ht="14.25">
      <c r="A403" s="15" t="str">
        <f>Version</f>
        <v>MF (11/23)</v>
      </c>
      <c r="B403" s="272"/>
      <c r="Q403" s="592"/>
      <c r="R403" s="592"/>
      <c r="S403" s="592"/>
      <c r="T403" s="592"/>
      <c r="U403" s="592"/>
      <c r="V403" s="592"/>
      <c r="W403" s="592"/>
      <c r="X403" s="592"/>
      <c r="Y403" s="592"/>
      <c r="Z403" s="592"/>
      <c r="AA403" s="592"/>
      <c r="AB403" s="592"/>
      <c r="AC403" s="592"/>
      <c r="AD403" s="592"/>
      <c r="AE403" s="592"/>
      <c r="AF403" s="592"/>
      <c r="AG403" s="592"/>
      <c r="AH403" s="592"/>
      <c r="AI403" s="592"/>
      <c r="AJ403" s="592"/>
      <c r="AK403" s="592"/>
      <c r="AL403" s="592"/>
      <c r="AM403" s="592"/>
      <c r="AN403" s="592"/>
      <c r="AO403" s="592"/>
      <c r="AP403" s="592"/>
      <c r="AQ403" s="592"/>
      <c r="AR403" s="592"/>
      <c r="AS403" s="592"/>
      <c r="AT403" s="592"/>
      <c r="AU403" s="592"/>
      <c r="AV403" s="592"/>
      <c r="AW403" s="592"/>
      <c r="AX403" s="592"/>
      <c r="AY403" s="592"/>
      <c r="AZ403" s="592"/>
      <c r="BA403" s="592"/>
      <c r="BB403" s="592"/>
      <c r="BC403" s="592"/>
      <c r="BD403" s="592"/>
      <c r="BE403" s="592"/>
      <c r="BF403" s="592"/>
      <c r="BG403" s="592"/>
      <c r="BH403" s="592"/>
      <c r="BI403" s="592"/>
      <c r="BJ403" s="59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94"/>
      <c r="CJ403" s="94"/>
      <c r="CK403" s="94"/>
      <c r="CL403" s="94"/>
      <c r="CM403" s="94"/>
      <c r="CN403" s="94"/>
      <c r="CO403" s="94"/>
      <c r="CP403" s="94"/>
      <c r="CQ403" s="94"/>
      <c r="CR403" s="94"/>
      <c r="CS403" s="94"/>
      <c r="CT403" s="94"/>
      <c r="CU403" s="94"/>
      <c r="CV403" s="94"/>
      <c r="CW403" s="94"/>
      <c r="CX403" s="94"/>
      <c r="CY403" s="94"/>
      <c r="CZ403" s="94"/>
    </row>
    <row r="404" spans="1:104" ht="12.75" customHeight="1">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94"/>
      <c r="CJ404" s="94"/>
      <c r="CK404" s="94"/>
      <c r="CL404" s="94"/>
      <c r="CM404" s="94"/>
      <c r="CN404" s="94"/>
      <c r="CO404" s="94"/>
      <c r="CP404" s="94"/>
      <c r="CQ404" s="94"/>
      <c r="CR404" s="94"/>
      <c r="CS404" s="94"/>
      <c r="CT404" s="94"/>
      <c r="CU404" s="94"/>
      <c r="CV404" s="94"/>
      <c r="CW404" s="94"/>
      <c r="CX404" s="94"/>
      <c r="CY404" s="94"/>
      <c r="CZ404" s="94"/>
    </row>
    <row r="405" spans="1:104" ht="12.75" customHeight="1">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94"/>
      <c r="CJ405" s="94"/>
      <c r="CK405" s="94"/>
      <c r="CL405" s="94"/>
      <c r="CM405" s="94"/>
      <c r="CN405" s="94"/>
      <c r="CO405" s="94"/>
      <c r="CP405" s="94"/>
      <c r="CQ405" s="94"/>
      <c r="CR405" s="94"/>
      <c r="CS405" s="94"/>
      <c r="CT405" s="94"/>
      <c r="CU405" s="94"/>
      <c r="CV405" s="94"/>
      <c r="CW405" s="94"/>
      <c r="CX405" s="94"/>
      <c r="CY405" s="94"/>
      <c r="CZ405" s="94"/>
    </row>
    <row r="406" spans="1:104" ht="12.75" customHeigh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94"/>
      <c r="CJ406" s="94"/>
      <c r="CK406" s="94"/>
      <c r="CL406" s="94"/>
      <c r="CM406" s="94"/>
      <c r="CN406" s="94"/>
      <c r="CO406" s="94"/>
      <c r="CP406" s="94"/>
      <c r="CQ406" s="94"/>
      <c r="CR406" s="94"/>
      <c r="CS406" s="94"/>
      <c r="CT406" s="94"/>
      <c r="CU406" s="94"/>
      <c r="CV406" s="94"/>
      <c r="CW406" s="94"/>
      <c r="CX406" s="94"/>
      <c r="CY406" s="94"/>
      <c r="CZ406" s="94"/>
    </row>
    <row r="407" spans="1:104" ht="12.75" customHeight="1">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94"/>
      <c r="CJ407" s="94"/>
      <c r="CK407" s="94"/>
      <c r="CL407" s="94"/>
      <c r="CM407" s="94"/>
      <c r="CN407" s="94"/>
      <c r="CO407" s="94"/>
      <c r="CP407" s="94"/>
      <c r="CQ407" s="94"/>
      <c r="CR407" s="94"/>
      <c r="CS407" s="94"/>
      <c r="CT407" s="94"/>
      <c r="CU407" s="94"/>
      <c r="CV407" s="94"/>
      <c r="CW407" s="94"/>
      <c r="CX407" s="94"/>
      <c r="CY407" s="94"/>
      <c r="CZ407" s="94"/>
    </row>
    <row r="408" spans="1:104" ht="12.75" customHeight="1">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94"/>
      <c r="CJ408" s="94"/>
      <c r="CK408" s="94"/>
      <c r="CL408" s="94"/>
      <c r="CM408" s="94"/>
      <c r="CN408" s="94"/>
      <c r="CO408" s="94"/>
      <c r="CP408" s="94"/>
      <c r="CQ408" s="94"/>
      <c r="CR408" s="94"/>
      <c r="CS408" s="94"/>
      <c r="CT408" s="94"/>
      <c r="CU408" s="94"/>
      <c r="CV408" s="94"/>
      <c r="CW408" s="94"/>
      <c r="CX408" s="94"/>
      <c r="CY408" s="94"/>
      <c r="CZ408" s="94"/>
    </row>
    <row r="409" spans="1:104" ht="12.75" customHeight="1">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94"/>
      <c r="CJ409" s="94"/>
      <c r="CK409" s="94"/>
      <c r="CL409" s="94"/>
      <c r="CM409" s="94"/>
      <c r="CN409" s="94"/>
      <c r="CO409" s="94"/>
      <c r="CP409" s="94"/>
      <c r="CQ409" s="94"/>
      <c r="CR409" s="94"/>
      <c r="CS409" s="94"/>
      <c r="CT409" s="94"/>
      <c r="CU409" s="94"/>
      <c r="CV409" s="94"/>
      <c r="CW409" s="94"/>
      <c r="CX409" s="94"/>
      <c r="CY409" s="94"/>
      <c r="CZ409" s="94"/>
    </row>
    <row r="410" spans="1:104" ht="12.75"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94"/>
      <c r="CJ410" s="94"/>
      <c r="CK410" s="94"/>
      <c r="CL410" s="94"/>
      <c r="CM410" s="94"/>
      <c r="CN410" s="94"/>
      <c r="CO410" s="94"/>
      <c r="CP410" s="94"/>
      <c r="CQ410" s="94"/>
      <c r="CR410" s="94"/>
      <c r="CS410" s="94"/>
      <c r="CT410" s="94"/>
      <c r="CU410" s="94"/>
      <c r="CV410" s="94"/>
      <c r="CW410" s="94"/>
      <c r="CX410" s="94"/>
      <c r="CY410" s="94"/>
      <c r="CZ410" s="94"/>
    </row>
    <row r="411" spans="1:104" ht="12.75" customHeight="1">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94"/>
      <c r="CJ411" s="94"/>
      <c r="CK411" s="94"/>
      <c r="CL411" s="94"/>
      <c r="CM411" s="94"/>
      <c r="CN411" s="94"/>
      <c r="CO411" s="94"/>
      <c r="CP411" s="94"/>
      <c r="CQ411" s="94"/>
      <c r="CR411" s="94"/>
      <c r="CS411" s="94"/>
      <c r="CT411" s="94"/>
      <c r="CU411" s="94"/>
      <c r="CV411" s="94"/>
      <c r="CW411" s="94"/>
      <c r="CX411" s="94"/>
      <c r="CY411" s="94"/>
      <c r="CZ411" s="94"/>
    </row>
    <row r="412" spans="1:104" ht="12.75"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94"/>
      <c r="CJ412" s="94"/>
      <c r="CK412" s="94"/>
      <c r="CL412" s="94"/>
      <c r="CM412" s="94"/>
      <c r="CN412" s="94"/>
      <c r="CO412" s="94"/>
      <c r="CP412" s="94"/>
      <c r="CQ412" s="94"/>
      <c r="CR412" s="94"/>
      <c r="CS412" s="94"/>
      <c r="CT412" s="94"/>
      <c r="CU412" s="94"/>
      <c r="CV412" s="94"/>
      <c r="CW412" s="94"/>
      <c r="CX412" s="94"/>
      <c r="CY412" s="94"/>
      <c r="CZ412" s="94"/>
    </row>
    <row r="413" spans="1:104" ht="12.75"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94"/>
      <c r="CJ413" s="94"/>
      <c r="CK413" s="94"/>
      <c r="CL413" s="94"/>
      <c r="CM413" s="94"/>
      <c r="CN413" s="94"/>
      <c r="CO413" s="94"/>
      <c r="CP413" s="94"/>
      <c r="CQ413" s="94"/>
      <c r="CR413" s="94"/>
      <c r="CS413" s="94"/>
      <c r="CT413" s="94"/>
      <c r="CU413" s="94"/>
      <c r="CV413" s="94"/>
      <c r="CW413" s="94"/>
      <c r="CX413" s="94"/>
      <c r="CY413" s="94"/>
      <c r="CZ413" s="94"/>
    </row>
    <row r="414" spans="1:104" ht="12.75" customHeight="1">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c r="CB414" s="102"/>
      <c r="CC414" s="102"/>
      <c r="CD414" s="102"/>
      <c r="CE414" s="102"/>
      <c r="CF414" s="102"/>
      <c r="CG414" s="102"/>
      <c r="CH414" s="102"/>
      <c r="CI414" s="94"/>
      <c r="CJ414" s="94"/>
      <c r="CK414" s="94"/>
      <c r="CL414" s="94"/>
      <c r="CM414" s="94"/>
      <c r="CN414" s="94"/>
      <c r="CO414" s="94"/>
      <c r="CP414" s="94"/>
      <c r="CQ414" s="94"/>
      <c r="CR414" s="94"/>
      <c r="CS414" s="94"/>
      <c r="CT414" s="94"/>
      <c r="CU414" s="94"/>
      <c r="CV414" s="94"/>
      <c r="CW414" s="94"/>
      <c r="CX414" s="94"/>
      <c r="CY414" s="94"/>
      <c r="CZ414" s="94"/>
    </row>
    <row r="415" spans="1:104" ht="12.75" customHeight="1">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94"/>
      <c r="CJ415" s="94"/>
      <c r="CK415" s="94"/>
      <c r="CL415" s="94"/>
      <c r="CM415" s="94"/>
      <c r="CN415" s="94"/>
      <c r="CO415" s="94"/>
      <c r="CP415" s="94"/>
      <c r="CQ415" s="94"/>
      <c r="CR415" s="94"/>
      <c r="CS415" s="94"/>
      <c r="CT415" s="94"/>
      <c r="CU415" s="94"/>
      <c r="CV415" s="94"/>
      <c r="CW415" s="94"/>
      <c r="CX415" s="94"/>
      <c r="CY415" s="94"/>
      <c r="CZ415" s="94"/>
    </row>
    <row r="416" spans="1:104" ht="12.75"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94"/>
      <c r="CJ416" s="94"/>
      <c r="CK416" s="94"/>
      <c r="CL416" s="94"/>
      <c r="CM416" s="94"/>
      <c r="CN416" s="94"/>
      <c r="CO416" s="94"/>
      <c r="CP416" s="94"/>
      <c r="CQ416" s="94"/>
      <c r="CR416" s="94"/>
      <c r="CS416" s="94"/>
      <c r="CT416" s="94"/>
      <c r="CU416" s="94"/>
      <c r="CV416" s="94"/>
      <c r="CW416" s="94"/>
      <c r="CX416" s="94"/>
      <c r="CY416" s="94"/>
      <c r="CZ416" s="94"/>
    </row>
    <row r="417" spans="1:104" ht="12.7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94"/>
      <c r="CJ417" s="94"/>
      <c r="CK417" s="94"/>
      <c r="CL417" s="94"/>
      <c r="CM417" s="94"/>
      <c r="CN417" s="94"/>
      <c r="CO417" s="94"/>
      <c r="CP417" s="94"/>
      <c r="CQ417" s="94"/>
      <c r="CR417" s="94"/>
      <c r="CS417" s="94"/>
      <c r="CT417" s="94"/>
      <c r="CU417" s="94"/>
      <c r="CV417" s="94"/>
      <c r="CW417" s="94"/>
      <c r="CX417" s="94"/>
      <c r="CY417" s="94"/>
      <c r="CZ417" s="94"/>
    </row>
    <row r="418" spans="1:104" ht="12.75" customHeight="1">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94"/>
      <c r="CJ418" s="94"/>
      <c r="CK418" s="94"/>
      <c r="CL418" s="94"/>
      <c r="CM418" s="94"/>
      <c r="CN418" s="94"/>
      <c r="CO418" s="94"/>
      <c r="CP418" s="94"/>
      <c r="CQ418" s="94"/>
      <c r="CR418" s="94"/>
      <c r="CS418" s="94"/>
      <c r="CT418" s="94"/>
      <c r="CU418" s="94"/>
      <c r="CV418" s="94"/>
      <c r="CW418" s="94"/>
      <c r="CX418" s="94"/>
      <c r="CY418" s="94"/>
      <c r="CZ418" s="94"/>
    </row>
    <row r="419" spans="1:104" ht="12.7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94"/>
      <c r="CJ419" s="94"/>
      <c r="CK419" s="94"/>
      <c r="CL419" s="94"/>
      <c r="CM419" s="94"/>
      <c r="CN419" s="94"/>
      <c r="CO419" s="94"/>
      <c r="CP419" s="94"/>
      <c r="CQ419" s="94"/>
      <c r="CR419" s="94"/>
      <c r="CS419" s="94"/>
      <c r="CT419" s="94"/>
      <c r="CU419" s="94"/>
      <c r="CV419" s="94"/>
      <c r="CW419" s="94"/>
      <c r="CX419" s="94"/>
      <c r="CY419" s="94"/>
      <c r="CZ419" s="94"/>
    </row>
    <row r="420" spans="1:104" ht="12.75" customHeight="1">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94"/>
      <c r="CJ420" s="94"/>
      <c r="CK420" s="94"/>
      <c r="CL420" s="94"/>
      <c r="CM420" s="94"/>
      <c r="CN420" s="94"/>
      <c r="CO420" s="94"/>
      <c r="CP420" s="94"/>
      <c r="CQ420" s="94"/>
      <c r="CR420" s="94"/>
      <c r="CS420" s="94"/>
      <c r="CT420" s="94"/>
      <c r="CU420" s="94"/>
      <c r="CV420" s="94"/>
      <c r="CW420" s="94"/>
      <c r="CX420" s="94"/>
      <c r="CY420" s="94"/>
      <c r="CZ420" s="94"/>
    </row>
    <row r="421" spans="1:104" ht="12.75"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94"/>
      <c r="CJ421" s="94"/>
      <c r="CK421" s="94"/>
      <c r="CL421" s="94"/>
      <c r="CM421" s="94"/>
      <c r="CN421" s="94"/>
      <c r="CO421" s="94"/>
      <c r="CP421" s="94"/>
      <c r="CQ421" s="94"/>
      <c r="CR421" s="94"/>
      <c r="CS421" s="94"/>
      <c r="CT421" s="94"/>
      <c r="CU421" s="94"/>
      <c r="CV421" s="94"/>
      <c r="CW421" s="94"/>
      <c r="CX421" s="94"/>
      <c r="CY421" s="94"/>
      <c r="CZ421" s="94"/>
    </row>
    <row r="422" spans="1:104" ht="12.7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94"/>
      <c r="CJ422" s="94"/>
      <c r="CK422" s="94"/>
      <c r="CL422" s="94"/>
      <c r="CM422" s="94"/>
      <c r="CN422" s="94"/>
      <c r="CO422" s="94"/>
      <c r="CP422" s="94"/>
      <c r="CQ422" s="94"/>
      <c r="CR422" s="94"/>
      <c r="CS422" s="94"/>
      <c r="CT422" s="94"/>
      <c r="CU422" s="94"/>
      <c r="CV422" s="94"/>
      <c r="CW422" s="94"/>
      <c r="CX422" s="94"/>
      <c r="CY422" s="94"/>
      <c r="CZ422" s="94"/>
    </row>
    <row r="423" spans="1:104" ht="12.75" customHeight="1">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94"/>
      <c r="CJ423" s="94"/>
      <c r="CK423" s="94"/>
      <c r="CL423" s="94"/>
      <c r="CM423" s="94"/>
      <c r="CN423" s="94"/>
      <c r="CO423" s="94"/>
      <c r="CP423" s="94"/>
      <c r="CQ423" s="94"/>
      <c r="CR423" s="94"/>
      <c r="CS423" s="94"/>
      <c r="CT423" s="94"/>
      <c r="CU423" s="94"/>
      <c r="CV423" s="94"/>
      <c r="CW423" s="94"/>
      <c r="CX423" s="94"/>
      <c r="CY423" s="94"/>
      <c r="CZ423" s="94"/>
    </row>
    <row r="424" spans="1:104" ht="12.7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94"/>
      <c r="CJ424" s="94"/>
      <c r="CK424" s="94"/>
      <c r="CL424" s="94"/>
      <c r="CM424" s="94"/>
      <c r="CN424" s="94"/>
      <c r="CO424" s="94"/>
      <c r="CP424" s="94"/>
      <c r="CQ424" s="94"/>
      <c r="CR424" s="94"/>
      <c r="CS424" s="94"/>
      <c r="CT424" s="94"/>
      <c r="CU424" s="94"/>
      <c r="CV424" s="94"/>
      <c r="CW424" s="94"/>
      <c r="CX424" s="94"/>
      <c r="CY424" s="94"/>
      <c r="CZ424" s="94"/>
    </row>
    <row r="425" spans="1:104" ht="12.7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c r="CB425" s="102"/>
      <c r="CC425" s="102"/>
      <c r="CD425" s="102"/>
      <c r="CE425" s="102"/>
      <c r="CF425" s="102"/>
      <c r="CG425" s="102"/>
      <c r="CH425" s="102"/>
      <c r="CI425" s="94"/>
      <c r="CJ425" s="94"/>
      <c r="CK425" s="94"/>
      <c r="CL425" s="94"/>
      <c r="CM425" s="94"/>
      <c r="CN425" s="94"/>
      <c r="CO425" s="94"/>
      <c r="CP425" s="94"/>
      <c r="CQ425" s="94"/>
      <c r="CR425" s="94"/>
      <c r="CS425" s="94"/>
      <c r="CT425" s="94"/>
      <c r="CU425" s="94"/>
      <c r="CV425" s="94"/>
      <c r="CW425" s="94"/>
      <c r="CX425" s="94"/>
      <c r="CY425" s="94"/>
      <c r="CZ425" s="94"/>
    </row>
    <row r="426" spans="1:104" ht="12.75" customHeight="1">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c r="CI426" s="94"/>
      <c r="CJ426" s="94"/>
      <c r="CK426" s="94"/>
      <c r="CL426" s="94"/>
      <c r="CM426" s="94"/>
      <c r="CN426" s="94"/>
      <c r="CO426" s="94"/>
      <c r="CP426" s="94"/>
      <c r="CQ426" s="94"/>
      <c r="CR426" s="94"/>
      <c r="CS426" s="94"/>
      <c r="CT426" s="94"/>
      <c r="CU426" s="94"/>
      <c r="CV426" s="94"/>
      <c r="CW426" s="94"/>
      <c r="CX426" s="94"/>
      <c r="CY426" s="94"/>
      <c r="CZ426" s="94"/>
    </row>
    <row r="427" spans="1:104" ht="12.7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c r="CC427" s="102"/>
      <c r="CD427" s="102"/>
      <c r="CE427" s="102"/>
      <c r="CF427" s="102"/>
      <c r="CG427" s="102"/>
      <c r="CH427" s="102"/>
      <c r="CI427" s="94"/>
      <c r="CJ427" s="94"/>
      <c r="CK427" s="94"/>
      <c r="CL427" s="94"/>
      <c r="CM427" s="94"/>
      <c r="CN427" s="94"/>
      <c r="CO427" s="94"/>
      <c r="CP427" s="94"/>
      <c r="CQ427" s="94"/>
      <c r="CR427" s="94"/>
      <c r="CS427" s="94"/>
      <c r="CT427" s="94"/>
      <c r="CU427" s="94"/>
      <c r="CV427" s="94"/>
      <c r="CW427" s="94"/>
      <c r="CX427" s="94"/>
      <c r="CY427" s="94"/>
      <c r="CZ427" s="94"/>
    </row>
    <row r="428" spans="1:104" ht="12.75" customHeight="1"/>
    <row r="429" spans="1:104" ht="12.75" customHeight="1"/>
    <row r="430" spans="1:104" ht="12.75" customHeight="1"/>
    <row r="431" spans="1:104" ht="12.75" customHeight="1"/>
    <row r="432" spans="1:104"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sheetData>
  <sheetProtection algorithmName="SHA-512" hashValue="CQV9VRgOxMxl4K5HcDCoN47aSGYOiYf7mpe8A1XgPzF96CWhN8gPU4fJLVqS11FeJBgFjgG252FobQzMU4naUQ==" saltValue="vGj7/+lTwpcrxNPUflLp+Q==" spinCount="100000" sheet="1" objects="1" scenarios="1"/>
  <dataConsolidate/>
  <mergeCells count="1098">
    <mergeCell ref="BH38:BI38"/>
    <mergeCell ref="AP40:BF40"/>
    <mergeCell ref="BQ40:BW40"/>
    <mergeCell ref="W41:AB42"/>
    <mergeCell ref="CG35:CL35"/>
    <mergeCell ref="F35:U35"/>
    <mergeCell ref="AW16:AX16"/>
    <mergeCell ref="BE16:BF16"/>
    <mergeCell ref="AD19:AG19"/>
    <mergeCell ref="AW19:AX19"/>
    <mergeCell ref="BE19:BF19"/>
    <mergeCell ref="AD20:AG20"/>
    <mergeCell ref="AW20:AX20"/>
    <mergeCell ref="BE20:BF20"/>
    <mergeCell ref="AW36:AX36"/>
    <mergeCell ref="BE36:BF36"/>
    <mergeCell ref="AD17:AG17"/>
    <mergeCell ref="AW17:AX17"/>
    <mergeCell ref="W34:AB34"/>
    <mergeCell ref="AD34:AG34"/>
    <mergeCell ref="AW34:AX34"/>
    <mergeCell ref="BE34:BF34"/>
    <mergeCell ref="BH34:BI34"/>
    <mergeCell ref="CG34:CL34"/>
    <mergeCell ref="F34:U34"/>
    <mergeCell ref="CG31:CL31"/>
    <mergeCell ref="W30:AB30"/>
    <mergeCell ref="AD30:AG30"/>
    <mergeCell ref="AW30:AX30"/>
    <mergeCell ref="CG33:CL33"/>
    <mergeCell ref="AW32:AX32"/>
    <mergeCell ref="BE32:BF32"/>
    <mergeCell ref="AW18:AX18"/>
    <mergeCell ref="BE18:BF18"/>
    <mergeCell ref="AD15:AG15"/>
    <mergeCell ref="AW15:AX15"/>
    <mergeCell ref="BE15:BF15"/>
    <mergeCell ref="AD16:AG16"/>
    <mergeCell ref="BH32:BI32"/>
    <mergeCell ref="CG32:CL32"/>
    <mergeCell ref="W31:AB31"/>
    <mergeCell ref="AD31:AG31"/>
    <mergeCell ref="AW31:AX31"/>
    <mergeCell ref="BE31:BF31"/>
    <mergeCell ref="BH31:BI31"/>
    <mergeCell ref="CG36:CL36"/>
    <mergeCell ref="F36:U36"/>
    <mergeCell ref="R9:U10"/>
    <mergeCell ref="BG8:BI10"/>
    <mergeCell ref="BH11:BI11"/>
    <mergeCell ref="CG29:CL29"/>
    <mergeCell ref="W28:AB28"/>
    <mergeCell ref="AD28:AG28"/>
    <mergeCell ref="AW28:AX28"/>
    <mergeCell ref="BE28:BF28"/>
    <mergeCell ref="BH28:BI28"/>
    <mergeCell ref="CG28:CL28"/>
    <mergeCell ref="AD13:AG13"/>
    <mergeCell ref="AW13:AX13"/>
    <mergeCell ref="BE13:BF13"/>
    <mergeCell ref="AD14:AG14"/>
    <mergeCell ref="AW14:AX14"/>
    <mergeCell ref="BE14:BF14"/>
    <mergeCell ref="AD11:AG11"/>
    <mergeCell ref="AW11:AX11"/>
    <mergeCell ref="BE11:BF11"/>
    <mergeCell ref="AD12:AG12"/>
    <mergeCell ref="AW12:AX12"/>
    <mergeCell ref="BE12:BF12"/>
    <mergeCell ref="BE29:BF29"/>
    <mergeCell ref="BH29:BI29"/>
    <mergeCell ref="F27:U27"/>
    <mergeCell ref="F28:U28"/>
    <mergeCell ref="F29:U29"/>
    <mergeCell ref="W35:AB35"/>
    <mergeCell ref="AD35:AG35"/>
    <mergeCell ref="AW35:AX35"/>
    <mergeCell ref="BE35:BF35"/>
    <mergeCell ref="BH35:BI35"/>
    <mergeCell ref="W36:AB36"/>
    <mergeCell ref="AD36:AG36"/>
    <mergeCell ref="BE30:BF30"/>
    <mergeCell ref="BH30:BI30"/>
    <mergeCell ref="F30:U30"/>
    <mergeCell ref="F31:U31"/>
    <mergeCell ref="F32:U32"/>
    <mergeCell ref="F33:U33"/>
    <mergeCell ref="BH18:BI18"/>
    <mergeCell ref="BH19:BI19"/>
    <mergeCell ref="BH20:BI20"/>
    <mergeCell ref="W27:AB27"/>
    <mergeCell ref="AD27:AG27"/>
    <mergeCell ref="AW27:AX27"/>
    <mergeCell ref="BE27:BF27"/>
    <mergeCell ref="BH27:BI27"/>
    <mergeCell ref="W29:AB29"/>
    <mergeCell ref="CG27:CL27"/>
    <mergeCell ref="AP8:BF8"/>
    <mergeCell ref="BQ8:BW8"/>
    <mergeCell ref="W25:AB26"/>
    <mergeCell ref="AP25:AX25"/>
    <mergeCell ref="AY25:BF25"/>
    <mergeCell ref="CG25:CL26"/>
    <mergeCell ref="AP26:AW26"/>
    <mergeCell ref="AY26:BE26"/>
    <mergeCell ref="BQ24:BW24"/>
    <mergeCell ref="AP24:BF24"/>
    <mergeCell ref="AY10:BE10"/>
    <mergeCell ref="AP10:AW10"/>
    <mergeCell ref="AY9:BF9"/>
    <mergeCell ref="AP9:AX9"/>
    <mergeCell ref="W9:AB10"/>
    <mergeCell ref="BE17:BF17"/>
    <mergeCell ref="AD18:AG18"/>
    <mergeCell ref="F13:AA13"/>
    <mergeCell ref="F14:AA14"/>
    <mergeCell ref="F15:AA15"/>
    <mergeCell ref="F16:AA16"/>
    <mergeCell ref="F17:AA17"/>
    <mergeCell ref="F18:AA18"/>
    <mergeCell ref="F19:AA19"/>
    <mergeCell ref="BH22:BI22"/>
    <mergeCell ref="BH12:BI12"/>
    <mergeCell ref="BH13:BI13"/>
    <mergeCell ref="BH14:BI14"/>
    <mergeCell ref="BH15:BI15"/>
    <mergeCell ref="BH16:BI16"/>
    <mergeCell ref="BH17:BI17"/>
    <mergeCell ref="CG30:CL30"/>
    <mergeCell ref="W33:AB33"/>
    <mergeCell ref="AD33:AG33"/>
    <mergeCell ref="AW33:AX33"/>
    <mergeCell ref="BE33:BF33"/>
    <mergeCell ref="AW372:AX372"/>
    <mergeCell ref="BE372:BF372"/>
    <mergeCell ref="BQ2:BX3"/>
    <mergeCell ref="BQ110:BW110"/>
    <mergeCell ref="BQ123:BW123"/>
    <mergeCell ref="BH79:BI79"/>
    <mergeCell ref="BH80:BI80"/>
    <mergeCell ref="BH81:BI81"/>
    <mergeCell ref="BH82:BI82"/>
    <mergeCell ref="BH83:BI83"/>
    <mergeCell ref="BG110:BI112"/>
    <mergeCell ref="BH84:BI84"/>
    <mergeCell ref="BH85:BI85"/>
    <mergeCell ref="BQ75:BW75"/>
    <mergeCell ref="BG75:BI77"/>
    <mergeCell ref="BH78:BI78"/>
    <mergeCell ref="BQ93:BW93"/>
    <mergeCell ref="BQ94:BW94"/>
    <mergeCell ref="AY4:BI4"/>
    <mergeCell ref="BE85:BF85"/>
    <mergeCell ref="BH87:BI87"/>
    <mergeCell ref="BH86:BI86"/>
    <mergeCell ref="AP75:BF75"/>
    <mergeCell ref="BE78:BF78"/>
    <mergeCell ref="BE81:BF81"/>
    <mergeCell ref="AW78:AX78"/>
    <mergeCell ref="BH36:BI36"/>
    <mergeCell ref="BH97:BI97"/>
    <mergeCell ref="BG94:BI96"/>
    <mergeCell ref="AP347:AW347"/>
    <mergeCell ref="AR130:AS130"/>
    <mergeCell ref="AW97:AX97"/>
    <mergeCell ref="BE97:BF97"/>
    <mergeCell ref="AR397:AS397"/>
    <mergeCell ref="AR398:AS398"/>
    <mergeCell ref="AP112:AW112"/>
    <mergeCell ref="AW375:AX375"/>
    <mergeCell ref="BH402:BI402"/>
    <mergeCell ref="BH367:BI367"/>
    <mergeCell ref="BA127:BB127"/>
    <mergeCell ref="BA128:BB128"/>
    <mergeCell ref="BA129:BB129"/>
    <mergeCell ref="BA399:BB399"/>
    <mergeCell ref="BA400:BB400"/>
    <mergeCell ref="BH375:BI375"/>
    <mergeCell ref="AY112:BF112"/>
    <mergeCell ref="AY382:BF382"/>
    <mergeCell ref="BA130:BB130"/>
    <mergeCell ref="BE375:BF375"/>
    <mergeCell ref="BH380:BI382"/>
    <mergeCell ref="BH386:BI386"/>
    <mergeCell ref="AP364:BF364"/>
    <mergeCell ref="BH364:BI366"/>
    <mergeCell ref="BH360:BI360"/>
    <mergeCell ref="BH361:BI361"/>
    <mergeCell ref="BH113:BI113"/>
    <mergeCell ref="BH114:BI114"/>
    <mergeCell ref="BH115:BI115"/>
    <mergeCell ref="BH117:BI117"/>
    <mergeCell ref="F400:S400"/>
    <mergeCell ref="AD400:AG400"/>
    <mergeCell ref="AW374:AX374"/>
    <mergeCell ref="BE374:BF374"/>
    <mergeCell ref="BH400:BI400"/>
    <mergeCell ref="F397:S397"/>
    <mergeCell ref="AD397:AG397"/>
    <mergeCell ref="R384:U384"/>
    <mergeCell ref="W384:AB384"/>
    <mergeCell ref="AD384:AG384"/>
    <mergeCell ref="BE384:BF384"/>
    <mergeCell ref="BH384:BI384"/>
    <mergeCell ref="AW383:AX383"/>
    <mergeCell ref="AW384:AX384"/>
    <mergeCell ref="AR399:AS399"/>
    <mergeCell ref="AR400:AS400"/>
    <mergeCell ref="BA397:BB397"/>
    <mergeCell ref="BA398:BB398"/>
    <mergeCell ref="BH397:BI397"/>
    <mergeCell ref="F398:S398"/>
    <mergeCell ref="AD398:AG398"/>
    <mergeCell ref="BH398:BI398"/>
    <mergeCell ref="F376:P376"/>
    <mergeCell ref="R376:U376"/>
    <mergeCell ref="W376:AB376"/>
    <mergeCell ref="AD376:AG376"/>
    <mergeCell ref="AW376:AX376"/>
    <mergeCell ref="BE376:BF376"/>
    <mergeCell ref="BH376:BI376"/>
    <mergeCell ref="BH362:BI362"/>
    <mergeCell ref="AW117:AX117"/>
    <mergeCell ref="BA126:BB126"/>
    <mergeCell ref="BH119:BI119"/>
    <mergeCell ref="BE371:BF371"/>
    <mergeCell ref="F399:S399"/>
    <mergeCell ref="AD399:AG399"/>
    <mergeCell ref="AW373:AX373"/>
    <mergeCell ref="BE373:BF373"/>
    <mergeCell ref="BH399:BI399"/>
    <mergeCell ref="BH374:BI374"/>
    <mergeCell ref="F375:P375"/>
    <mergeCell ref="AP382:AW382"/>
    <mergeCell ref="F386:P386"/>
    <mergeCell ref="BH378:BI378"/>
    <mergeCell ref="R381:U382"/>
    <mergeCell ref="W381:AB382"/>
    <mergeCell ref="AP380:BF380"/>
    <mergeCell ref="AP381:AX381"/>
    <mergeCell ref="F367:P367"/>
    <mergeCell ref="R367:U367"/>
    <mergeCell ref="W367:AB367"/>
    <mergeCell ref="AD367:AG367"/>
    <mergeCell ref="W369:AB369"/>
    <mergeCell ref="AD369:AG369"/>
    <mergeCell ref="AW369:AX369"/>
    <mergeCell ref="BE369:BF369"/>
    <mergeCell ref="BH369:BI369"/>
    <mergeCell ref="F368:P368"/>
    <mergeCell ref="R368:U368"/>
    <mergeCell ref="W368:AB368"/>
    <mergeCell ref="AD368:AG368"/>
    <mergeCell ref="BH368:BI368"/>
    <mergeCell ref="F369:P369"/>
    <mergeCell ref="R369:U369"/>
    <mergeCell ref="AW367:AX367"/>
    <mergeCell ref="BE367:BF367"/>
    <mergeCell ref="AW368:AX368"/>
    <mergeCell ref="R386:U386"/>
    <mergeCell ref="W386:AB386"/>
    <mergeCell ref="AD386:AG386"/>
    <mergeCell ref="BE386:BF386"/>
    <mergeCell ref="F396:S396"/>
    <mergeCell ref="AD396:AG396"/>
    <mergeCell ref="AR396:AS396"/>
    <mergeCell ref="BA396:BB396"/>
    <mergeCell ref="BH396:BI396"/>
    <mergeCell ref="BH392:BI395"/>
    <mergeCell ref="AP393:BE393"/>
    <mergeCell ref="AY394:AZ395"/>
    <mergeCell ref="AP394:AQ395"/>
    <mergeCell ref="AW385:AX385"/>
    <mergeCell ref="AW386:AX386"/>
    <mergeCell ref="F383:P383"/>
    <mergeCell ref="R383:U383"/>
    <mergeCell ref="W383:AB383"/>
    <mergeCell ref="AD383:AG383"/>
    <mergeCell ref="BE383:BF383"/>
    <mergeCell ref="BH383:BI383"/>
    <mergeCell ref="BH389:BI389"/>
    <mergeCell ref="F387:P387"/>
    <mergeCell ref="R387:U387"/>
    <mergeCell ref="W387:AB387"/>
    <mergeCell ref="AD387:AG387"/>
    <mergeCell ref="BE387:BF387"/>
    <mergeCell ref="BH387:BI387"/>
    <mergeCell ref="BE368:BF368"/>
    <mergeCell ref="AW387:AX387"/>
    <mergeCell ref="F385:P385"/>
    <mergeCell ref="R385:U385"/>
    <mergeCell ref="W385:AB385"/>
    <mergeCell ref="AD385:AG385"/>
    <mergeCell ref="BE385:BF385"/>
    <mergeCell ref="BH385:BI385"/>
    <mergeCell ref="F370:P370"/>
    <mergeCell ref="R370:U370"/>
    <mergeCell ref="W370:AB370"/>
    <mergeCell ref="W372:AB372"/>
    <mergeCell ref="AD372:AG372"/>
    <mergeCell ref="BH372:BI372"/>
    <mergeCell ref="F373:P373"/>
    <mergeCell ref="R373:U373"/>
    <mergeCell ref="W373:AB373"/>
    <mergeCell ref="AD373:AG373"/>
    <mergeCell ref="BH373:BI373"/>
    <mergeCell ref="F384:P384"/>
    <mergeCell ref="F372:P372"/>
    <mergeCell ref="R372:U372"/>
    <mergeCell ref="F371:P371"/>
    <mergeCell ref="R371:U371"/>
    <mergeCell ref="W371:AB371"/>
    <mergeCell ref="AD371:AG371"/>
    <mergeCell ref="BH371:BI371"/>
    <mergeCell ref="AW371:AX371"/>
    <mergeCell ref="F374:P374"/>
    <mergeCell ref="R374:U374"/>
    <mergeCell ref="W374:AB374"/>
    <mergeCell ref="AD374:AG374"/>
    <mergeCell ref="R365:U366"/>
    <mergeCell ref="W365:AB366"/>
    <mergeCell ref="AP365:AX365"/>
    <mergeCell ref="AY365:BF365"/>
    <mergeCell ref="AP366:AW366"/>
    <mergeCell ref="AY366:BE366"/>
    <mergeCell ref="F360:P360"/>
    <mergeCell ref="R360:U360"/>
    <mergeCell ref="W360:AB360"/>
    <mergeCell ref="AD360:AG360"/>
    <mergeCell ref="AW360:AX360"/>
    <mergeCell ref="BE360:BF360"/>
    <mergeCell ref="F361:P361"/>
    <mergeCell ref="R361:U361"/>
    <mergeCell ref="W361:AB361"/>
    <mergeCell ref="AD361:AG361"/>
    <mergeCell ref="AW361:AX361"/>
    <mergeCell ref="BE361:BF361"/>
    <mergeCell ref="F362:P362"/>
    <mergeCell ref="R362:U362"/>
    <mergeCell ref="W362:AB362"/>
    <mergeCell ref="AD362:AG362"/>
    <mergeCell ref="AW362:AX362"/>
    <mergeCell ref="BE362:BF362"/>
    <mergeCell ref="F358:P358"/>
    <mergeCell ref="R358:U358"/>
    <mergeCell ref="W358:AB358"/>
    <mergeCell ref="AD358:AG358"/>
    <mergeCell ref="AW358:AX358"/>
    <mergeCell ref="BE358:BF358"/>
    <mergeCell ref="BH358:BI358"/>
    <mergeCell ref="F359:P359"/>
    <mergeCell ref="R359:U359"/>
    <mergeCell ref="W359:AB359"/>
    <mergeCell ref="AD359:AG359"/>
    <mergeCell ref="AW359:AX359"/>
    <mergeCell ref="BE359:BF359"/>
    <mergeCell ref="BH359:BI359"/>
    <mergeCell ref="F356:P356"/>
    <mergeCell ref="R356:U356"/>
    <mergeCell ref="W356:AB356"/>
    <mergeCell ref="AD356:AG356"/>
    <mergeCell ref="AW356:AX356"/>
    <mergeCell ref="BE356:BF356"/>
    <mergeCell ref="BH356:BI356"/>
    <mergeCell ref="F357:P357"/>
    <mergeCell ref="R357:U357"/>
    <mergeCell ref="W357:AB357"/>
    <mergeCell ref="AD357:AG357"/>
    <mergeCell ref="AW357:AX357"/>
    <mergeCell ref="BE357:BF357"/>
    <mergeCell ref="BH357:BI357"/>
    <mergeCell ref="F355:P355"/>
    <mergeCell ref="R355:U355"/>
    <mergeCell ref="W355:AB355"/>
    <mergeCell ref="AD355:AG355"/>
    <mergeCell ref="AW355:AX355"/>
    <mergeCell ref="BE355:BF355"/>
    <mergeCell ref="BH355:BI355"/>
    <mergeCell ref="F352:P352"/>
    <mergeCell ref="R352:U352"/>
    <mergeCell ref="W352:AB352"/>
    <mergeCell ref="AD352:AG352"/>
    <mergeCell ref="AW352:AX352"/>
    <mergeCell ref="BE352:BF352"/>
    <mergeCell ref="BH352:BI352"/>
    <mergeCell ref="F353:P353"/>
    <mergeCell ref="R353:U353"/>
    <mergeCell ref="W353:AB353"/>
    <mergeCell ref="AD353:AG353"/>
    <mergeCell ref="AW353:AX353"/>
    <mergeCell ref="BE353:BF353"/>
    <mergeCell ref="BH353:BI353"/>
    <mergeCell ref="F351:P351"/>
    <mergeCell ref="R351:U351"/>
    <mergeCell ref="W351:AB351"/>
    <mergeCell ref="AD351:AG351"/>
    <mergeCell ref="AW351:AX351"/>
    <mergeCell ref="BE351:BF351"/>
    <mergeCell ref="BH351:BI351"/>
    <mergeCell ref="F349:P349"/>
    <mergeCell ref="R349:U349"/>
    <mergeCell ref="W349:AB349"/>
    <mergeCell ref="AD349:AG349"/>
    <mergeCell ref="AW349:AX349"/>
    <mergeCell ref="BE349:BF349"/>
    <mergeCell ref="BH349:BI349"/>
    <mergeCell ref="F354:P354"/>
    <mergeCell ref="R354:U354"/>
    <mergeCell ref="W354:AB354"/>
    <mergeCell ref="AD354:AG354"/>
    <mergeCell ref="AW354:AX354"/>
    <mergeCell ref="BE354:BF354"/>
    <mergeCell ref="BH354:BI354"/>
    <mergeCell ref="BH91:BI91"/>
    <mergeCell ref="BH92:BI92"/>
    <mergeCell ref="BH108:BI108"/>
    <mergeCell ref="BE98:BF98"/>
    <mergeCell ref="BH98:BI98"/>
    <mergeCell ref="F116:P116"/>
    <mergeCell ref="F350:P350"/>
    <mergeCell ref="R350:U350"/>
    <mergeCell ref="W350:AB350"/>
    <mergeCell ref="AD350:AG350"/>
    <mergeCell ref="AW350:AX350"/>
    <mergeCell ref="BE350:BF350"/>
    <mergeCell ref="BH350:BI350"/>
    <mergeCell ref="AW91:AX91"/>
    <mergeCell ref="AW92:AX92"/>
    <mergeCell ref="W348:AB348"/>
    <mergeCell ref="AD348:AG348"/>
    <mergeCell ref="AW348:AX348"/>
    <mergeCell ref="BE348:BF348"/>
    <mergeCell ref="BH348:BI348"/>
    <mergeCell ref="F113:P113"/>
    <mergeCell ref="BH345:BI347"/>
    <mergeCell ref="AP345:BF345"/>
    <mergeCell ref="AP346:AX346"/>
    <mergeCell ref="AY273:BI273"/>
    <mergeCell ref="AY274:BI274"/>
    <mergeCell ref="W114:AB114"/>
    <mergeCell ref="AD114:AG114"/>
    <mergeCell ref="AW114:AX114"/>
    <mergeCell ref="AD128:AG128"/>
    <mergeCell ref="AD113:AG113"/>
    <mergeCell ref="AW113:AX113"/>
    <mergeCell ref="AD130:AG130"/>
    <mergeCell ref="BH116:BI116"/>
    <mergeCell ref="AD117:AG117"/>
    <mergeCell ref="BE117:BF117"/>
    <mergeCell ref="BG122:BI125"/>
    <mergeCell ref="AW116:AX116"/>
    <mergeCell ref="BE116:BF116"/>
    <mergeCell ref="F348:P348"/>
    <mergeCell ref="R348:U348"/>
    <mergeCell ref="AD116:AG116"/>
    <mergeCell ref="AD282:AG282"/>
    <mergeCell ref="AW282:AX282"/>
    <mergeCell ref="BH282:BI282"/>
    <mergeCell ref="AD283:AG283"/>
    <mergeCell ref="AW283:AX283"/>
    <mergeCell ref="BH283:BI283"/>
    <mergeCell ref="AP278:BF278"/>
    <mergeCell ref="BH278:BI280"/>
    <mergeCell ref="AP279:AX279"/>
    <mergeCell ref="AP280:AW280"/>
    <mergeCell ref="AD281:AG281"/>
    <mergeCell ref="AW281:AX281"/>
    <mergeCell ref="BH281:BI281"/>
    <mergeCell ref="B271:T271"/>
    <mergeCell ref="R346:U347"/>
    <mergeCell ref="W346:AB347"/>
    <mergeCell ref="W297:AB297"/>
    <mergeCell ref="W301:AB301"/>
    <mergeCell ref="BH132:BI132"/>
    <mergeCell ref="BH130:BI130"/>
    <mergeCell ref="BH129:BI129"/>
    <mergeCell ref="BH128:BI128"/>
    <mergeCell ref="F130:S130"/>
    <mergeCell ref="F117:P117"/>
    <mergeCell ref="R117:U117"/>
    <mergeCell ref="W117:AB117"/>
    <mergeCell ref="W79:AB79"/>
    <mergeCell ref="W80:AB80"/>
    <mergeCell ref="W81:AB81"/>
    <mergeCell ref="F84:P84"/>
    <mergeCell ref="F85:P85"/>
    <mergeCell ref="F86:P86"/>
    <mergeCell ref="R84:U84"/>
    <mergeCell ref="F97:P97"/>
    <mergeCell ref="R97:U97"/>
    <mergeCell ref="F92:P92"/>
    <mergeCell ref="W92:AB92"/>
    <mergeCell ref="R92:U92"/>
    <mergeCell ref="W115:AB115"/>
    <mergeCell ref="F103:P103"/>
    <mergeCell ref="R103:U103"/>
    <mergeCell ref="R87:U87"/>
    <mergeCell ref="R86:U86"/>
    <mergeCell ref="F89:P89"/>
    <mergeCell ref="R85:U85"/>
    <mergeCell ref="W102:AB102"/>
    <mergeCell ref="F127:S127"/>
    <mergeCell ref="F129:S129"/>
    <mergeCell ref="F104:P104"/>
    <mergeCell ref="F105:P105"/>
    <mergeCell ref="R105:U105"/>
    <mergeCell ref="BE103:BF103"/>
    <mergeCell ref="AD90:AG90"/>
    <mergeCell ref="AD91:AG91"/>
    <mergeCell ref="AP111:AX111"/>
    <mergeCell ref="AW85:AX85"/>
    <mergeCell ref="R83:U83"/>
    <mergeCell ref="W84:AB84"/>
    <mergeCell ref="W85:AB85"/>
    <mergeCell ref="F100:P100"/>
    <mergeCell ref="R100:U100"/>
    <mergeCell ref="W100:AB100"/>
    <mergeCell ref="AD100:AG100"/>
    <mergeCell ref="AW100:AX100"/>
    <mergeCell ref="BE100:BF100"/>
    <mergeCell ref="F102:P102"/>
    <mergeCell ref="R102:U102"/>
    <mergeCell ref="R113:U113"/>
    <mergeCell ref="AW80:AX80"/>
    <mergeCell ref="AW81:AX81"/>
    <mergeCell ref="AW82:AX82"/>
    <mergeCell ref="AW83:AX83"/>
    <mergeCell ref="R76:U77"/>
    <mergeCell ref="AD78:AG78"/>
    <mergeCell ref="W76:AB77"/>
    <mergeCell ref="W82:AB82"/>
    <mergeCell ref="W83:AB83"/>
    <mergeCell ref="AD82:AG82"/>
    <mergeCell ref="AD83:AG83"/>
    <mergeCell ref="W78:AB78"/>
    <mergeCell ref="F91:P91"/>
    <mergeCell ref="R111:U112"/>
    <mergeCell ref="R114:U114"/>
    <mergeCell ref="F128:S128"/>
    <mergeCell ref="W103:AB103"/>
    <mergeCell ref="AD103:AG103"/>
    <mergeCell ref="AW103:AX103"/>
    <mergeCell ref="AP77:AW77"/>
    <mergeCell ref="AD87:AG87"/>
    <mergeCell ref="AD88:AG88"/>
    <mergeCell ref="AW84:AX84"/>
    <mergeCell ref="AD102:AG102"/>
    <mergeCell ref="AW102:AX102"/>
    <mergeCell ref="BE102:BF102"/>
    <mergeCell ref="AD92:AG92"/>
    <mergeCell ref="F83:P83"/>
    <mergeCell ref="W87:AB87"/>
    <mergeCell ref="W88:AB88"/>
    <mergeCell ref="W89:AB89"/>
    <mergeCell ref="W86:AB86"/>
    <mergeCell ref="AD84:AG84"/>
    <mergeCell ref="AD85:AG85"/>
    <mergeCell ref="W91:AB91"/>
    <mergeCell ref="AW99:AX99"/>
    <mergeCell ref="BE99:BF99"/>
    <mergeCell ref="AD86:AG86"/>
    <mergeCell ref="BE79:BF79"/>
    <mergeCell ref="BE80:BF80"/>
    <mergeCell ref="BE87:BF87"/>
    <mergeCell ref="BE88:BF88"/>
    <mergeCell ref="BE89:BF89"/>
    <mergeCell ref="BE86:BF86"/>
    <mergeCell ref="R95:U96"/>
    <mergeCell ref="W95:AB96"/>
    <mergeCell ref="AW98:AX98"/>
    <mergeCell ref="F87:P87"/>
    <mergeCell ref="F88:P88"/>
    <mergeCell ref="AD81:AG81"/>
    <mergeCell ref="AW79:AX79"/>
    <mergeCell ref="B1:T1"/>
    <mergeCell ref="BH90:BI90"/>
    <mergeCell ref="BE90:BF90"/>
    <mergeCell ref="BE91:BF91"/>
    <mergeCell ref="BE92:BF92"/>
    <mergeCell ref="AD79:AG79"/>
    <mergeCell ref="AD80:AG80"/>
    <mergeCell ref="BH88:BI88"/>
    <mergeCell ref="BH89:BI89"/>
    <mergeCell ref="AD89:AG89"/>
    <mergeCell ref="W90:AB90"/>
    <mergeCell ref="R88:U88"/>
    <mergeCell ref="R89:U89"/>
    <mergeCell ref="AY3:BI3"/>
    <mergeCell ref="AD98:AG98"/>
    <mergeCell ref="F20:AA20"/>
    <mergeCell ref="F11:AA11"/>
    <mergeCell ref="F12:AA12"/>
    <mergeCell ref="AY77:BE77"/>
    <mergeCell ref="F78:P78"/>
    <mergeCell ref="F79:P79"/>
    <mergeCell ref="F80:P80"/>
    <mergeCell ref="F81:P81"/>
    <mergeCell ref="F82:P82"/>
    <mergeCell ref="R80:U80"/>
    <mergeCell ref="R81:U81"/>
    <mergeCell ref="R82:U82"/>
    <mergeCell ref="R90:U90"/>
    <mergeCell ref="R91:U91"/>
    <mergeCell ref="F90:P90"/>
    <mergeCell ref="AP76:AX76"/>
    <mergeCell ref="AP95:AX95"/>
    <mergeCell ref="AD126:AG126"/>
    <mergeCell ref="AD127:AG127"/>
    <mergeCell ref="BH127:BI127"/>
    <mergeCell ref="BH126:BI126"/>
    <mergeCell ref="AR126:AS126"/>
    <mergeCell ref="AX124:AZ125"/>
    <mergeCell ref="AP123:AX123"/>
    <mergeCell ref="AY123:BF123"/>
    <mergeCell ref="BE115:BF115"/>
    <mergeCell ref="BE113:BF113"/>
    <mergeCell ref="BE114:BF114"/>
    <mergeCell ref="AP110:BF110"/>
    <mergeCell ref="F115:P115"/>
    <mergeCell ref="R115:U115"/>
    <mergeCell ref="AY111:BF111"/>
    <mergeCell ref="W111:AB112"/>
    <mergeCell ref="R116:U116"/>
    <mergeCell ref="W116:AB116"/>
    <mergeCell ref="AD115:AG115"/>
    <mergeCell ref="AW115:AX115"/>
    <mergeCell ref="F114:P114"/>
    <mergeCell ref="F126:S126"/>
    <mergeCell ref="AD129:AG129"/>
    <mergeCell ref="AO124:AQ125"/>
    <mergeCell ref="AR128:AS128"/>
    <mergeCell ref="AR129:AS129"/>
    <mergeCell ref="AR127:AS127"/>
    <mergeCell ref="AP122:BF122"/>
    <mergeCell ref="W113:AB113"/>
    <mergeCell ref="CG88:CL88"/>
    <mergeCell ref="CB89:CE89"/>
    <mergeCell ref="CG89:CL89"/>
    <mergeCell ref="CB90:CE90"/>
    <mergeCell ref="CG90:CL90"/>
    <mergeCell ref="CB91:CE91"/>
    <mergeCell ref="AD370:AG370"/>
    <mergeCell ref="AW370:AX370"/>
    <mergeCell ref="BE370:BF370"/>
    <mergeCell ref="BH370:BI370"/>
    <mergeCell ref="BE106:BF106"/>
    <mergeCell ref="BH106:BI106"/>
    <mergeCell ref="W105:AB105"/>
    <mergeCell ref="AD105:AG105"/>
    <mergeCell ref="AW105:AX105"/>
    <mergeCell ref="BE105:BF105"/>
    <mergeCell ref="BH105:BI105"/>
    <mergeCell ref="BH103:BI103"/>
    <mergeCell ref="AD104:AG104"/>
    <mergeCell ref="AW104:AX104"/>
    <mergeCell ref="BE104:BF104"/>
    <mergeCell ref="BH104:BI104"/>
    <mergeCell ref="CB99:CE99"/>
    <mergeCell ref="CG99:CL99"/>
    <mergeCell ref="CB115:CE115"/>
    <mergeCell ref="CG115:CL115"/>
    <mergeCell ref="CB116:CE116"/>
    <mergeCell ref="CG116:CL116"/>
    <mergeCell ref="R375:U375"/>
    <mergeCell ref="W375:AB375"/>
    <mergeCell ref="AD375:AG375"/>
    <mergeCell ref="CB76:CE77"/>
    <mergeCell ref="CG76:CL77"/>
    <mergeCell ref="CB78:CE78"/>
    <mergeCell ref="CG78:CL78"/>
    <mergeCell ref="CB79:CE79"/>
    <mergeCell ref="CG79:CL79"/>
    <mergeCell ref="CB80:CE80"/>
    <mergeCell ref="CG80:CL80"/>
    <mergeCell ref="CB81:CE81"/>
    <mergeCell ref="CG81:CL81"/>
    <mergeCell ref="CB82:CE82"/>
    <mergeCell ref="CG82:CL82"/>
    <mergeCell ref="CB83:CE83"/>
    <mergeCell ref="CG83:CL83"/>
    <mergeCell ref="CB84:CE84"/>
    <mergeCell ref="CG84:CL84"/>
    <mergeCell ref="CB85:CE85"/>
    <mergeCell ref="CG85:CL85"/>
    <mergeCell ref="CB86:CE86"/>
    <mergeCell ref="CG86:CL86"/>
    <mergeCell ref="CB87:CE87"/>
    <mergeCell ref="CG87:CL87"/>
    <mergeCell ref="CB88:CE88"/>
    <mergeCell ref="CB117:CE117"/>
    <mergeCell ref="CG117:CL117"/>
    <mergeCell ref="AD288:AG288"/>
    <mergeCell ref="CB114:CE114"/>
    <mergeCell ref="CG114:CL114"/>
    <mergeCell ref="CB100:CE100"/>
    <mergeCell ref="CG100:CL100"/>
    <mergeCell ref="CB101:CE101"/>
    <mergeCell ref="CG101:CL101"/>
    <mergeCell ref="CB102:CE102"/>
    <mergeCell ref="CG102:CL102"/>
    <mergeCell ref="CB103:CE103"/>
    <mergeCell ref="CG91:CL91"/>
    <mergeCell ref="CG103:CL103"/>
    <mergeCell ref="CB104:CE104"/>
    <mergeCell ref="CG104:CL104"/>
    <mergeCell ref="CB92:CE92"/>
    <mergeCell ref="CG92:CL92"/>
    <mergeCell ref="CB95:CE96"/>
    <mergeCell ref="CG95:CL96"/>
    <mergeCell ref="CB97:CE97"/>
    <mergeCell ref="CG97:CL97"/>
    <mergeCell ref="CB98:CE98"/>
    <mergeCell ref="CG98:CL98"/>
    <mergeCell ref="F44:AA44"/>
    <mergeCell ref="F45:AA45"/>
    <mergeCell ref="F46:AA46"/>
    <mergeCell ref="F47:AA47"/>
    <mergeCell ref="AD46:AG46"/>
    <mergeCell ref="AW46:AX46"/>
    <mergeCell ref="BE46:BF46"/>
    <mergeCell ref="BH46:BI46"/>
    <mergeCell ref="CB2:CL3"/>
    <mergeCell ref="CB105:CE105"/>
    <mergeCell ref="CG105:CL105"/>
    <mergeCell ref="CB106:CE106"/>
    <mergeCell ref="CG106:CL106"/>
    <mergeCell ref="CB111:CE112"/>
    <mergeCell ref="CG111:CL112"/>
    <mergeCell ref="CB113:CE113"/>
    <mergeCell ref="CG113:CL113"/>
    <mergeCell ref="R78:U78"/>
    <mergeCell ref="R79:U79"/>
    <mergeCell ref="AY95:BF95"/>
    <mergeCell ref="AP96:AW96"/>
    <mergeCell ref="AY96:BE96"/>
    <mergeCell ref="AP94:BF94"/>
    <mergeCell ref="AY76:BF76"/>
    <mergeCell ref="BE82:BF82"/>
    <mergeCell ref="BE83:BF83"/>
    <mergeCell ref="BE84:BF84"/>
    <mergeCell ref="AW86:AX86"/>
    <mergeCell ref="AW87:AX87"/>
    <mergeCell ref="AW88:AX88"/>
    <mergeCell ref="AW89:AX89"/>
    <mergeCell ref="AW90:AX90"/>
    <mergeCell ref="AD48:AG48"/>
    <mergeCell ref="AW48:AX48"/>
    <mergeCell ref="BE48:BF48"/>
    <mergeCell ref="BH48:BI48"/>
    <mergeCell ref="AD49:AG49"/>
    <mergeCell ref="AW49:AX49"/>
    <mergeCell ref="BE49:BF49"/>
    <mergeCell ref="BH49:BI49"/>
    <mergeCell ref="AD29:AG29"/>
    <mergeCell ref="AW29:AX29"/>
    <mergeCell ref="BH33:BI33"/>
    <mergeCell ref="W32:AB32"/>
    <mergeCell ref="AD32:AG32"/>
    <mergeCell ref="BE47:BF47"/>
    <mergeCell ref="BH47:BI47"/>
    <mergeCell ref="AD44:AG44"/>
    <mergeCell ref="AW44:AX44"/>
    <mergeCell ref="BE44:BF44"/>
    <mergeCell ref="BH44:BI44"/>
    <mergeCell ref="AD45:AG45"/>
    <mergeCell ref="AW45:AX45"/>
    <mergeCell ref="BE45:BF45"/>
    <mergeCell ref="BH45:BI45"/>
    <mergeCell ref="AP41:AX41"/>
    <mergeCell ref="AY41:BF41"/>
    <mergeCell ref="AP42:AW42"/>
    <mergeCell ref="AY42:BE42"/>
    <mergeCell ref="AD43:AG43"/>
    <mergeCell ref="AW43:AX43"/>
    <mergeCell ref="BE43:BF43"/>
    <mergeCell ref="BH43:BI43"/>
    <mergeCell ref="F43:AA43"/>
    <mergeCell ref="AD47:AG47"/>
    <mergeCell ref="AW47:AX47"/>
    <mergeCell ref="AP56:BF56"/>
    <mergeCell ref="BQ56:BW56"/>
    <mergeCell ref="W57:AB58"/>
    <mergeCell ref="AP57:AX57"/>
    <mergeCell ref="AY57:BF57"/>
    <mergeCell ref="AP58:AW58"/>
    <mergeCell ref="AY58:BE58"/>
    <mergeCell ref="F59:AA59"/>
    <mergeCell ref="AD59:AG59"/>
    <mergeCell ref="AW59:AX59"/>
    <mergeCell ref="BE59:BF59"/>
    <mergeCell ref="BH59:BI59"/>
    <mergeCell ref="AD52:AG52"/>
    <mergeCell ref="AW52:AX52"/>
    <mergeCell ref="BE52:BF52"/>
    <mergeCell ref="BH52:BI52"/>
    <mergeCell ref="BH54:BI54"/>
    <mergeCell ref="F48:AA48"/>
    <mergeCell ref="F49:AA49"/>
    <mergeCell ref="F50:AA50"/>
    <mergeCell ref="F51:AA51"/>
    <mergeCell ref="F52:AA52"/>
    <mergeCell ref="AD50:AG50"/>
    <mergeCell ref="AW50:AX50"/>
    <mergeCell ref="BE50:BF50"/>
    <mergeCell ref="BH50:BI50"/>
    <mergeCell ref="AD51:AG51"/>
    <mergeCell ref="AW51:AX51"/>
    <mergeCell ref="BE51:BF51"/>
    <mergeCell ref="BH51:BI51"/>
    <mergeCell ref="F62:AA62"/>
    <mergeCell ref="AD62:AG62"/>
    <mergeCell ref="AW62:AX62"/>
    <mergeCell ref="BE62:BF62"/>
    <mergeCell ref="BH62:BI62"/>
    <mergeCell ref="F63:AA63"/>
    <mergeCell ref="AD63:AG63"/>
    <mergeCell ref="AW63:AX63"/>
    <mergeCell ref="BE63:BF63"/>
    <mergeCell ref="BH63:BI63"/>
    <mergeCell ref="F60:AA60"/>
    <mergeCell ref="AD60:AG60"/>
    <mergeCell ref="AW60:AX60"/>
    <mergeCell ref="BE60:BF60"/>
    <mergeCell ref="BH60:BI60"/>
    <mergeCell ref="F61:AA61"/>
    <mergeCell ref="AD61:AG61"/>
    <mergeCell ref="AW61:AX61"/>
    <mergeCell ref="BE61:BF61"/>
    <mergeCell ref="BH61:BI61"/>
    <mergeCell ref="F66:AA66"/>
    <mergeCell ref="AD66:AG66"/>
    <mergeCell ref="AW66:AX66"/>
    <mergeCell ref="BE66:BF66"/>
    <mergeCell ref="BH66:BI66"/>
    <mergeCell ref="F67:AA67"/>
    <mergeCell ref="AD67:AG67"/>
    <mergeCell ref="AW67:AX67"/>
    <mergeCell ref="BE67:BF67"/>
    <mergeCell ref="BH67:BI67"/>
    <mergeCell ref="F64:AA64"/>
    <mergeCell ref="AD64:AG64"/>
    <mergeCell ref="AW64:AX64"/>
    <mergeCell ref="BE64:BF64"/>
    <mergeCell ref="BH64:BI64"/>
    <mergeCell ref="F65:AA65"/>
    <mergeCell ref="AD65:AG65"/>
    <mergeCell ref="AW65:AX65"/>
    <mergeCell ref="BE65:BF65"/>
    <mergeCell ref="BH65:BI65"/>
    <mergeCell ref="F68:AA68"/>
    <mergeCell ref="AD68:AG68"/>
    <mergeCell ref="AW68:AX68"/>
    <mergeCell ref="BE68:BF68"/>
    <mergeCell ref="BH68:BI68"/>
    <mergeCell ref="BH70:BI70"/>
    <mergeCell ref="F106:P106"/>
    <mergeCell ref="R106:U106"/>
    <mergeCell ref="W106:AB106"/>
    <mergeCell ref="AD106:AG106"/>
    <mergeCell ref="AW106:AX106"/>
    <mergeCell ref="BH100:BI100"/>
    <mergeCell ref="F101:P101"/>
    <mergeCell ref="R101:U101"/>
    <mergeCell ref="W101:AB101"/>
    <mergeCell ref="AD101:AG101"/>
    <mergeCell ref="AW101:AX101"/>
    <mergeCell ref="BE101:BF101"/>
    <mergeCell ref="BH101:BI101"/>
    <mergeCell ref="BH102:BI102"/>
    <mergeCell ref="R104:U104"/>
    <mergeCell ref="W104:AB104"/>
    <mergeCell ref="BH99:BI99"/>
    <mergeCell ref="F98:P98"/>
    <mergeCell ref="W97:AB97"/>
    <mergeCell ref="AD97:AG97"/>
    <mergeCell ref="R98:U98"/>
    <mergeCell ref="W98:AB98"/>
    <mergeCell ref="F99:P99"/>
    <mergeCell ref="R99:U99"/>
    <mergeCell ref="W99:AB99"/>
    <mergeCell ref="AD99:AG99"/>
    <mergeCell ref="AW288:AX288"/>
    <mergeCell ref="BH288:BI288"/>
    <mergeCell ref="AD289:AG289"/>
    <mergeCell ref="AW289:AX289"/>
    <mergeCell ref="BH289:BI289"/>
    <mergeCell ref="AD286:AG286"/>
    <mergeCell ref="AW286:AX286"/>
    <mergeCell ref="BH286:BI286"/>
    <mergeCell ref="AD287:AG287"/>
    <mergeCell ref="AW287:AX287"/>
    <mergeCell ref="BH287:BI287"/>
    <mergeCell ref="AD284:AG284"/>
    <mergeCell ref="AW284:AX284"/>
    <mergeCell ref="BH284:BI284"/>
    <mergeCell ref="AD285:AG285"/>
    <mergeCell ref="AW285:AX285"/>
    <mergeCell ref="BH285:BI285"/>
    <mergeCell ref="AD297:AG297"/>
    <mergeCell ref="AW297:AX297"/>
    <mergeCell ref="BE297:BF297"/>
    <mergeCell ref="BH297:BI297"/>
    <mergeCell ref="W298:AB298"/>
    <mergeCell ref="AD298:AG298"/>
    <mergeCell ref="AW298:AX298"/>
    <mergeCell ref="BE298:BF298"/>
    <mergeCell ref="BH298:BI298"/>
    <mergeCell ref="AP294:BF294"/>
    <mergeCell ref="BH294:BI296"/>
    <mergeCell ref="W295:AB296"/>
    <mergeCell ref="AP295:AX295"/>
    <mergeCell ref="AP296:AW296"/>
    <mergeCell ref="BH292:BI292"/>
    <mergeCell ref="AD290:AG290"/>
    <mergeCell ref="AW290:AX290"/>
    <mergeCell ref="BH290:BI290"/>
    <mergeCell ref="AD301:AG301"/>
    <mergeCell ref="AW301:AX301"/>
    <mergeCell ref="BE301:BF301"/>
    <mergeCell ref="BH301:BI301"/>
    <mergeCell ref="W302:AB302"/>
    <mergeCell ref="AD302:AG302"/>
    <mergeCell ref="AW302:AX302"/>
    <mergeCell ref="BE302:BF302"/>
    <mergeCell ref="BH302:BI302"/>
    <mergeCell ref="W299:AB299"/>
    <mergeCell ref="AD299:AG299"/>
    <mergeCell ref="AW299:AX299"/>
    <mergeCell ref="BE299:BF299"/>
    <mergeCell ref="BH299:BI299"/>
    <mergeCell ref="W300:AB300"/>
    <mergeCell ref="AD300:AG300"/>
    <mergeCell ref="AW300:AX300"/>
    <mergeCell ref="BE300:BF300"/>
    <mergeCell ref="BH300:BI300"/>
    <mergeCell ref="W305:AB305"/>
    <mergeCell ref="AD305:AG305"/>
    <mergeCell ref="AW305:AX305"/>
    <mergeCell ref="BE305:BF305"/>
    <mergeCell ref="BH305:BI305"/>
    <mergeCell ref="W306:AB306"/>
    <mergeCell ref="AD306:AG306"/>
    <mergeCell ref="AW306:AX306"/>
    <mergeCell ref="BE306:BF306"/>
    <mergeCell ref="BH306:BI306"/>
    <mergeCell ref="W303:AB303"/>
    <mergeCell ref="AD303:AG303"/>
    <mergeCell ref="AW303:AX303"/>
    <mergeCell ref="BE303:BF303"/>
    <mergeCell ref="BH303:BI303"/>
    <mergeCell ref="W304:AB304"/>
    <mergeCell ref="AD304:AG304"/>
    <mergeCell ref="AW304:AX304"/>
    <mergeCell ref="BE304:BF304"/>
    <mergeCell ref="BH304:BI304"/>
    <mergeCell ref="AD315:AG315"/>
    <mergeCell ref="AW315:AX315"/>
    <mergeCell ref="BE315:BF315"/>
    <mergeCell ref="BH315:BI315"/>
    <mergeCell ref="AD316:AG316"/>
    <mergeCell ref="AW316:AX316"/>
    <mergeCell ref="BE316:BF316"/>
    <mergeCell ref="BH316:BI316"/>
    <mergeCell ref="AD313:AG313"/>
    <mergeCell ref="AW313:AX313"/>
    <mergeCell ref="BE313:BF313"/>
    <mergeCell ref="BH313:BI313"/>
    <mergeCell ref="AD314:AG314"/>
    <mergeCell ref="AW314:AX314"/>
    <mergeCell ref="BE314:BF314"/>
    <mergeCell ref="BH314:BI314"/>
    <mergeCell ref="BH308:BI308"/>
    <mergeCell ref="AP310:BF310"/>
    <mergeCell ref="BH310:BI312"/>
    <mergeCell ref="AP311:AX311"/>
    <mergeCell ref="AP312:AW312"/>
    <mergeCell ref="AY311:BG311"/>
    <mergeCell ref="AY312:BF312"/>
    <mergeCell ref="AD319:AG319"/>
    <mergeCell ref="AW319:AX319"/>
    <mergeCell ref="BE319:BF319"/>
    <mergeCell ref="BH319:BI319"/>
    <mergeCell ref="AD320:AG320"/>
    <mergeCell ref="AW320:AX320"/>
    <mergeCell ref="BE320:BF320"/>
    <mergeCell ref="BH320:BI320"/>
    <mergeCell ref="F320:AA320"/>
    <mergeCell ref="AD317:AG317"/>
    <mergeCell ref="AW317:AX317"/>
    <mergeCell ref="BE317:BF317"/>
    <mergeCell ref="BH317:BI317"/>
    <mergeCell ref="AD318:AG318"/>
    <mergeCell ref="AW318:AX318"/>
    <mergeCell ref="BE318:BF318"/>
    <mergeCell ref="BH318:BI318"/>
    <mergeCell ref="BH324:BI324"/>
    <mergeCell ref="AP326:BF326"/>
    <mergeCell ref="BH326:BI328"/>
    <mergeCell ref="AP327:AX327"/>
    <mergeCell ref="AP328:AW328"/>
    <mergeCell ref="AY327:BG327"/>
    <mergeCell ref="AY328:BF328"/>
    <mergeCell ref="AD321:AG321"/>
    <mergeCell ref="AW321:AX321"/>
    <mergeCell ref="BE321:BF321"/>
    <mergeCell ref="BH321:BI321"/>
    <mergeCell ref="AD322:AG322"/>
    <mergeCell ref="AW322:AX322"/>
    <mergeCell ref="BE322:BF322"/>
    <mergeCell ref="BH322:BI322"/>
    <mergeCell ref="F321:AA321"/>
    <mergeCell ref="F322:AA322"/>
    <mergeCell ref="F333:AA333"/>
    <mergeCell ref="F334:AA334"/>
    <mergeCell ref="AD331:AG331"/>
    <mergeCell ref="AW331:AX331"/>
    <mergeCell ref="BE331:BF331"/>
    <mergeCell ref="BH331:BI331"/>
    <mergeCell ref="AD332:AG332"/>
    <mergeCell ref="AW332:AX332"/>
    <mergeCell ref="BE332:BF332"/>
    <mergeCell ref="BH332:BI332"/>
    <mergeCell ref="F331:AA331"/>
    <mergeCell ref="F332:AA332"/>
    <mergeCell ref="AD329:AG329"/>
    <mergeCell ref="AW329:AX329"/>
    <mergeCell ref="BE329:BF329"/>
    <mergeCell ref="BH329:BI329"/>
    <mergeCell ref="AD330:AG330"/>
    <mergeCell ref="AW330:AX330"/>
    <mergeCell ref="BE330:BF330"/>
    <mergeCell ref="BH330:BI330"/>
    <mergeCell ref="F329:AA329"/>
    <mergeCell ref="F330:AA330"/>
    <mergeCell ref="F316:AA316"/>
    <mergeCell ref="F317:AA317"/>
    <mergeCell ref="F318:AA318"/>
    <mergeCell ref="F319:AA319"/>
    <mergeCell ref="AD337:AG337"/>
    <mergeCell ref="AW337:AX337"/>
    <mergeCell ref="BE337:BF337"/>
    <mergeCell ref="BH337:BI337"/>
    <mergeCell ref="AD338:AG338"/>
    <mergeCell ref="AW338:AX338"/>
    <mergeCell ref="BE338:BF338"/>
    <mergeCell ref="BH338:BI338"/>
    <mergeCell ref="F337:AA337"/>
    <mergeCell ref="F338:AA338"/>
    <mergeCell ref="AD335:AG335"/>
    <mergeCell ref="AW335:AX335"/>
    <mergeCell ref="BE335:BF335"/>
    <mergeCell ref="BH335:BI335"/>
    <mergeCell ref="AD336:AG336"/>
    <mergeCell ref="AW336:AX336"/>
    <mergeCell ref="BE336:BF336"/>
    <mergeCell ref="BH336:BI336"/>
    <mergeCell ref="F335:AA335"/>
    <mergeCell ref="F336:AA336"/>
    <mergeCell ref="AD333:AG333"/>
    <mergeCell ref="AW333:AX333"/>
    <mergeCell ref="BE333:BF333"/>
    <mergeCell ref="BH333:BI333"/>
    <mergeCell ref="AD334:AG334"/>
    <mergeCell ref="AW334:AX334"/>
    <mergeCell ref="BE334:BF334"/>
    <mergeCell ref="BH334:BI334"/>
    <mergeCell ref="AY346:BG346"/>
    <mergeCell ref="AY347:BF347"/>
    <mergeCell ref="AY381:BG381"/>
    <mergeCell ref="BG24:BI26"/>
    <mergeCell ref="BG40:BI42"/>
    <mergeCell ref="BG56:BI58"/>
    <mergeCell ref="F297:U297"/>
    <mergeCell ref="F298:U298"/>
    <mergeCell ref="F299:U299"/>
    <mergeCell ref="F300:U300"/>
    <mergeCell ref="F301:U301"/>
    <mergeCell ref="F302:U302"/>
    <mergeCell ref="BH340:BI340"/>
    <mergeCell ref="F281:AA281"/>
    <mergeCell ref="F282:AA282"/>
    <mergeCell ref="F283:AA283"/>
    <mergeCell ref="F284:AA284"/>
    <mergeCell ref="F285:AA285"/>
    <mergeCell ref="F286:AA286"/>
    <mergeCell ref="F287:AA287"/>
    <mergeCell ref="F288:AA288"/>
    <mergeCell ref="F289:AA289"/>
    <mergeCell ref="F290:AA290"/>
    <mergeCell ref="AY295:BG295"/>
    <mergeCell ref="AY296:BF296"/>
    <mergeCell ref="F303:U303"/>
    <mergeCell ref="F304:U304"/>
    <mergeCell ref="F305:U305"/>
    <mergeCell ref="F306:U306"/>
    <mergeCell ref="F313:AA313"/>
    <mergeCell ref="F314:AA314"/>
    <mergeCell ref="F315:AA315"/>
  </mergeCells>
  <phoneticPr fontId="6" type="noConversion"/>
  <conditionalFormatting sqref="BJ126:BJ130 AR126:AR130 BA126:BA130 BE78:BE92">
    <cfRule type="cellIs" dxfId="407" priority="1164" stopIfTrue="1" operator="equal">
      <formula>"Not Qualified"</formula>
    </cfRule>
  </conditionalFormatting>
  <conditionalFormatting sqref="AW113:AW117">
    <cfRule type="cellIs" dxfId="406" priority="761" stopIfTrue="1" operator="equal">
      <formula>"Not Qualified"</formula>
    </cfRule>
  </conditionalFormatting>
  <conditionalFormatting sqref="BE113:BE117">
    <cfRule type="cellIs" dxfId="405" priority="760" stopIfTrue="1" operator="equal">
      <formula>"Not Qualified"</formula>
    </cfRule>
  </conditionalFormatting>
  <conditionalFormatting sqref="A391:BJ395 A401:BJ401 A396:AV400 BG396:BJ400 AY396:BD400 B365:AO366 AY365:BG366">
    <cfRule type="expression" dxfId="404" priority="758">
      <formula>$BR$1="OR"</formula>
    </cfRule>
  </conditionalFormatting>
  <conditionalFormatting sqref="A121:BJ125 B126:AI130 AY126:AZ130 BG126:BI130 AK126:AQ130 B97:Q106 BG97:BI106 AK97:AK106 AO97:AU106 V97:V106 AC97:AI106">
    <cfRule type="expression" dxfId="403" priority="669" stopIfTrue="1">
      <formula>$BR$1="OR"</formula>
    </cfRule>
  </conditionalFormatting>
  <conditionalFormatting sqref="B126:B130 D126:D130 F126:S130 AD126:AG130 AI126:AI130">
    <cfRule type="expression" dxfId="402" priority="668">
      <formula>AND($BR$1="OR",B126&lt;&gt;"")</formula>
    </cfRule>
  </conditionalFormatting>
  <conditionalFormatting sqref="AW126:AX130">
    <cfRule type="expression" dxfId="401" priority="755" stopIfTrue="1">
      <formula>$BR$1="OR"</formula>
    </cfRule>
  </conditionalFormatting>
  <conditionalFormatting sqref="AW97:AW106">
    <cfRule type="cellIs" dxfId="400" priority="754" stopIfTrue="1" operator="equal">
      <formula>"Not Qualified"</formula>
    </cfRule>
  </conditionalFormatting>
  <conditionalFormatting sqref="BE78:BF92">
    <cfRule type="cellIs" dxfId="399" priority="699" operator="equal">
      <formula>"ID Only*"</formula>
    </cfRule>
  </conditionalFormatting>
  <conditionalFormatting sqref="AW113:AX117">
    <cfRule type="cellIs" dxfId="398" priority="692" operator="equal">
      <formula>"ID Only*"</formula>
    </cfRule>
  </conditionalFormatting>
  <conditionalFormatting sqref="BE113:BF117">
    <cfRule type="cellIs" dxfId="397" priority="697" operator="equal">
      <formula>"ID Only*"</formula>
    </cfRule>
  </conditionalFormatting>
  <conditionalFormatting sqref="A94:BF96">
    <cfRule type="expression" dxfId="396" priority="502" stopIfTrue="1">
      <formula>$BR$1="OR"</formula>
    </cfRule>
  </conditionalFormatting>
  <conditionalFormatting sqref="AY95:BF95">
    <cfRule type="expression" dxfId="395" priority="695">
      <formula>$BR$1="OR"</formula>
    </cfRule>
  </conditionalFormatting>
  <conditionalFormatting sqref="AW97:AX106">
    <cfRule type="cellIs" dxfId="394" priority="683" operator="equal">
      <formula>"ID Only*"</formula>
    </cfRule>
    <cfRule type="cellIs" dxfId="393" priority="696" operator="equal">
      <formula>"Ineligible"</formula>
    </cfRule>
  </conditionalFormatting>
  <conditionalFormatting sqref="AW113:AX117">
    <cfRule type="cellIs" dxfId="392" priority="698" operator="equal">
      <formula>"Ineligible"</formula>
    </cfRule>
  </conditionalFormatting>
  <conditionalFormatting sqref="B113:B117 D113:D117 F113:P117 AD113:AG117 AI113:AI117 AK113:AK117 CB113:CE117 CG113:CL117 R113:U117 W113:AB117">
    <cfRule type="expression" dxfId="391" priority="584">
      <formula>AND($BR$1="OR",B113&lt;&gt;"",OR($F113="Air Conditioning VRF, Air Cooled",$F113="Heat Pump VRF, Water Cooled"))</formula>
    </cfRule>
  </conditionalFormatting>
  <conditionalFormatting sqref="BG113:BG117 AK113:AU117 AY113:BD117 CB113:CL117 AL97:AN106 B113:AI117">
    <cfRule type="expression" dxfId="390" priority="585" stopIfTrue="1">
      <formula>AND($BR$1="OR",OR($F97="Air Conditioning VRF, Air Cooled",$F97="Heat Pump VRF, Water Cooled"))</formula>
    </cfRule>
  </conditionalFormatting>
  <conditionalFormatting sqref="AR126:AU130 BA126:BD130">
    <cfRule type="cellIs" dxfId="389" priority="682" operator="equal">
      <formula>"ID Only*"</formula>
    </cfRule>
  </conditionalFormatting>
  <conditionalFormatting sqref="B78:B92 B97:B106 B113:B117 B11:B20 B27:B36">
    <cfRule type="expression" dxfId="388" priority="678" stopIfTrue="1">
      <formula>$AW11="Ineligible"</formula>
    </cfRule>
    <cfRule type="expression" dxfId="387" priority="693">
      <formula>AND(OR($D11&gt;0,$F11&lt;&gt;"",$R11&lt;&gt;"",$W11&lt;&gt;"",$AD11&lt;&gt;"",$AI11&gt;0,$AK11&gt;0),$B11="")</formula>
    </cfRule>
  </conditionalFormatting>
  <conditionalFormatting sqref="D78:D92 D97:D106 D113:D117 D11:D20 D27:D36">
    <cfRule type="expression" dxfId="386" priority="677" stopIfTrue="1">
      <formula>$AW11="Ineligible"</formula>
    </cfRule>
    <cfRule type="expression" dxfId="385" priority="687">
      <formula>AND(OR($B11&gt;0,$F11&lt;&gt;"",$R11&lt;&gt;"",$W11&lt;&gt;"",$AD11&lt;&gt;"",$AI11&gt;0,$AK11&gt;0),$D11="")</formula>
    </cfRule>
  </conditionalFormatting>
  <conditionalFormatting sqref="F78:P92 F97:P106 F113:P117 F11:P20 F27:P36">
    <cfRule type="expression" dxfId="384" priority="674" stopIfTrue="1">
      <formula>$AW11="Ineligible"</formula>
    </cfRule>
    <cfRule type="expression" dxfId="383" priority="686">
      <formula>AND(OR($B11&gt;0,$D11&gt;0,$R11&lt;&gt;"",$W11&lt;&gt;"",$AD11&lt;&gt;"",$AI11&gt;0,$AK11&gt;0),$F11="")</formula>
    </cfRule>
  </conditionalFormatting>
  <conditionalFormatting sqref="AD78:AG92 AD97:AG106 AD113:AG117 AD11:AG20 AD27:AG36">
    <cfRule type="expression" dxfId="382" priority="587" stopIfTrue="1">
      <formula>$AW11="Ineligible"</formula>
    </cfRule>
    <cfRule type="expression" dxfId="381" priority="681">
      <formula>AND(OR($B11&gt;0,$D11&gt;0,$F11&lt;&gt;"",$R11&lt;&gt;"",$W11&lt;&gt;"",$AI11&gt;0,$AK11&gt;0),$AD11="")</formula>
    </cfRule>
  </conditionalFormatting>
  <conditionalFormatting sqref="AI78:AI92 AI97:AI106 AI113:AI117 AI27:AI36">
    <cfRule type="expression" dxfId="380" priority="586" stopIfTrue="1">
      <formula>$AW27="Ineligible"</formula>
    </cfRule>
    <cfRule type="expression" dxfId="379" priority="680">
      <formula>AND(OR($B27&gt;0,$D27&gt;0,$F27&lt;&gt;"",$R27&lt;&gt;"",$W27&lt;&gt;"",$AD27&lt;&gt;"",$AK27&gt;0),$AI27="")</formula>
    </cfRule>
  </conditionalFormatting>
  <conditionalFormatting sqref="AK78:AK92 AK97:AK106 AK113:AK117 AK27:AK36">
    <cfRule type="expression" dxfId="378" priority="676" stopIfTrue="1">
      <formula>$AW27="Ineligible"</formula>
    </cfRule>
    <cfRule type="expression" dxfId="377" priority="679">
      <formula>AND(OR($B27&gt;0,$D27&gt;0,$F27&lt;&gt;"",$R27&lt;&gt;"",$W27&lt;&gt;"",$AD27&lt;&gt;"",$AI27&gt;0),$AK27="")</formula>
    </cfRule>
  </conditionalFormatting>
  <conditionalFormatting sqref="B126:B130">
    <cfRule type="expression" dxfId="376" priority="757">
      <formula>AND(OR($D126&gt;0,$F126&lt;&gt;"",$AD126&lt;&gt;"",$AI126&gt;0),B126="")</formula>
    </cfRule>
  </conditionalFormatting>
  <conditionalFormatting sqref="D126:D130">
    <cfRule type="expression" dxfId="375" priority="756">
      <formula>AND(OR($B126&gt;0,$F126&lt;&gt;"",$AD126&lt;&gt;"",$AI126&gt;0),D126="")</formula>
    </cfRule>
  </conditionalFormatting>
  <conditionalFormatting sqref="F126:S130">
    <cfRule type="expression" dxfId="374" priority="672">
      <formula>AND(OR($B126&gt;0,$D126&gt;0,$AD126&lt;&gt;"",$AI126&gt;0),$F126="")</formula>
    </cfRule>
  </conditionalFormatting>
  <conditionalFormatting sqref="AD126:AG130">
    <cfRule type="expression" dxfId="373" priority="671">
      <formula>AND(OR($B126&gt;0,$D126&gt;0,$F126&lt;&gt;"",,$AI126&gt;0),$AD126="")</formula>
    </cfRule>
  </conditionalFormatting>
  <conditionalFormatting sqref="AI126:AI130">
    <cfRule type="expression" dxfId="372" priority="670">
      <formula>AND(OR($B126&gt;0,$D126&gt;0,$F126&lt;&gt;"",$AD126&lt;&gt;""),$AI126="")</formula>
    </cfRule>
  </conditionalFormatting>
  <conditionalFormatting sqref="AP112:AW112">
    <cfRule type="expression" dxfId="371" priority="667" stopIfTrue="1">
      <formula>$BR$1="OR"</formula>
    </cfRule>
  </conditionalFormatting>
  <conditionalFormatting sqref="AY112:BF112">
    <cfRule type="expression" dxfId="370" priority="666" stopIfTrue="1">
      <formula>$BR$1="OR"</formula>
    </cfRule>
  </conditionalFormatting>
  <conditionalFormatting sqref="A365">
    <cfRule type="expression" dxfId="369" priority="664">
      <formula>$BR$1="OR"</formula>
    </cfRule>
  </conditionalFormatting>
  <conditionalFormatting sqref="B364:BG364">
    <cfRule type="expression" dxfId="368" priority="662">
      <formula>$BR$1="OR"</formula>
    </cfRule>
  </conditionalFormatting>
  <conditionalFormatting sqref="B367:BI376">
    <cfRule type="expression" dxfId="367" priority="661">
      <formula>$BR$1="OR"</formula>
    </cfRule>
  </conditionalFormatting>
  <conditionalFormatting sqref="BG378">
    <cfRule type="expression" dxfId="366" priority="660">
      <formula>$BR$1="OR"</formula>
    </cfRule>
  </conditionalFormatting>
  <conditionalFormatting sqref="BG389">
    <cfRule type="expression" dxfId="365" priority="659">
      <formula>$BR$1="OR"</formula>
    </cfRule>
  </conditionalFormatting>
  <conditionalFormatting sqref="BG402">
    <cfRule type="expression" dxfId="364" priority="658">
      <formula>$BR$1="OR"</formula>
    </cfRule>
  </conditionalFormatting>
  <conditionalFormatting sqref="AK78:AK92">
    <cfRule type="expression" dxfId="363" priority="483" stopIfTrue="1">
      <formula>OR($F78="Package Terminal Air Conditioners (PTAC)",$F78="Package Terminal Heat Pump (PTHP)")</formula>
    </cfRule>
  </conditionalFormatting>
  <conditionalFormatting sqref="AK97:AK106 AK113:AK117">
    <cfRule type="expression" dxfId="362" priority="581" stopIfTrue="1">
      <formula>$AR97="N/A"</formula>
    </cfRule>
  </conditionalFormatting>
  <conditionalFormatting sqref="AK111">
    <cfRule type="expression" dxfId="361" priority="655" stopIfTrue="1">
      <formula>$BR$1="OR"</formula>
    </cfRule>
  </conditionalFormatting>
  <conditionalFormatting sqref="CB94:CL96">
    <cfRule type="expression" dxfId="360" priority="598" stopIfTrue="1">
      <formula>$BR$1="OR"</formula>
    </cfRule>
  </conditionalFormatting>
  <conditionalFormatting sqref="CB97:CE106 CG97:CL106">
    <cfRule type="cellIs" dxfId="359" priority="518" stopIfTrue="1" operator="equal">
      <formula>""</formula>
    </cfRule>
    <cfRule type="cellIs" dxfId="358" priority="519" stopIfTrue="1" operator="equal">
      <formula>"N/A"</formula>
    </cfRule>
  </conditionalFormatting>
  <conditionalFormatting sqref="CB97:CB106 CG97:CG106">
    <cfRule type="expression" dxfId="357" priority="517" stopIfTrue="1">
      <formula>ISBLANK(CB97)=TRUE</formula>
    </cfRule>
  </conditionalFormatting>
  <conditionalFormatting sqref="CB97:CL106">
    <cfRule type="expression" dxfId="356" priority="512" stopIfTrue="1">
      <formula>$BR$1="OR"</formula>
    </cfRule>
  </conditionalFormatting>
  <conditionalFormatting sqref="CB97:CE106">
    <cfRule type="expression" dxfId="355" priority="514" stopIfTrue="1">
      <formula>$AW97="Ineligible"</formula>
    </cfRule>
    <cfRule type="expression" dxfId="354" priority="516">
      <formula>AND(OR($B97&gt;0,$D97&gt;0,$F97&lt;&gt;"",,$W97&lt;&gt;"",$AD97&lt;&gt;"",$AI97&gt;0,$AK97&gt;0),OR($R97="",$R97="Please Select"))</formula>
    </cfRule>
  </conditionalFormatting>
  <conditionalFormatting sqref="CG97:CL106">
    <cfRule type="expression" dxfId="353" priority="513" stopIfTrue="1">
      <formula>$AW97="Ineligible"</formula>
    </cfRule>
    <cfRule type="expression" dxfId="352" priority="515">
      <formula>AND(OR($B97&gt;0,$D97&gt;0,$F97&lt;&gt;"",$R97&lt;&gt;"",$AD97&lt;&gt;"",$AI97&gt;0,$AK97&gt;0),OR($W97="",$W97="Please Select"))</formula>
    </cfRule>
  </conditionalFormatting>
  <conditionalFormatting sqref="CB113:CE117">
    <cfRule type="expression" dxfId="351" priority="506" stopIfTrue="1">
      <formula>$AW113="Ineligible"</formula>
    </cfRule>
    <cfRule type="expression" dxfId="350" priority="508">
      <formula>AND(OR($B113&gt;0,$D113&gt;0,$F113&lt;&gt;"",,$W113&lt;&gt;"",$AD113&lt;&gt;"",$AI113&gt;0,$AK113&gt;0),OR($R113="",$R113="Please Select"))</formula>
    </cfRule>
  </conditionalFormatting>
  <conditionalFormatting sqref="CG113:CL117">
    <cfRule type="expression" dxfId="349" priority="505" stopIfTrue="1">
      <formula>$AW113="Ineligible"</formula>
    </cfRule>
    <cfRule type="expression" dxfId="348" priority="507">
      <formula>AND(OR($B113&gt;0,$D113&gt;0,$F113&lt;&gt;"",$R113&lt;&gt;"",$AD113&lt;&gt;"",$AI113&gt;0,$AK113&gt;0),OR($W113="",$W113="Please Select"))</formula>
    </cfRule>
  </conditionalFormatting>
  <conditionalFormatting sqref="CB113:CE117 CG113:CL117">
    <cfRule type="expression" dxfId="347" priority="509" stopIfTrue="1">
      <formula>ISBLANK(CB113)=TRUE</formula>
    </cfRule>
    <cfRule type="cellIs" dxfId="346" priority="510" stopIfTrue="1" operator="equal">
      <formula>""</formula>
    </cfRule>
    <cfRule type="cellIs" dxfId="345" priority="511" stopIfTrue="1" operator="equal">
      <formula>"N/A"</formula>
    </cfRule>
  </conditionalFormatting>
  <conditionalFormatting sqref="AI97:AI106 AI113:AI117">
    <cfRule type="expression" dxfId="344" priority="580">
      <formula>$AP97="N/A"</formula>
    </cfRule>
  </conditionalFormatting>
  <conditionalFormatting sqref="R92:U92">
    <cfRule type="cellIs" dxfId="343" priority="494" stopIfTrue="1" operator="equal">
      <formula>""</formula>
    </cfRule>
    <cfRule type="cellIs" dxfId="342" priority="495" stopIfTrue="1" operator="equal">
      <formula>"N/A"</formula>
    </cfRule>
  </conditionalFormatting>
  <conditionalFormatting sqref="R92">
    <cfRule type="expression" dxfId="341" priority="493" stopIfTrue="1">
      <formula>ISBLANK(R92)=TRUE</formula>
    </cfRule>
  </conditionalFormatting>
  <conditionalFormatting sqref="R92:U92">
    <cfRule type="cellIs" dxfId="340" priority="491" stopIfTrue="1" operator="equal">
      <formula>""</formula>
    </cfRule>
    <cfRule type="cellIs" dxfId="339" priority="492" stopIfTrue="1" operator="equal">
      <formula>"N/A"</formula>
    </cfRule>
  </conditionalFormatting>
  <conditionalFormatting sqref="R92">
    <cfRule type="expression" dxfId="338" priority="490" stopIfTrue="1">
      <formula>ISBLANK(R92)=TRUE</formula>
    </cfRule>
  </conditionalFormatting>
  <conditionalFormatting sqref="R92:U92">
    <cfRule type="cellIs" dxfId="337" priority="488" stopIfTrue="1" operator="equal">
      <formula>""</formula>
    </cfRule>
    <cfRule type="cellIs" dxfId="336" priority="489" stopIfTrue="1" operator="equal">
      <formula>"N/A"</formula>
    </cfRule>
  </conditionalFormatting>
  <conditionalFormatting sqref="R92">
    <cfRule type="expression" dxfId="335" priority="487" stopIfTrue="1">
      <formula>ISBLANK(R92)=TRUE</formula>
    </cfRule>
  </conditionalFormatting>
  <conditionalFormatting sqref="R78:U92">
    <cfRule type="expression" dxfId="334" priority="53" stopIfTrue="1">
      <formula>$AW78="Ineligible"</formula>
    </cfRule>
    <cfRule type="expression" dxfId="333" priority="484">
      <formula>AND(OR($B78&gt;0,$D78&gt;0,$F78&lt;&gt;"",,$W78&lt;&gt;"",$AD78&lt;&gt;"",$AI78&gt;0,$AK78&gt;0),OR($R78="",$R78="Please Select"))</formula>
    </cfRule>
  </conditionalFormatting>
  <conditionalFormatting sqref="R78:U92">
    <cfRule type="expression" dxfId="332" priority="485" stopIfTrue="1">
      <formula>ISBLANK(R78)=TRUE</formula>
    </cfRule>
    <cfRule type="cellIs" dxfId="331" priority="486" stopIfTrue="1" operator="equal">
      <formula>""</formula>
    </cfRule>
    <cfRule type="cellIs" dxfId="330" priority="675" stopIfTrue="1" operator="equal">
      <formula>"N/A"</formula>
    </cfRule>
  </conditionalFormatting>
  <conditionalFormatting sqref="W92:AB92">
    <cfRule type="cellIs" dxfId="329" priority="478" stopIfTrue="1" operator="equal">
      <formula>""</formula>
    </cfRule>
    <cfRule type="cellIs" dxfId="328" priority="479" stopIfTrue="1" operator="equal">
      <formula>"N/A"</formula>
    </cfRule>
  </conditionalFormatting>
  <conditionalFormatting sqref="W92">
    <cfRule type="expression" dxfId="327" priority="477" stopIfTrue="1">
      <formula>ISBLANK(W92)=TRUE</formula>
    </cfRule>
  </conditionalFormatting>
  <conditionalFormatting sqref="W92:AB92">
    <cfRule type="cellIs" dxfId="326" priority="475" stopIfTrue="1" operator="equal">
      <formula>""</formula>
    </cfRule>
    <cfRule type="cellIs" dxfId="325" priority="476" stopIfTrue="1" operator="equal">
      <formula>"N/A"</formula>
    </cfRule>
  </conditionalFormatting>
  <conditionalFormatting sqref="W92">
    <cfRule type="expression" dxfId="324" priority="474" stopIfTrue="1">
      <formula>ISBLANK(W92)=TRUE</formula>
    </cfRule>
  </conditionalFormatting>
  <conditionalFormatting sqref="W92:AB92">
    <cfRule type="cellIs" dxfId="323" priority="472" stopIfTrue="1" operator="equal">
      <formula>""</formula>
    </cfRule>
    <cfRule type="cellIs" dxfId="322" priority="473" stopIfTrue="1" operator="equal">
      <formula>"N/A"</formula>
    </cfRule>
  </conditionalFormatting>
  <conditionalFormatting sqref="W92">
    <cfRule type="expression" dxfId="321" priority="471" stopIfTrue="1">
      <formula>ISBLANK(W92)=TRUE</formula>
    </cfRule>
  </conditionalFormatting>
  <conditionalFormatting sqref="W78:AB92">
    <cfRule type="expression" dxfId="320" priority="463" stopIfTrue="1">
      <formula>$AW78="Ineligible"</formula>
    </cfRule>
    <cfRule type="expression" dxfId="319" priority="464">
      <formula>AND(OR($B78&gt;0,$D78&gt;0,$F78&lt;&gt;"",$R78&lt;&gt;"",$AD78&lt;&gt;"",$AI78&gt;0,$AK78&gt;0),OR($W78="",$W78="Please Select"))</formula>
    </cfRule>
    <cfRule type="expression" dxfId="318" priority="465" stopIfTrue="1">
      <formula>ISBLANK(W78)=TRUE</formula>
    </cfRule>
    <cfRule type="cellIs" dxfId="317" priority="466" stopIfTrue="1" operator="equal">
      <formula>""</formula>
    </cfRule>
    <cfRule type="cellIs" dxfId="316" priority="467" stopIfTrue="1" operator="equal">
      <formula>"N/A"</formula>
    </cfRule>
  </conditionalFormatting>
  <conditionalFormatting sqref="R97:U106">
    <cfRule type="cellIs" dxfId="315" priority="459" stopIfTrue="1" operator="equal">
      <formula>""</formula>
    </cfRule>
    <cfRule type="cellIs" dxfId="314" priority="460" stopIfTrue="1" operator="equal">
      <formula>"N/A"</formula>
    </cfRule>
  </conditionalFormatting>
  <conditionalFormatting sqref="R97:R106">
    <cfRule type="expression" dxfId="313" priority="458" stopIfTrue="1">
      <formula>ISBLANK(R97)=TRUE</formula>
    </cfRule>
  </conditionalFormatting>
  <conditionalFormatting sqref="R97:U106">
    <cfRule type="expression" dxfId="312" priority="455" stopIfTrue="1">
      <formula>$BR$1="OR"</formula>
    </cfRule>
  </conditionalFormatting>
  <conditionalFormatting sqref="R97:U106">
    <cfRule type="expression" dxfId="311" priority="456" stopIfTrue="1">
      <formula>$AW97="Ineligible"</formula>
    </cfRule>
    <cfRule type="expression" dxfId="310" priority="457">
      <formula>AND(OR($B97&gt;0,$D97&gt;0,$F97&lt;&gt;"",,$W97&lt;&gt;"",$AD97&lt;&gt;"",$AI97&gt;0,$AK97&gt;0),OR($R97="",$R97="Please Select"))</formula>
    </cfRule>
  </conditionalFormatting>
  <conditionalFormatting sqref="W97:AB106">
    <cfRule type="cellIs" dxfId="309" priority="453" stopIfTrue="1" operator="equal">
      <formula>""</formula>
    </cfRule>
    <cfRule type="cellIs" dxfId="308" priority="454" stopIfTrue="1" operator="equal">
      <formula>"N/A"</formula>
    </cfRule>
  </conditionalFormatting>
  <conditionalFormatting sqref="W97:W106">
    <cfRule type="expression" dxfId="307" priority="452" stopIfTrue="1">
      <formula>ISBLANK(W97)=TRUE</formula>
    </cfRule>
  </conditionalFormatting>
  <conditionalFormatting sqref="W97:AB106">
    <cfRule type="expression" dxfId="306" priority="449" stopIfTrue="1">
      <formula>$BR$1="OR"</formula>
    </cfRule>
  </conditionalFormatting>
  <conditionalFormatting sqref="W97:AB106">
    <cfRule type="expression" dxfId="305" priority="450" stopIfTrue="1">
      <formula>$AW97="Ineligible"</formula>
    </cfRule>
    <cfRule type="expression" dxfId="304" priority="451">
      <formula>AND(OR($B97&gt;0,$D97&gt;0,$F97&lt;&gt;"",$R97&lt;&gt;"",$AD97&lt;&gt;"",$AI97&gt;0,$AK97&gt;0),OR($W97="",$W97="Please Select"))</formula>
    </cfRule>
  </conditionalFormatting>
  <conditionalFormatting sqref="R113:U117">
    <cfRule type="expression" dxfId="303" priority="444" stopIfTrue="1">
      <formula>$AW113="Ineligible"</formula>
    </cfRule>
    <cfRule type="expression" dxfId="302" priority="445">
      <formula>AND(OR($B113&gt;0,$D113&gt;0,$F113&lt;&gt;"",,$W113&lt;&gt;"",$AD113&lt;&gt;"",$AI113&gt;0,$AK113&gt;0),OR($R113="",$R113="Please Select"))</formula>
    </cfRule>
  </conditionalFormatting>
  <conditionalFormatting sqref="R113:U117">
    <cfRule type="expression" dxfId="301" priority="446" stopIfTrue="1">
      <formula>ISBLANK(R113)=TRUE</formula>
    </cfRule>
    <cfRule type="cellIs" dxfId="300" priority="447" stopIfTrue="1" operator="equal">
      <formula>""</formula>
    </cfRule>
    <cfRule type="cellIs" dxfId="299" priority="448" stopIfTrue="1" operator="equal">
      <formula>"N/A"</formula>
    </cfRule>
  </conditionalFormatting>
  <conditionalFormatting sqref="W113:AB117">
    <cfRule type="expression" dxfId="298" priority="437" stopIfTrue="1">
      <formula>$AW113="Ineligible"</formula>
    </cfRule>
    <cfRule type="expression" dxfId="297" priority="438">
      <formula>AND(OR($B113&gt;0,$D113&gt;0,$F113&lt;&gt;"",$R113&lt;&gt;"",$AD113&lt;&gt;"",$AI113&gt;0,$AK113&gt;0),OR($W113="",$W113="Please Select"))</formula>
    </cfRule>
  </conditionalFormatting>
  <conditionalFormatting sqref="W113:AB117">
    <cfRule type="expression" dxfId="296" priority="439" stopIfTrue="1">
      <formula>ISBLANK(W113)=TRUE</formula>
    </cfRule>
    <cfRule type="cellIs" dxfId="295" priority="440" stopIfTrue="1" operator="equal">
      <formula>""</formula>
    </cfRule>
    <cfRule type="cellIs" dxfId="294" priority="441" stopIfTrue="1" operator="equal">
      <formula>"N/A"</formula>
    </cfRule>
  </conditionalFormatting>
  <conditionalFormatting sqref="AI11:AI20">
    <cfRule type="expression" dxfId="293" priority="194" stopIfTrue="1">
      <formula>$AW11="Ineligible"</formula>
    </cfRule>
    <cfRule type="expression" dxfId="292" priority="1168">
      <formula>AND(OR($B11&gt;0,$D11&gt;0,$F11&gt;0,$AD11&lt;&gt;"",$AK11&gt;0),$AI11="")</formula>
    </cfRule>
  </conditionalFormatting>
  <conditionalFormatting sqref="AK11:AK20">
    <cfRule type="expression" dxfId="291" priority="193" stopIfTrue="1">
      <formula>$AW11="Ineligible"</formula>
    </cfRule>
    <cfRule type="expression" dxfId="290" priority="1169">
      <formula>AND(OR($B11&gt;0,$D11&gt;0,$F11&lt;&gt;"",$AD11&lt;&gt;"",$AI11&gt;0),$AK11="")</formula>
    </cfRule>
  </conditionalFormatting>
  <conditionalFormatting sqref="CG27:CG36 W27:W36">
    <cfRule type="expression" dxfId="289" priority="179" stopIfTrue="1">
      <formula>ISBLANK(W27)=TRUE</formula>
    </cfRule>
  </conditionalFormatting>
  <conditionalFormatting sqref="B132">
    <cfRule type="expression" dxfId="288" priority="57">
      <formula>$BR$1="OR"</formula>
    </cfRule>
  </conditionalFormatting>
  <conditionalFormatting sqref="AW11:AW20 BE11:BE20 BE27:BE36 BE43:BE52 AW43:AW52 AD59:AG68 AW59:AW68 AW78:AW92 BE59:BE68 AW27:AW36">
    <cfRule type="cellIs" dxfId="287" priority="2" stopIfTrue="1" operator="equal">
      <formula>"Not Qualified"</formula>
    </cfRule>
  </conditionalFormatting>
  <conditionalFormatting sqref="BE11:BF20 BE27:BF36 AW43:AX52 AW59:AX68 AW78:AX92 BE59:BF68 AW27:AX36">
    <cfRule type="cellIs" dxfId="286" priority="54" operator="equal">
      <formula>"ID Only*"</formula>
    </cfRule>
  </conditionalFormatting>
  <conditionalFormatting sqref="AW11:AX20 AW78:AX92 AW27:AX36">
    <cfRule type="cellIs" dxfId="285" priority="55" operator="equal">
      <formula>"Ineligible"</formula>
    </cfRule>
  </conditionalFormatting>
  <conditionalFormatting sqref="B78:B92 D78:D92 F78:P92 R78:U92 W78:AB92 AD78:AG92 AI78:AI92 AK78:AK92 CG78:CL92">
    <cfRule type="expression" dxfId="284" priority="51">
      <formula>AND($BR$1="OR",B78&lt;&gt;"",OR($F78="Unitary Commercial Air Conditioners, Air-Cooled",$F78="Package Terminal Air Conditioners (PTAC)",$F78="Package Terminal Heat Pump (PTHP)"))</formula>
    </cfRule>
  </conditionalFormatting>
  <conditionalFormatting sqref="B78:P92 R78:U92 W78:AB92 AD78:AG92 AI78:AI92 AK78:AR92 AY78:BD92 BG78:BI92 CG78:CL92">
    <cfRule type="expression" dxfId="283" priority="52" stopIfTrue="1">
      <formula>AND($BR$1="OR",OR($F78="Unitary Commercial Air Conditioners, Air-Cooled",$F78="Package Terminal Air Conditioners (PTAC)",$F78="Package Terminal Heat Pump (PTHP)"))</formula>
    </cfRule>
  </conditionalFormatting>
  <conditionalFormatting sqref="CG27:CL36 W27:AB36">
    <cfRule type="cellIs" dxfId="282" priority="174" stopIfTrue="1" operator="equal">
      <formula>""</formula>
    </cfRule>
    <cfRule type="cellIs" dxfId="281" priority="175" stopIfTrue="1" operator="equal">
      <formula>"N/A"</formula>
    </cfRule>
  </conditionalFormatting>
  <conditionalFormatting sqref="CG27:CL36 F43:P52 AI43:AI52 AD43:AG52 D43:D52 B43:B52 B59:B68 D59:D68 F59:P68 AI59:AI68 W27:AB36">
    <cfRule type="expression" dxfId="280" priority="1" stopIfTrue="1">
      <formula>$AW27="Ineligible"</formula>
    </cfRule>
  </conditionalFormatting>
  <conditionalFormatting sqref="R78:U92 W78:AB92">
    <cfRule type="expression" dxfId="279" priority="482" stopIfTrue="1">
      <formula>OR($F78="Package Terminal Air Conditioners (PTAC)",$F78="Package Terminal Heat Pump (PTHP)")</formula>
    </cfRule>
  </conditionalFormatting>
  <conditionalFormatting sqref="CB92:CE92">
    <cfRule type="cellIs" dxfId="278" priority="48" stopIfTrue="1" operator="equal">
      <formula>""</formula>
    </cfRule>
    <cfRule type="cellIs" dxfId="277" priority="49" stopIfTrue="1" operator="equal">
      <formula>"N/A"</formula>
    </cfRule>
  </conditionalFormatting>
  <conditionalFormatting sqref="CB92">
    <cfRule type="expression" dxfId="276" priority="47" stopIfTrue="1">
      <formula>ISBLANK(CB92)=TRUE</formula>
    </cfRule>
  </conditionalFormatting>
  <conditionalFormatting sqref="CB92:CE92">
    <cfRule type="cellIs" dxfId="275" priority="45" stopIfTrue="1" operator="equal">
      <formula>""</formula>
    </cfRule>
    <cfRule type="cellIs" dxfId="274" priority="46" stopIfTrue="1" operator="equal">
      <formula>"N/A"</formula>
    </cfRule>
  </conditionalFormatting>
  <conditionalFormatting sqref="CB92">
    <cfRule type="expression" dxfId="273" priority="44" stopIfTrue="1">
      <formula>ISBLANK(CB92)=TRUE</formula>
    </cfRule>
  </conditionalFormatting>
  <conditionalFormatting sqref="CB92:CE92">
    <cfRule type="cellIs" dxfId="272" priority="42" stopIfTrue="1" operator="equal">
      <formula>""</formula>
    </cfRule>
    <cfRule type="cellIs" dxfId="271" priority="43" stopIfTrue="1" operator="equal">
      <formula>"N/A"</formula>
    </cfRule>
  </conditionalFormatting>
  <conditionalFormatting sqref="CB92">
    <cfRule type="expression" dxfId="270" priority="41" stopIfTrue="1">
      <formula>ISBLANK(CB92)=TRUE</formula>
    </cfRule>
  </conditionalFormatting>
  <conditionalFormatting sqref="CB78:CE92">
    <cfRule type="expression" dxfId="269" priority="22" stopIfTrue="1">
      <formula>$AW78="Ineligible"</formula>
    </cfRule>
    <cfRule type="expression" dxfId="268" priority="38">
      <formula>AND(OR($B78&gt;0,$D78&gt;0,$F78&lt;&gt;"",,$W78&lt;&gt;"",$AD78&lt;&gt;"",$AI78&gt;0,$AK78&gt;0),OR($R78="",$R78="Please Select"))</formula>
    </cfRule>
  </conditionalFormatting>
  <conditionalFormatting sqref="CB78:CE92">
    <cfRule type="expression" dxfId="267" priority="39" stopIfTrue="1">
      <formula>ISBLANK(CB78)=TRUE</formula>
    </cfRule>
    <cfRule type="cellIs" dxfId="266" priority="40" stopIfTrue="1" operator="equal">
      <formula>""</formula>
    </cfRule>
    <cfRule type="cellIs" dxfId="265" priority="50" stopIfTrue="1" operator="equal">
      <formula>"N/A"</formula>
    </cfRule>
  </conditionalFormatting>
  <conditionalFormatting sqref="CG92:CL92">
    <cfRule type="cellIs" dxfId="264" priority="35" stopIfTrue="1" operator="equal">
      <formula>""</formula>
    </cfRule>
    <cfRule type="cellIs" dxfId="263" priority="36" stopIfTrue="1" operator="equal">
      <formula>"N/A"</formula>
    </cfRule>
  </conditionalFormatting>
  <conditionalFormatting sqref="CG92">
    <cfRule type="expression" dxfId="262" priority="34" stopIfTrue="1">
      <formula>ISBLANK(CG92)=TRUE</formula>
    </cfRule>
  </conditionalFormatting>
  <conditionalFormatting sqref="CG92:CL92">
    <cfRule type="cellIs" dxfId="261" priority="32" stopIfTrue="1" operator="equal">
      <formula>""</formula>
    </cfRule>
    <cfRule type="cellIs" dxfId="260" priority="33" stopIfTrue="1" operator="equal">
      <formula>"N/A"</formula>
    </cfRule>
  </conditionalFormatting>
  <conditionalFormatting sqref="CG92">
    <cfRule type="expression" dxfId="259" priority="31" stopIfTrue="1">
      <formula>ISBLANK(CG92)=TRUE</formula>
    </cfRule>
  </conditionalFormatting>
  <conditionalFormatting sqref="CG92:CL92">
    <cfRule type="cellIs" dxfId="258" priority="29" stopIfTrue="1" operator="equal">
      <formula>""</formula>
    </cfRule>
    <cfRule type="cellIs" dxfId="257" priority="30" stopIfTrue="1" operator="equal">
      <formula>"N/A"</formula>
    </cfRule>
  </conditionalFormatting>
  <conditionalFormatting sqref="CG92">
    <cfRule type="expression" dxfId="256" priority="28" stopIfTrue="1">
      <formula>ISBLANK(CG92)=TRUE</formula>
    </cfRule>
  </conditionalFormatting>
  <conditionalFormatting sqref="CG78:CL92">
    <cfRule type="expression" dxfId="255" priority="23" stopIfTrue="1">
      <formula>$AW78="Ineligible"</formula>
    </cfRule>
    <cfRule type="expression" dxfId="254" priority="24">
      <formula>AND(OR($B78&gt;0,$D78&gt;0,$F78&lt;&gt;"",$R78&lt;&gt;"",$AD78&lt;&gt;"",$AI78&gt;0,$AK78&gt;0),OR($W78="",$W78="Please Select"))</formula>
    </cfRule>
    <cfRule type="expression" dxfId="253" priority="25" stopIfTrue="1">
      <formula>ISBLANK(CG78)=TRUE</formula>
    </cfRule>
    <cfRule type="cellIs" dxfId="252" priority="26" stopIfTrue="1" operator="equal">
      <formula>""</formula>
    </cfRule>
    <cfRule type="cellIs" dxfId="251" priority="27" stopIfTrue="1" operator="equal">
      <formula>"N/A"</formula>
    </cfRule>
  </conditionalFormatting>
  <conditionalFormatting sqref="CB78:CE92">
    <cfRule type="expression" dxfId="250" priority="20">
      <formula>AND($BR$1="OR",CB78&lt;&gt;"",OR($F78="Unitary Commercial Air Conditioners, Air-Cooled",$F78="Package Terminal Air Conditioners (PTAC)",$F78="Package Terminal Heat Pump (PTHP)"))</formula>
    </cfRule>
  </conditionalFormatting>
  <conditionalFormatting sqref="CB78:CE92">
    <cfRule type="expression" dxfId="249" priority="21" stopIfTrue="1">
      <formula>AND($BR$1="OR",OR($F78="Unitary Commercial Air Conditioners, Air-Cooled",$F78="Package Terminal Air Conditioners (PTAC)",$F78="Package Terminal Heat Pump (PTHP)"))</formula>
    </cfRule>
  </conditionalFormatting>
  <conditionalFormatting sqref="CB78:CE92 CG78:CL92">
    <cfRule type="expression" dxfId="248" priority="37" stopIfTrue="1">
      <formula>OR($F78="Package Terminal Air Conditioners (PTAC)",$F78="Package Terminal Heat Pump (PTHP)")</formula>
    </cfRule>
  </conditionalFormatting>
  <conditionalFormatting sqref="AM27:AM36">
    <cfRule type="expression" dxfId="247" priority="19">
      <formula>AND(OR($B27&gt;0,$D27&gt;0,$F27&lt;&gt;"",$R27&lt;&gt;"",$W27&lt;&gt;"",$AD27&lt;&gt;"",$AI27&gt;0),$AM27="")</formula>
    </cfRule>
  </conditionalFormatting>
  <conditionalFormatting sqref="BC27:BC36 AT27:AT36 AR59:AR68 BA59:BA68">
    <cfRule type="expression" dxfId="246" priority="16">
      <formula>$BT$1="Electric"</formula>
    </cfRule>
  </conditionalFormatting>
  <conditionalFormatting sqref="AK59:AK68">
    <cfRule type="expression" dxfId="245" priority="13">
      <formula>AND(OR($B59&gt;0,$D59&gt;0,$F59&lt;&gt;"",$AD59&lt;&gt;"",$AI59&gt;0,$AK59&gt;0),$AK59="")</formula>
    </cfRule>
  </conditionalFormatting>
  <conditionalFormatting sqref="AK59:AK68">
    <cfRule type="expression" dxfId="244" priority="14" stopIfTrue="1">
      <formula>$AW59="Ineligible"</formula>
    </cfRule>
  </conditionalFormatting>
  <conditionalFormatting sqref="AM27:AM36 AK59:AK68">
    <cfRule type="expression" dxfId="243" priority="17" stopIfTrue="1">
      <formula>$BT$1&lt;&gt;"Electric"</formula>
    </cfRule>
  </conditionalFormatting>
  <conditionalFormatting sqref="B43:B52">
    <cfRule type="expression" dxfId="242" priority="11">
      <formula>AND(OR($B43&gt;0,$D43&gt;0,$F43&lt;&gt;"",$AD43&lt;&gt;"",$AI43&gt;0),$B43="")</formula>
    </cfRule>
  </conditionalFormatting>
  <conditionalFormatting sqref="D43:D52">
    <cfRule type="expression" dxfId="241" priority="10">
      <formula>AND(OR($B43&gt;0,$D43&gt;0,$F43&lt;&gt;"",$AD43&lt;&gt;"",$AI43&gt;0),$D43="")</formula>
    </cfRule>
  </conditionalFormatting>
  <conditionalFormatting sqref="F43:AA52">
    <cfRule type="expression" dxfId="240" priority="9">
      <formula>AND(OR($B43&gt;0,$D43&gt;0,$F43&lt;&gt;"",$AD43&lt;&gt;"",$AI43&gt;0),$F43="")</formula>
    </cfRule>
  </conditionalFormatting>
  <conditionalFormatting sqref="AD43:AG52">
    <cfRule type="expression" dxfId="239" priority="8">
      <formula>AND(OR($B43&gt;0,$D43&gt;0,$F43&lt;&gt;"",$AD43&lt;&gt;"",$AI43&gt;0),$AD43="")</formula>
    </cfRule>
  </conditionalFormatting>
  <conditionalFormatting sqref="AI43:AI52">
    <cfRule type="expression" dxfId="238" priority="7">
      <formula>AND(OR($B43&gt;0,$D43&gt;0,$F43&lt;&gt;"",$AD43&lt;&gt;"",$AI43&gt;0),$AI43="")</formula>
    </cfRule>
  </conditionalFormatting>
  <conditionalFormatting sqref="B59:B68">
    <cfRule type="expression" dxfId="237" priority="6">
      <formula>AND(OR($B59&gt;0,$D59&gt;0,$F59&lt;&gt;"",$AD59&lt;&gt;"",$AI59&gt;0,$AK59&gt;0),$B59="")</formula>
    </cfRule>
  </conditionalFormatting>
  <conditionalFormatting sqref="D59:D68">
    <cfRule type="expression" dxfId="236" priority="5">
      <formula>AND(OR($B59&gt;0,$D59&gt;0,$F59&lt;&gt;"",$AD59&lt;&gt;"",$AI59&gt;0,$AK59&gt;0),$D59="")</formula>
    </cfRule>
  </conditionalFormatting>
  <conditionalFormatting sqref="F59:AA68">
    <cfRule type="expression" dxfId="235" priority="4">
      <formula>AND(OR($B59&gt;0,$D59&gt;0,$F59&lt;&gt;"",$AD59&lt;&gt;"",$AI59&gt;0,$AK59&gt;0),$F59="")</formula>
    </cfRule>
  </conditionalFormatting>
  <conditionalFormatting sqref="AD59:AG68">
    <cfRule type="expression" dxfId="234" priority="56">
      <formula>AND(OR($B59&gt;0,$D59&gt;0,$F59&lt;&gt;"",$AD59&lt;&gt;"",$AI59&gt;0,$AK59&gt;0),$AD59="")</formula>
    </cfRule>
  </conditionalFormatting>
  <conditionalFormatting sqref="AI59:AI68">
    <cfRule type="expression" dxfId="233" priority="3">
      <formula>AND(OR($B59&gt;0,$D59&gt;0,$F59&lt;&gt;"",$AD59&lt;&gt;"",$AI59&gt;0,$AK59&gt;0),$AI59="")</formula>
    </cfRule>
  </conditionalFormatting>
  <dataValidations count="84">
    <dataValidation type="decimal" allowBlank="1" showErrorMessage="1" errorTitle="Stop" error="Enter the efficiency as a number." sqref="AI113:AI117 AK113:AK117 AI78:AI93 AI126:AI130 AK78:AK93 AK97:AK106 AI97:AI106 AK11:AK23 AI11:AI23 AK59:AK71 AI27:AI39 AK27:AK39 AK53:AK55 AI43:AI55 AI59:AI71 AM27:AM36" xr:uid="{00000000-0002-0000-0700-000000000000}">
      <formula1>0.01</formula1>
      <formula2>50</formula2>
    </dataValidation>
    <dataValidation type="list" allowBlank="1" showInputMessage="1" showErrorMessage="1" errorTitle="Stop" error="Select a value from the drop-down menu." sqref="G127:R130 F126:F130" xr:uid="{00000000-0002-0000-0700-000001000000}">
      <formula1>ChillerType</formula1>
    </dataValidation>
    <dataValidation type="decimal" allowBlank="1" showErrorMessage="1" errorTitle="Stop" error="Enter the unit cooling tons as a number." sqref="E113:E117 D126:D130 E78:E93 E97:E106 E11:E23 E27:E39 E43:E55 E59:E71" xr:uid="{00000000-0002-0000-0700-000002000000}">
      <formula1>0.5</formula1>
      <formula2>999</formula2>
    </dataValidation>
    <dataValidation type="whole" allowBlank="1" showErrorMessage="1" errorTitle="Stop" error="Enter the quantity of units as a number." sqref="B113:B117 B126:B130 B78:B93 B97:B106 B11:B23 B27:B39 B43:B55 B59:B71" xr:uid="{00000000-0002-0000-0700-000003000000}">
      <formula1>0</formula1>
      <formula2>100</formula2>
    </dataValidation>
    <dataValidation type="list" allowBlank="1" showInputMessage="1" showErrorMessage="1" sqref="CG37:CL37 W92:AB93 X53:AB54 CG23:CL23 X37:AB38 X69:AB71 CG92:CL93" xr:uid="{00000000-0002-0000-0700-000004000000}">
      <formula1>SplitorSingle15</formula1>
    </dataValidation>
    <dataValidation type="list" allowBlank="1" showInputMessage="1" showErrorMessage="1" sqref="R78:U78 CB78:CE78" xr:uid="{00000000-0002-0000-0700-000005000000}">
      <formula1>ResistanceType01</formula1>
    </dataValidation>
    <dataValidation type="list" allowBlank="1" showInputMessage="1" showErrorMessage="1" errorTitle="Stop" error="Select a value from the drop-down menu." sqref="F78:F93 F21:F23 F37:F39 F53:F55 F69:F71" xr:uid="{00000000-0002-0000-0700-000006000000}">
      <formula1>ACEquipmentType</formula1>
    </dataValidation>
    <dataValidation type="list" allowBlank="1" showInputMessage="1" showErrorMessage="1" sqref="W82:AB82 CG82:CL82" xr:uid="{00000000-0002-0000-0700-000007000000}">
      <formula1>SplitorSingle05</formula1>
    </dataValidation>
    <dataValidation type="list" allowBlank="1" showInputMessage="1" showErrorMessage="1" sqref="W83:AB83 CG83:CL83" xr:uid="{00000000-0002-0000-0700-000008000000}">
      <formula1>SplitorSingle06</formula1>
    </dataValidation>
    <dataValidation type="list" allowBlank="1" showInputMessage="1" showErrorMessage="1" sqref="W84:AB84 CG84:CL84" xr:uid="{00000000-0002-0000-0700-000009000000}">
      <formula1>SplitorSingle07</formula1>
    </dataValidation>
    <dataValidation type="list" allowBlank="1" showInputMessage="1" showErrorMessage="1" sqref="W85:AB85 CG85:CL85" xr:uid="{00000000-0002-0000-0700-00000A000000}">
      <formula1>SplitorSingle08</formula1>
    </dataValidation>
    <dataValidation type="list" allowBlank="1" showInputMessage="1" showErrorMessage="1" sqref="W86:AB86 CG86:CL86" xr:uid="{00000000-0002-0000-0700-00000B000000}">
      <formula1>SplitorSingle09</formula1>
    </dataValidation>
    <dataValidation type="list" allowBlank="1" showInputMessage="1" showErrorMessage="1" sqref="W87:AB87 CG87:CL87" xr:uid="{00000000-0002-0000-0700-00000C000000}">
      <formula1>SplitorSingle10</formula1>
    </dataValidation>
    <dataValidation type="list" allowBlank="1" showInputMessage="1" showErrorMessage="1" sqref="W88:AB88 CG88:CL88" xr:uid="{00000000-0002-0000-0700-00000D000000}">
      <formula1>SplitorSingle11</formula1>
    </dataValidation>
    <dataValidation type="list" allowBlank="1" showInputMessage="1" showErrorMessage="1" sqref="W89:AB89 CG89:CL89" xr:uid="{00000000-0002-0000-0700-00000E000000}">
      <formula1>SplitorSingle12</formula1>
    </dataValidation>
    <dataValidation type="list" allowBlank="1" showInputMessage="1" showErrorMessage="1" sqref="W90:AB90 CG90:CL90" xr:uid="{00000000-0002-0000-0700-00000F000000}">
      <formula1>SplitorSingle13</formula1>
    </dataValidation>
    <dataValidation type="list" allowBlank="1" showInputMessage="1" showErrorMessage="1" sqref="W91:AB91 CG91:CL91" xr:uid="{00000000-0002-0000-0700-000010000000}">
      <formula1>SplitorSingle14</formula1>
    </dataValidation>
    <dataValidation type="list" allowBlank="1" showInputMessage="1" showErrorMessage="1" errorTitle="Stop" error="Select a value from the drop-down menu." sqref="F113:F117" xr:uid="{00000000-0002-0000-0700-000012000000}">
      <formula1>VRFType</formula1>
    </dataValidation>
    <dataValidation type="list" allowBlank="1" showInputMessage="1" showErrorMessage="1" sqref="CB117:CE117 R117:U117" xr:uid="{00000000-0002-0000-0700-000013000000}">
      <formula1>ResistanceTypeA205</formula1>
    </dataValidation>
    <dataValidation type="list" allowBlank="1" showInputMessage="1" showErrorMessage="1" sqref="CB116:CE116 R116:U116" xr:uid="{00000000-0002-0000-0700-000015000000}">
      <formula1>ResistanceTypeA204</formula1>
    </dataValidation>
    <dataValidation type="list" allowBlank="1" showInputMessage="1" showErrorMessage="1" sqref="CB37:CE37 R92:U93 R53:U54 CB23:CE23 R37:U38 R69:U71 CB92:CE93" xr:uid="{00000000-0002-0000-0700-000016000000}">
      <formula1>ResistanceType15</formula1>
    </dataValidation>
    <dataValidation type="list" allowBlank="1" showInputMessage="1" showErrorMessage="1" sqref="R91:U91 CB91:CE91" xr:uid="{00000000-0002-0000-0700-000017000000}">
      <formula1>ResistanceType14</formula1>
    </dataValidation>
    <dataValidation type="list" allowBlank="1" showInputMessage="1" showErrorMessage="1" sqref="R90:U90 CB90:CE90" xr:uid="{00000000-0002-0000-0700-000018000000}">
      <formula1>ResistanceType13</formula1>
    </dataValidation>
    <dataValidation type="list" allowBlank="1" showInputMessage="1" showErrorMessage="1" sqref="R89:U89 CB89:CE89" xr:uid="{00000000-0002-0000-0700-000019000000}">
      <formula1>ResistanceType12</formula1>
    </dataValidation>
    <dataValidation type="list" allowBlank="1" showInputMessage="1" showErrorMessage="1" sqref="R88:U88 CB88:CE88" xr:uid="{00000000-0002-0000-0700-00001A000000}">
      <formula1>ResistanceType11</formula1>
    </dataValidation>
    <dataValidation type="list" allowBlank="1" showInputMessage="1" showErrorMessage="1" sqref="R87:U87 CB87:CE87" xr:uid="{00000000-0002-0000-0700-00001B000000}">
      <formula1>ResistanceType10</formula1>
    </dataValidation>
    <dataValidation type="list" allowBlank="1" showInputMessage="1" showErrorMessage="1" sqref="R86:U86 CB86:CE86" xr:uid="{00000000-0002-0000-0700-00001C000000}">
      <formula1>ResistanceType09</formula1>
    </dataValidation>
    <dataValidation type="list" allowBlank="1" showInputMessage="1" showErrorMessage="1" sqref="R85:U85 CB85:CE85" xr:uid="{00000000-0002-0000-0700-00001D000000}">
      <formula1>ResistanceType08</formula1>
    </dataValidation>
    <dataValidation type="list" allowBlank="1" showInputMessage="1" showErrorMessage="1" sqref="R84:U84 CB84:CE84" xr:uid="{00000000-0002-0000-0700-00001E000000}">
      <formula1>ResistanceType07</formula1>
    </dataValidation>
    <dataValidation type="list" allowBlank="1" showInputMessage="1" showErrorMessage="1" sqref="R83:U83 CB83:CE83" xr:uid="{00000000-0002-0000-0700-00001F000000}">
      <formula1>ResistanceType06</formula1>
    </dataValidation>
    <dataValidation type="list" allowBlank="1" showInputMessage="1" showErrorMessage="1" sqref="R82:U82 CB82:CE82" xr:uid="{00000000-0002-0000-0700-000020000000}">
      <formula1>ResistanceType05</formula1>
    </dataValidation>
    <dataValidation type="list" allowBlank="1" showInputMessage="1" showErrorMessage="1" sqref="R81:U81 CB81:CE81" xr:uid="{00000000-0002-0000-0700-000021000000}">
      <formula1>ResistanceType04</formula1>
    </dataValidation>
    <dataValidation type="list" allowBlank="1" showInputMessage="1" showErrorMessage="1" sqref="R80:U80 CB80:CE80" xr:uid="{00000000-0002-0000-0700-000022000000}">
      <formula1>ResistanceType03</formula1>
    </dataValidation>
    <dataValidation type="list" allowBlank="1" showInputMessage="1" showErrorMessage="1" sqref="R79:U79 CB79:CE79" xr:uid="{00000000-0002-0000-0700-000023000000}">
      <formula1>ResistanceType02</formula1>
    </dataValidation>
    <dataValidation type="list" allowBlank="1" showInputMessage="1" showErrorMessage="1" sqref="CG113:CL113 W113:AB113" xr:uid="{00000000-0002-0000-0700-000024000000}">
      <formula1>Subcategory01</formula1>
    </dataValidation>
    <dataValidation type="list" allowBlank="1" showInputMessage="1" showErrorMessage="1" sqref="W79:AB79 CG79:CL79" xr:uid="{00000000-0002-0000-0700-000026000000}">
      <formula1>SplitorSingle02</formula1>
    </dataValidation>
    <dataValidation type="list" allowBlank="1" showInputMessage="1" showErrorMessage="1" sqref="W80:AB80 CG80:CL80" xr:uid="{00000000-0002-0000-0700-000027000000}">
      <formula1>SplitorSingle03</formula1>
    </dataValidation>
    <dataValidation type="list" allowBlank="1" showInputMessage="1" showErrorMessage="1" sqref="W81:AB81 CG81:CL81" xr:uid="{00000000-0002-0000-0700-000028000000}">
      <formula1>SplitorSingle04</formula1>
    </dataValidation>
    <dataValidation type="list" allowBlank="1" showInputMessage="1" showErrorMessage="1" sqref="CG114:CL114 W114:AB114" xr:uid="{00000000-0002-0000-0700-000029000000}">
      <formula1>Subcategory02</formula1>
    </dataValidation>
    <dataValidation type="list" allowBlank="1" showInputMessage="1" showErrorMessage="1" sqref="CG115:CL115 W115:AB115" xr:uid="{00000000-0002-0000-0700-00002A000000}">
      <formula1>Subcategory03</formula1>
    </dataValidation>
    <dataValidation type="list" allowBlank="1" showInputMessage="1" showErrorMessage="1" sqref="CG116:CL116 W116:AB116" xr:uid="{00000000-0002-0000-0700-00002B000000}">
      <formula1>Subcategory04</formula1>
    </dataValidation>
    <dataValidation type="list" allowBlank="1" showInputMessage="1" showErrorMessage="1" sqref="CG117:CL117 W117:AB117" xr:uid="{00000000-0002-0000-0700-00002C000000}">
      <formula1>Subcategory05</formula1>
    </dataValidation>
    <dataValidation type="list" allowBlank="1" showInputMessage="1" showErrorMessage="1" sqref="CB113:CE113 R113:U113" xr:uid="{00000000-0002-0000-0700-00002D000000}">
      <formula1>ResistanceTypeA201</formula1>
    </dataValidation>
    <dataValidation type="list" allowBlank="1" showInputMessage="1" showErrorMessage="1" sqref="CB114:CE114 R114:U114" xr:uid="{00000000-0002-0000-0700-00002E000000}">
      <formula1>ResistanceTypeA202</formula1>
    </dataValidation>
    <dataValidation type="list" allowBlank="1" showInputMessage="1" showErrorMessage="1" sqref="CB115:CE115 R115:U115" xr:uid="{00000000-0002-0000-0700-00002F000000}">
      <formula1>ResistanceTypeA203</formula1>
    </dataValidation>
    <dataValidation type="decimal" allowBlank="1" showInputMessage="1" showErrorMessage="1" errorTitle="Stop" error="Enter the unit cooling tons as a number. Only units 5 tons or less are eligible for incentive." prompt="Air Conditioners - All sizes qualify._x000a_Heat Pumps - CEE Tier 1 - Only units less than 64 tons qualify._x000a_Heat Pumps - CEE Tier 2 - Only units 5 tons or less qualify." sqref="D78:D92" xr:uid="{37A56930-6A7B-40EF-B365-A31DF2BDE24B}">
      <formula1>0.5</formula1>
      <formula2>2000</formula2>
    </dataValidation>
    <dataValidation type="decimal" allowBlank="1" showInputMessage="1" showErrorMessage="1" errorTitle="Stop" error="Enter the unit cooling tons as a number. Only units 5 tons or less are eligible for incentive." prompt="Air Conditioners - All sizes qualify._x000a_Heat Pumps - Only units 11 tons or less qualify." sqref="D97:D106" xr:uid="{3F19013A-E740-49D3-9440-FD5D7ADCD914}">
      <formula1>0.5</formula1>
      <formula2>2000</formula2>
    </dataValidation>
    <dataValidation type="list" allowBlank="1" showInputMessage="1" showErrorMessage="1" errorTitle="Stop" error="Select a value from the drop-down menu." sqref="F97:P106" xr:uid="{971570C4-6B84-4613-87B3-F17FE1B11252}">
      <formula1>ACEquipmentTypeWater</formula1>
    </dataValidation>
    <dataValidation type="list" allowBlank="1" showInputMessage="1" showErrorMessage="1" sqref="W78:AB78 CG78:CL78" xr:uid="{65398917-D471-47CB-B28F-CBE7C82F5085}">
      <formula1>SplitorSingle01</formula1>
    </dataValidation>
    <dataValidation type="list" allowBlank="1" showInputMessage="1" showErrorMessage="1" sqref="CB97:CE97 R97:U97" xr:uid="{19B4F497-9BC0-4084-AC21-6C2D4AA0BE99}">
      <formula1>ResistanceType16</formula1>
    </dataValidation>
    <dataValidation type="list" allowBlank="1" showInputMessage="1" showErrorMessage="1" sqref="CB98:CE98 R98:U98" xr:uid="{77F7D9C6-F2DC-4DF9-B721-74C7D7EEA698}">
      <formula1>ResistanceType17</formula1>
    </dataValidation>
    <dataValidation type="list" allowBlank="1" showInputMessage="1" showErrorMessage="1" sqref="CB99:CE99 R99:U99" xr:uid="{10AEDC8F-682D-4F64-91E2-88A0D062BBAB}">
      <formula1>ResistanceType18</formula1>
    </dataValidation>
    <dataValidation type="list" allowBlank="1" showInputMessage="1" showErrorMessage="1" sqref="CB100:CE100 R100:U100" xr:uid="{0174CA57-E3FE-49A6-A845-3802F9E7D78D}">
      <formula1>ResistanceType19</formula1>
    </dataValidation>
    <dataValidation type="list" allowBlank="1" showInputMessage="1" showErrorMessage="1" sqref="CB101:CE101 R101:U101" xr:uid="{36C2A0EA-12F1-419C-9493-222CA73F58A6}">
      <formula1>ResistanceType20</formula1>
    </dataValidation>
    <dataValidation type="list" allowBlank="1" showInputMessage="1" showErrorMessage="1" sqref="CB102:CE102 R102:U102" xr:uid="{18762118-4CD2-4E70-B33D-16E8CA3A7A1B}">
      <formula1>ResistanceType21</formula1>
    </dataValidation>
    <dataValidation type="list" allowBlank="1" showInputMessage="1" showErrorMessage="1" sqref="CB103:CE103 R103:U103" xr:uid="{A3B122BC-7D02-444D-A5AF-CC7B7C2EB839}">
      <formula1>ResistanceType22</formula1>
    </dataValidation>
    <dataValidation type="list" allowBlank="1" showInputMessage="1" showErrorMessage="1" sqref="CB104:CE104 R104:U104" xr:uid="{9B90CE1B-53E8-4828-A912-06BFB2E9971C}">
      <formula1>ResistanceType23</formula1>
    </dataValidation>
    <dataValidation type="list" allowBlank="1" showInputMessage="1" showErrorMessage="1" sqref="CB105:CE105 R105:U105" xr:uid="{B0F8081B-D0C0-44BF-9385-D784A5D99EEA}">
      <formula1>ResistanceType24</formula1>
    </dataValidation>
    <dataValidation type="list" allowBlank="1" showInputMessage="1" showErrorMessage="1" sqref="CB106:CE106 R106:U106" xr:uid="{72A0DFFD-0AC7-4299-BF9F-1AAD3563B7E9}">
      <formula1>ResistanceType25</formula1>
    </dataValidation>
    <dataValidation type="list" allowBlank="1" showInputMessage="1" showErrorMessage="1" sqref="CG97:CL97 W97:AB97" xr:uid="{FA6FB0CE-7B0A-49F8-AEC4-A52983C764D5}">
      <formula1>SplitorSingle16</formula1>
    </dataValidation>
    <dataValidation type="list" allowBlank="1" showInputMessage="1" showErrorMessage="1" sqref="CG98:CL98 W98:AB98" xr:uid="{A3A67535-3E00-4892-A7EC-C25D45D345AC}">
      <formula1>SplitorSingle17</formula1>
    </dataValidation>
    <dataValidation type="list" allowBlank="1" showInputMessage="1" showErrorMessage="1" sqref="CG99:CL99 W99:AB99" xr:uid="{326032EF-4B50-4DFF-B970-46DAD38BC227}">
      <formula1>SplitorSingle18</formula1>
    </dataValidation>
    <dataValidation type="list" allowBlank="1" showInputMessage="1" showErrorMessage="1" sqref="CG100:CL100 W100:AB100" xr:uid="{3BEEECE4-2C53-4B55-80E9-6803B4997ED4}">
      <formula1>SplitorSingle19</formula1>
    </dataValidation>
    <dataValidation type="list" allowBlank="1" showInputMessage="1" showErrorMessage="1" sqref="CG101:CL101 W101:AB101" xr:uid="{114C404B-08B7-4B60-8DBF-0D48248D22CC}">
      <formula1>SplitorSingle20</formula1>
    </dataValidation>
    <dataValidation type="list" allowBlank="1" showInputMessage="1" showErrorMessage="1" sqref="CG102:CL102 W102:AB102" xr:uid="{44F9613F-336D-4089-8AB2-580F0F819B62}">
      <formula1>SplitorSingle21</formula1>
    </dataValidation>
    <dataValidation type="list" allowBlank="1" showInputMessage="1" showErrorMessage="1" sqref="CG103:CL103 W103:AB103" xr:uid="{A2561169-6155-4099-821D-3A2F14624F1C}">
      <formula1>SplitorSingle22</formula1>
    </dataValidation>
    <dataValidation type="list" allowBlank="1" showInputMessage="1" showErrorMessage="1" sqref="CG104:CL104 W104:AB104" xr:uid="{0BF21357-3A02-4A55-9B4B-47D9870E0354}">
      <formula1>SplitorSingle23</formula1>
    </dataValidation>
    <dataValidation type="list" allowBlank="1" showInputMessage="1" showErrorMessage="1" sqref="CG105:CL105 W105:AB105" xr:uid="{23B83A8E-6299-498C-B581-B47A75965014}">
      <formula1>SplitorSingle24</formula1>
    </dataValidation>
    <dataValidation type="list" allowBlank="1" showInputMessage="1" showErrorMessage="1" sqref="CG106:CL106 W106:AB106" xr:uid="{F391A181-BF8D-424A-98D8-DC3BAEFAD594}">
      <formula1>SplitorSingle25</formula1>
    </dataValidation>
    <dataValidation allowBlank="1" showInputMessage="1" showErrorMessage="1" prompt="Air-Cooled AC/HP VRF CEE Tier 1 - All sizes qualify._x000a_Air-Cooled AC/HP VRF CEE Tier 2 - Only units 5 tons or less qualify._x000a_Water-Cooled HP VRF - Only units 11 tons or less qualify." sqref="D113:D117" xr:uid="{6F85F904-D642-4AC5-B084-A926B53FFBEB}"/>
    <dataValidation type="list" allowBlank="1" showInputMessage="1" showErrorMessage="1" sqref="CG27:CL27 W27:AB27" xr:uid="{D7639888-D39E-48A9-8741-01600EF28FEB}">
      <formula1>MFSplitorSingle01</formula1>
    </dataValidation>
    <dataValidation type="list" allowBlank="1" showInputMessage="1" showErrorMessage="1" sqref="CG28:CL28 W28:AB28" xr:uid="{82620F16-D9A8-4AEF-867A-9ED9C38424F4}">
      <formula1>MFSplitorSingle02</formula1>
    </dataValidation>
    <dataValidation type="list" allowBlank="1" showInputMessage="1" showErrorMessage="1" sqref="CG29:CL29 W29:AB29" xr:uid="{40380F3B-D567-447A-9A9C-6CDB9DA4E273}">
      <formula1>MFSplitorSingle03</formula1>
    </dataValidation>
    <dataValidation type="list" allowBlank="1" showInputMessage="1" showErrorMessage="1" sqref="CG30:CL30 W30:AB30" xr:uid="{643BA488-44B7-499A-9C60-93321035FE72}">
      <formula1>MFSplitorSingle04</formula1>
    </dataValidation>
    <dataValidation type="list" allowBlank="1" showInputMessage="1" showErrorMessage="1" sqref="CG31:CL31 W31:AB31" xr:uid="{B97E6018-6248-457C-BE26-9B4700C052C2}">
      <formula1>MFSplitorSingle05</formula1>
    </dataValidation>
    <dataValidation type="list" allowBlank="1" showInputMessage="1" showErrorMessage="1" sqref="CG32:CL32 W32:AB32" xr:uid="{733227B7-2D0E-4799-9A64-DD16A8C9BB74}">
      <formula1>MFSplitorSingle06</formula1>
    </dataValidation>
    <dataValidation type="list" allowBlank="1" showInputMessage="1" showErrorMessage="1" sqref="CG33:CL33 W33:AB33" xr:uid="{E329E0BA-2698-4127-A0D4-09E23A5B91BD}">
      <formula1>MFSplitorSingle07</formula1>
    </dataValidation>
    <dataValidation type="list" allowBlank="1" showInputMessage="1" showErrorMessage="1" sqref="CG34:CL34 W34:AB34" xr:uid="{D72FB18D-273C-4C54-BD54-3D32B06D597A}">
      <formula1>MFSplitorSingle08</formula1>
    </dataValidation>
    <dataValidation type="list" allowBlank="1" showInputMessage="1" showErrorMessage="1" sqref="CG35:CL35 W35:AB35" xr:uid="{99326DB3-73DC-48FA-885E-243AE09FD2FA}">
      <formula1>MFSplitorSingle09</formula1>
    </dataValidation>
    <dataValidation type="list" allowBlank="1" showInputMessage="1" showErrorMessage="1" sqref="CG36:CL36 W36:AB36" xr:uid="{0C22EE61-DB57-4714-96A1-89CFA776F7BD}">
      <formula1>MFSplitorSingle10</formula1>
    </dataValidation>
    <dataValidation type="decimal" allowBlank="1" showInputMessage="1" showErrorMessage="1" errorTitle="Stop" error="Enter the unit cooling tons as a number. " sqref="D43:D52" xr:uid="{4D3D50C1-4CF7-4BB0-BB6B-98F2D1EAEE80}">
      <formula1>0.5</formula1>
      <formula2>5</formula2>
    </dataValidation>
    <dataValidation type="decimal" allowBlank="1" showInputMessage="1" errorTitle="Stop" error=". " sqref="D59:D68" xr:uid="{929127E4-3784-4E36-A0C0-07C0C0B6A221}">
      <formula1>0.5</formula1>
      <formula2>5</formula2>
    </dataValidation>
    <dataValidation type="decimal" allowBlank="1" showInputMessage="1" showErrorMessage="1" errorTitle="Stop" error="Enter the unit cooling tons as a number. Only units less than 5 tons are eligible for incentive." prompt="Ductless Mini-Split - ENERGY STAR - Only units less than 5 tons qualify." sqref="D11:D20" xr:uid="{CD233AC9-7325-4C5B-B681-005E61AB5121}">
      <formula1>0.5</formula1>
      <formula2>4.99</formula2>
    </dataValidation>
    <dataValidation type="decimal" allowBlank="1" showInputMessage="1" showErrorMessage="1" errorTitle="Stop" error="Enter the unit cooling tons as a number. Only units less than 5 tons are eligible for incentive." prompt="Air Source Heat Pumps - CEE Tier 1 and Tier 2 - Only units less than 5 tons qualify." sqref="D27:D36" xr:uid="{9F6E05D0-98AF-4D90-B3C3-661CFCD7D764}">
      <formula1>0.5</formula1>
      <formula2>4.99</formula2>
    </dataValidation>
  </dataValidations>
  <pageMargins left="0.25" right="0.25" top="0.75" bottom="0.75" header="0.3" footer="0.3"/>
  <pageSetup scale="50" fitToHeight="2" orientation="landscape" r:id="rId1"/>
  <headerFooter alignWithMargins="0"/>
  <rowBreaks count="1" manualBreakCount="1">
    <brk id="341" max="61"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429BC-A70D-417B-A002-5510C769EE19}">
  <sheetPr codeName="Sheet7">
    <tabColor theme="5" tint="0.79998168889431442"/>
  </sheetPr>
  <dimension ref="A1:JF334"/>
  <sheetViews>
    <sheetView showGridLines="0" showRowColHeaders="0" workbookViewId="0">
      <selection activeCell="O14" sqref="O14:P14"/>
    </sheetView>
  </sheetViews>
  <sheetFormatPr defaultColWidth="8.85546875" defaultRowHeight="12.75"/>
  <cols>
    <col min="1" max="1" width="1.140625" style="1" customWidth="1"/>
    <col min="2" max="7" width="3.42578125" style="1" customWidth="1"/>
    <col min="8" max="8" width="4.5703125" style="1" customWidth="1"/>
    <col min="9" max="9" width="4.7109375" style="1" customWidth="1"/>
    <col min="10" max="10" width="4" style="1" customWidth="1"/>
    <col min="11" max="11" width="4.42578125" style="1" customWidth="1"/>
    <col min="12" max="12" width="4" style="1" customWidth="1"/>
    <col min="13" max="13" width="4.28515625" style="1" customWidth="1"/>
    <col min="14" max="14" width="3.85546875" style="1" bestFit="1" customWidth="1"/>
    <col min="15" max="19" width="3.42578125" style="1" customWidth="1"/>
    <col min="20" max="20" width="3.85546875" style="1" customWidth="1"/>
    <col min="21" max="24" width="3.42578125" style="1" customWidth="1"/>
    <col min="25" max="25" width="3.5703125" style="1" customWidth="1"/>
    <col min="26" max="26" width="4.42578125" style="1" customWidth="1"/>
    <col min="27" max="28" width="3.7109375" style="1" customWidth="1"/>
    <col min="29" max="29" width="3.85546875" style="1" customWidth="1"/>
    <col min="30" max="30" width="4.42578125" style="1" customWidth="1"/>
    <col min="31" max="31" width="3.42578125" style="1" customWidth="1"/>
    <col min="32" max="34" width="3.5703125" style="1" customWidth="1"/>
    <col min="35" max="35" width="4.42578125" style="1" customWidth="1"/>
    <col min="36" max="36" width="1.140625" style="1" customWidth="1"/>
    <col min="37" max="37" width="7.5703125" style="1" hidden="1" customWidth="1"/>
    <col min="38" max="38" width="8.42578125" style="1" hidden="1" customWidth="1"/>
    <col min="39" max="39" width="10" style="1" hidden="1" customWidth="1"/>
    <col min="40" max="40" width="10.42578125" style="1" hidden="1" customWidth="1"/>
    <col min="41" max="41" width="11" style="9" hidden="1" customWidth="1"/>
    <col min="42" max="42" width="10.42578125" style="9" hidden="1" customWidth="1"/>
    <col min="43" max="44" width="12.140625" style="1" hidden="1" customWidth="1"/>
    <col min="45" max="45" width="10.42578125" style="1" hidden="1" customWidth="1"/>
    <col min="46" max="46" width="12.42578125" style="1" hidden="1" customWidth="1"/>
    <col min="47" max="47" width="10.42578125" style="1" hidden="1" customWidth="1"/>
    <col min="48" max="48" width="2" style="1" customWidth="1"/>
    <col min="49" max="49" width="3.42578125" style="1" customWidth="1"/>
    <col min="50" max="50" width="10.42578125" style="1" bestFit="1" customWidth="1"/>
    <col min="51" max="51" width="10" style="1" bestFit="1" customWidth="1"/>
    <col min="52" max="78" width="3.42578125" style="1" customWidth="1"/>
    <col min="79" max="107" width="3.42578125" style="684" customWidth="1"/>
    <col min="108" max="266" width="3.42578125" style="1" customWidth="1"/>
    <col min="267" max="16384" width="8.85546875" style="1"/>
  </cols>
  <sheetData>
    <row r="1" spans="1:107" ht="27">
      <c r="B1" s="766" t="s">
        <v>66</v>
      </c>
      <c r="C1" s="766"/>
      <c r="D1" s="766"/>
      <c r="E1" s="766"/>
      <c r="F1" s="766"/>
      <c r="G1" s="766"/>
      <c r="H1" s="766"/>
      <c r="I1" s="767"/>
      <c r="J1" s="767"/>
      <c r="K1" s="767"/>
      <c r="L1" s="767"/>
      <c r="M1" s="767"/>
      <c r="N1" s="767"/>
      <c r="O1" s="767"/>
      <c r="P1" s="767"/>
      <c r="Q1" s="767"/>
      <c r="R1" s="767"/>
      <c r="S1" s="767"/>
      <c r="T1" s="767"/>
      <c r="AA1" s="143"/>
      <c r="AI1" s="143" t="str">
        <f>'Preliminary Application'!AJ1</f>
        <v>Effective November 1, 2023</v>
      </c>
      <c r="AN1" s="17" t="s">
        <v>2473</v>
      </c>
      <c r="AO1" s="1" t="str">
        <f>IF('Preliminary Application'!$AD$11="","",'Preliminary Application'!$AD$11)</f>
        <v/>
      </c>
      <c r="AP1" s="393" t="s">
        <v>2474</v>
      </c>
      <c r="AQ1" s="1" t="str">
        <f>IF('Final Application'!$AK$60=TRUE,"Electric",IF('Final Application'!$AL$60=TRUE,"Gas",IF('Final Application'!$AM$60=TRUE,"Other","")))</f>
        <v/>
      </c>
      <c r="AR1" s="393" t="s">
        <v>2475</v>
      </c>
      <c r="AS1" s="1" t="str">
        <f>IF('Final Application'!$AK$62=TRUE,"Electric",IF('Final Application'!$AL$62=TRUE,"Gas",IF('Final Application'!$AM$62=TRUE,"Other","")))</f>
        <v/>
      </c>
      <c r="AT1" s="3" t="s">
        <v>226</v>
      </c>
      <c r="AU1" s="3" t="s">
        <v>2476</v>
      </c>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row>
    <row r="2" spans="1:107" ht="18">
      <c r="B2" s="18" t="s">
        <v>68</v>
      </c>
      <c r="C2" s="18"/>
      <c r="D2" s="18"/>
      <c r="E2" s="18"/>
      <c r="F2" s="18"/>
      <c r="G2" s="18"/>
      <c r="H2" s="18"/>
      <c r="I2" s="18"/>
      <c r="J2" s="3"/>
      <c r="K2"/>
      <c r="L2"/>
      <c r="M2"/>
      <c r="N2"/>
      <c r="O2"/>
      <c r="P2"/>
      <c r="Q2"/>
      <c r="R2"/>
      <c r="S2"/>
      <c r="T2" s="3"/>
      <c r="U2" s="3"/>
      <c r="V2" s="3"/>
      <c r="W2" s="3"/>
      <c r="X2" s="3"/>
      <c r="Y2" s="3"/>
      <c r="Z2" s="3"/>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row>
    <row r="3" spans="1:107" s="45" customFormat="1" ht="18">
      <c r="A3" s="1"/>
      <c r="B3" s="82" t="s">
        <v>2754</v>
      </c>
      <c r="C3" s="198"/>
      <c r="D3" s="198"/>
      <c r="E3" s="198"/>
      <c r="F3" s="198"/>
      <c r="G3" s="198"/>
      <c r="H3" s="198"/>
      <c r="I3" s="198"/>
      <c r="J3" s="198"/>
      <c r="K3" s="198"/>
      <c r="L3" s="198"/>
      <c r="M3" s="198"/>
      <c r="N3" s="198"/>
      <c r="O3"/>
      <c r="P3"/>
      <c r="Q3"/>
      <c r="R3"/>
      <c r="S3"/>
      <c r="T3"/>
      <c r="U3"/>
      <c r="V3" s="3"/>
      <c r="W3" s="3"/>
      <c r="X3" s="3"/>
      <c r="Y3" s="3"/>
      <c r="Z3" s="3"/>
      <c r="AA3" s="3"/>
      <c r="AB3" s="1"/>
      <c r="AC3" s="1"/>
      <c r="AD3" s="1"/>
      <c r="AE3" s="1"/>
      <c r="AF3" s="1"/>
      <c r="AG3" s="1"/>
      <c r="AH3" s="1"/>
      <c r="AI3" s="1"/>
      <c r="AJ3" s="3"/>
      <c r="AK3" s="1"/>
      <c r="AL3" s="1"/>
      <c r="AM3" s="1"/>
      <c r="AN3" s="1"/>
      <c r="AO3" s="9"/>
      <c r="AP3" s="9"/>
      <c r="AQ3" s="1"/>
      <c r="AR3" s="1"/>
      <c r="AS3" s="1"/>
      <c r="AT3" s="1"/>
      <c r="AU3" s="1"/>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685"/>
      <c r="CB3" s="685"/>
      <c r="CC3" s="685"/>
      <c r="CD3" s="685"/>
      <c r="CE3" s="685"/>
      <c r="CF3" s="685"/>
      <c r="CG3" s="685"/>
      <c r="CH3" s="685"/>
      <c r="CI3" s="685"/>
      <c r="CJ3" s="685"/>
      <c r="CK3" s="685"/>
      <c r="CL3" s="685"/>
      <c r="CM3" s="685"/>
      <c r="CN3" s="685"/>
      <c r="CO3" s="685"/>
      <c r="CP3" s="685"/>
      <c r="CQ3" s="685"/>
      <c r="CR3" s="685"/>
      <c r="CS3" s="685"/>
      <c r="CT3" s="685"/>
      <c r="CU3" s="685"/>
      <c r="CV3" s="685"/>
      <c r="CW3" s="685"/>
      <c r="CX3" s="685"/>
      <c r="CY3" s="685"/>
      <c r="CZ3" s="685"/>
      <c r="DA3" s="685"/>
      <c r="DB3" s="685"/>
      <c r="DC3" s="685"/>
    </row>
    <row r="4" spans="1:107" s="45" customFormat="1" ht="26.45" customHeight="1">
      <c r="A4" s="1"/>
      <c r="B4" s="80" t="s">
        <v>2755</v>
      </c>
      <c r="C4" s="198"/>
      <c r="D4" s="198"/>
      <c r="E4" s="198"/>
      <c r="F4" s="198"/>
      <c r="G4" s="198"/>
      <c r="H4" s="198"/>
      <c r="I4" s="198"/>
      <c r="J4" s="198"/>
      <c r="K4" s="198"/>
      <c r="L4" s="198"/>
      <c r="M4" s="198"/>
      <c r="N4" s="198"/>
      <c r="O4"/>
      <c r="P4"/>
      <c r="Q4"/>
      <c r="R4"/>
      <c r="S4"/>
      <c r="T4"/>
      <c r="U4"/>
      <c r="V4" s="3"/>
      <c r="W4" s="3"/>
      <c r="X4" s="3"/>
      <c r="Y4" s="3"/>
      <c r="Z4" s="3"/>
      <c r="AA4" s="3"/>
      <c r="AB4" s="1"/>
      <c r="AC4" s="1"/>
      <c r="AD4" s="1"/>
      <c r="AE4" s="1"/>
      <c r="AF4" s="1"/>
      <c r="AG4" s="1"/>
      <c r="AH4" s="1"/>
      <c r="AI4" s="1"/>
      <c r="AJ4" s="3"/>
      <c r="AK4" s="1"/>
      <c r="AL4" s="1"/>
      <c r="AM4" s="1"/>
      <c r="AN4" s="1"/>
      <c r="AO4" s="9"/>
      <c r="AP4" s="9"/>
      <c r="AQ4" s="1"/>
      <c r="AR4" s="1"/>
      <c r="AS4" s="1"/>
      <c r="AT4" s="1"/>
      <c r="AU4" s="1"/>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685"/>
      <c r="CB4" s="685"/>
      <c r="CC4" s="685"/>
      <c r="CD4" s="685"/>
      <c r="CE4" s="685"/>
      <c r="CF4" s="685"/>
      <c r="CG4" s="685"/>
      <c r="CH4" s="685"/>
      <c r="CI4" s="685"/>
      <c r="CJ4" s="685"/>
      <c r="CK4" s="685"/>
      <c r="CL4" s="685"/>
      <c r="CM4" s="685"/>
      <c r="CN4" s="685"/>
      <c r="CO4" s="685"/>
      <c r="CP4" s="685"/>
      <c r="CQ4" s="685"/>
      <c r="CR4" s="685"/>
      <c r="CS4" s="685"/>
      <c r="CT4" s="685"/>
      <c r="CU4" s="685"/>
      <c r="CV4" s="685"/>
      <c r="CW4" s="685"/>
      <c r="CX4" s="685"/>
      <c r="CY4" s="685"/>
      <c r="CZ4" s="685"/>
      <c r="DA4" s="685"/>
      <c r="DB4" s="685"/>
      <c r="DC4" s="685"/>
    </row>
    <row r="5" spans="1:107" s="45" customFormat="1" ht="18">
      <c r="A5" s="1"/>
      <c r="B5" s="9" t="s">
        <v>2479</v>
      </c>
      <c r="C5" s="198"/>
      <c r="D5" s="198"/>
      <c r="E5" s="198"/>
      <c r="F5" s="198"/>
      <c r="G5" s="198"/>
      <c r="H5" s="198"/>
      <c r="I5" s="198"/>
      <c r="J5" s="198"/>
      <c r="K5" s="198"/>
      <c r="L5" s="198"/>
      <c r="M5" s="198"/>
      <c r="N5" s="198"/>
      <c r="O5"/>
      <c r="P5"/>
      <c r="Q5"/>
      <c r="R5"/>
      <c r="S5"/>
      <c r="T5"/>
      <c r="U5"/>
      <c r="V5" s="3"/>
      <c r="W5" s="3"/>
      <c r="X5" s="3"/>
      <c r="Y5" s="3"/>
      <c r="Z5" s="3"/>
      <c r="AA5" s="3"/>
      <c r="AB5" s="1"/>
      <c r="AC5" s="1"/>
      <c r="AD5" s="1"/>
      <c r="AE5" s="1"/>
      <c r="AF5" s="1"/>
      <c r="AG5" s="1"/>
      <c r="AH5" s="1"/>
      <c r="AI5" s="1"/>
      <c r="AJ5" s="3"/>
      <c r="AK5" s="1"/>
      <c r="AL5" s="1"/>
      <c r="AM5" s="1"/>
      <c r="AN5" s="1"/>
      <c r="AO5" s="9"/>
      <c r="AP5" s="9"/>
      <c r="AQ5" s="1"/>
      <c r="AR5" s="1"/>
      <c r="AS5" s="1"/>
      <c r="AT5" s="1"/>
      <c r="AU5" s="1"/>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685"/>
      <c r="CB5" s="685"/>
      <c r="CC5" s="685"/>
      <c r="CD5" s="685"/>
      <c r="CE5" s="685"/>
      <c r="CF5" s="685"/>
      <c r="CG5" s="685"/>
      <c r="CH5" s="685"/>
      <c r="CI5" s="685"/>
      <c r="CJ5" s="685"/>
      <c r="CK5" s="685"/>
      <c r="CL5" s="685"/>
      <c r="CM5" s="685"/>
      <c r="CN5" s="685"/>
      <c r="CO5" s="685"/>
      <c r="CP5" s="685"/>
      <c r="CQ5" s="685"/>
      <c r="CR5" s="685"/>
      <c r="CS5" s="685"/>
      <c r="CT5" s="685"/>
      <c r="CU5" s="685"/>
      <c r="CV5" s="685"/>
      <c r="CW5" s="685"/>
      <c r="CX5" s="685"/>
      <c r="CY5" s="685"/>
      <c r="CZ5" s="685"/>
      <c r="DA5" s="685"/>
      <c r="DB5" s="685"/>
      <c r="DC5" s="685"/>
    </row>
    <row r="6" spans="1:107" ht="7.5" customHeight="1">
      <c r="A6" s="35"/>
      <c r="B6" s="199"/>
      <c r="C6" s="199"/>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row>
    <row r="7" spans="1:107" s="5" customFormat="1" ht="15" customHeight="1">
      <c r="A7" s="25"/>
      <c r="B7" s="153" t="s">
        <v>2756</v>
      </c>
      <c r="C7" s="31"/>
      <c r="D7" s="31"/>
      <c r="E7" s="31"/>
      <c r="F7" s="31"/>
      <c r="G7" s="31"/>
      <c r="H7" s="31"/>
      <c r="I7" s="31"/>
      <c r="J7" s="31"/>
      <c r="K7" s="31"/>
      <c r="L7" s="31"/>
      <c r="M7" s="31"/>
      <c r="N7" s="31"/>
      <c r="O7" s="31"/>
      <c r="P7" s="31"/>
      <c r="Q7" s="31"/>
      <c r="R7" s="31"/>
      <c r="S7" s="31"/>
      <c r="T7" s="43"/>
      <c r="U7" s="31"/>
      <c r="V7" s="168"/>
      <c r="W7" s="168"/>
      <c r="X7" s="168"/>
      <c r="Y7" s="168"/>
      <c r="Z7" s="168"/>
      <c r="AA7" s="168"/>
      <c r="AB7" s="168"/>
      <c r="AC7" s="168"/>
      <c r="AD7" s="31"/>
      <c r="AE7" s="31"/>
      <c r="AF7" s="42"/>
      <c r="AG7" s="31"/>
      <c r="AH7" s="42"/>
      <c r="AI7" s="31"/>
      <c r="AJ7" s="25"/>
      <c r="AK7" s="9"/>
      <c r="AL7" s="9"/>
      <c r="AM7" s="847"/>
      <c r="AN7" s="847"/>
      <c r="AO7" s="736"/>
      <c r="AP7" s="736"/>
      <c r="AQ7" s="736"/>
      <c r="AR7" s="736"/>
      <c r="AS7" s="736"/>
      <c r="AT7" s="736"/>
      <c r="AU7" s="736"/>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686"/>
      <c r="CB7" s="686"/>
      <c r="CC7" s="686"/>
      <c r="CD7" s="686"/>
      <c r="CE7" s="686"/>
      <c r="CF7" s="686"/>
      <c r="CG7" s="686"/>
      <c r="CH7" s="686"/>
      <c r="CI7" s="686"/>
      <c r="CJ7" s="686"/>
      <c r="CK7" s="686"/>
      <c r="CL7" s="686"/>
      <c r="CM7" s="686"/>
      <c r="CN7" s="686"/>
      <c r="CO7" s="686"/>
      <c r="CP7" s="686"/>
      <c r="CQ7" s="686"/>
      <c r="CR7" s="686"/>
      <c r="CS7" s="686"/>
      <c r="CT7" s="686"/>
      <c r="CU7" s="686"/>
      <c r="CV7" s="686"/>
      <c r="CW7" s="686"/>
      <c r="CX7" s="686"/>
      <c r="CY7" s="686"/>
      <c r="CZ7" s="686"/>
      <c r="DA7" s="686"/>
      <c r="DB7" s="686"/>
      <c r="DC7" s="686"/>
    </row>
    <row r="8" spans="1:107" s="5" customFormat="1" ht="15" customHeight="1">
      <c r="A8" s="25"/>
      <c r="B8" s="41"/>
      <c r="C8" s="31"/>
      <c r="D8" s="31"/>
      <c r="E8" s="31"/>
      <c r="F8" s="31"/>
      <c r="G8" s="31"/>
      <c r="H8" s="31"/>
      <c r="I8" s="31"/>
      <c r="J8" s="31"/>
      <c r="K8" s="31"/>
      <c r="L8" s="31"/>
      <c r="M8" s="31"/>
      <c r="N8" s="31"/>
      <c r="O8" s="31"/>
      <c r="P8" s="31"/>
      <c r="Q8" s="31"/>
      <c r="R8" s="31"/>
      <c r="S8" s="31"/>
      <c r="T8" s="43"/>
      <c r="U8" s="31"/>
      <c r="V8" s="168"/>
      <c r="W8" s="168"/>
      <c r="X8" s="168"/>
      <c r="Y8" s="168"/>
      <c r="Z8" s="168"/>
      <c r="AA8" s="168"/>
      <c r="AB8" s="168"/>
      <c r="AC8" s="168"/>
      <c r="AD8" s="31"/>
      <c r="AE8" s="31"/>
      <c r="AF8" s="42"/>
      <c r="AG8" s="31"/>
      <c r="AH8" s="42"/>
      <c r="AI8" s="31"/>
      <c r="AJ8" s="25"/>
      <c r="AK8" s="9"/>
      <c r="AL8" s="9"/>
      <c r="AM8" s="847" t="s">
        <v>2481</v>
      </c>
      <c r="AN8" s="847"/>
      <c r="AO8" s="736" t="s">
        <v>2482</v>
      </c>
      <c r="AP8" s="736"/>
      <c r="AQ8" s="736"/>
      <c r="AR8" s="736"/>
      <c r="AS8" s="736"/>
      <c r="AT8" s="736"/>
      <c r="AU8" s="736"/>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686"/>
      <c r="CB8" s="686"/>
      <c r="CC8" s="686"/>
      <c r="CD8" s="686"/>
      <c r="CE8" s="686"/>
      <c r="CF8" s="686"/>
      <c r="CG8" s="686"/>
      <c r="CH8" s="686"/>
      <c r="CI8" s="686"/>
      <c r="CJ8" s="686"/>
      <c r="CK8" s="686"/>
      <c r="CL8" s="686"/>
      <c r="CM8" s="686"/>
      <c r="CN8" s="686"/>
      <c r="CO8" s="686"/>
      <c r="CP8" s="686"/>
      <c r="CQ8" s="686"/>
      <c r="CR8" s="686"/>
      <c r="CS8" s="686"/>
      <c r="CT8" s="686"/>
      <c r="CU8" s="686"/>
      <c r="CV8" s="686"/>
      <c r="CW8" s="686"/>
      <c r="CX8" s="686"/>
      <c r="CY8" s="686"/>
      <c r="CZ8" s="686"/>
      <c r="DA8" s="686"/>
      <c r="DB8" s="686"/>
      <c r="DC8" s="686"/>
    </row>
    <row r="9" spans="1:107" s="5" customFormat="1" ht="22.5">
      <c r="A9" s="25"/>
      <c r="B9" s="179"/>
      <c r="C9" s="176"/>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356" t="s">
        <v>2483</v>
      </c>
      <c r="AG9" s="356"/>
      <c r="AH9" s="356"/>
      <c r="AI9" s="577"/>
      <c r="AJ9" s="25"/>
      <c r="AK9" s="8"/>
      <c r="AL9" s="8"/>
      <c r="AM9" s="10" t="s">
        <v>2484</v>
      </c>
      <c r="AN9" s="10" t="s">
        <v>2485</v>
      </c>
      <c r="AO9" s="10" t="s">
        <v>2486</v>
      </c>
      <c r="AP9" s="10" t="s">
        <v>2487</v>
      </c>
      <c r="AQ9" s="10" t="s">
        <v>2488</v>
      </c>
      <c r="AR9" s="10"/>
      <c r="AS9" s="10"/>
      <c r="AT9" s="10" t="s">
        <v>2489</v>
      </c>
      <c r="AU9" s="10" t="s">
        <v>2490</v>
      </c>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686"/>
      <c r="CB9" s="686"/>
      <c r="CC9" s="686"/>
      <c r="CD9" s="686"/>
      <c r="CE9" s="686"/>
      <c r="CF9" s="686"/>
      <c r="CG9" s="686"/>
      <c r="CH9" s="686"/>
      <c r="CI9" s="686"/>
      <c r="CJ9" s="686"/>
      <c r="CK9" s="686"/>
      <c r="CL9" s="686"/>
      <c r="CM9" s="686"/>
      <c r="CN9" s="686"/>
      <c r="CO9" s="686"/>
      <c r="CP9" s="686"/>
      <c r="CQ9" s="686"/>
      <c r="CR9" s="686"/>
      <c r="CS9" s="686"/>
      <c r="CT9" s="686"/>
      <c r="CU9" s="686"/>
      <c r="CV9" s="686"/>
      <c r="CW9" s="686"/>
      <c r="CX9" s="686"/>
      <c r="CY9" s="686"/>
      <c r="CZ9" s="686"/>
      <c r="DA9" s="686"/>
      <c r="DB9" s="686"/>
      <c r="DC9" s="686"/>
    </row>
    <row r="10" spans="1:107">
      <c r="A10" s="25"/>
      <c r="B10" s="555"/>
      <c r="C10" s="157" t="s">
        <v>2491</v>
      </c>
      <c r="D10" s="157"/>
      <c r="E10" s="157"/>
      <c r="F10" s="333"/>
      <c r="G10" s="157"/>
      <c r="H10" s="50"/>
      <c r="I10" s="420"/>
      <c r="J10" s="420"/>
      <c r="K10" s="868" t="s">
        <v>2757</v>
      </c>
      <c r="L10" s="868"/>
      <c r="M10" s="868"/>
      <c r="N10" s="868"/>
      <c r="O10" s="868"/>
      <c r="P10" s="868"/>
      <c r="Q10" s="868"/>
      <c r="R10" s="25"/>
      <c r="S10" s="25"/>
      <c r="T10" s="25"/>
      <c r="U10" s="25"/>
      <c r="V10" s="25"/>
      <c r="W10" s="25"/>
      <c r="X10" s="25"/>
      <c r="Y10" s="25"/>
      <c r="Z10" s="168"/>
      <c r="AA10" s="168"/>
      <c r="AB10" s="168"/>
      <c r="AC10" s="168"/>
      <c r="AD10" s="185" t="s">
        <v>2493</v>
      </c>
      <c r="AE10" s="371" t="s">
        <v>142</v>
      </c>
      <c r="AF10" s="855" t="str">
        <f>IF(AK10=FALSE,IF(AND('Retro HVAC Worksheet'!BM11&gt;0,'Retro HVAC Worksheet'!BH22&lt;&gt;""),"Chk Box",""),'Retro HVAC Worksheet'!BH22)</f>
        <v/>
      </c>
      <c r="AG10" s="855"/>
      <c r="AH10" s="855"/>
      <c r="AI10" s="181"/>
      <c r="AJ10" s="25"/>
      <c r="AK10" s="187" t="b">
        <v>0</v>
      </c>
      <c r="AL10" s="9"/>
      <c r="AM10" s="187">
        <f t="shared" ref="AM10:AN16" si="0">IFERROR(IF($AQ10="",AO10,VLOOKUP($AU10,StackingEffects,2,FALSE)*AO10),0)</f>
        <v>0</v>
      </c>
      <c r="AN10" s="187">
        <f t="shared" si="0"/>
        <v>0</v>
      </c>
      <c r="AO10" s="187">
        <f>IF(AF10="Chk Box",0,'Retro HVAC Worksheet'!BV22)</f>
        <v>0</v>
      </c>
      <c r="AP10" s="187">
        <f>IF(AF10="Chk Box",0,'Retro HVAC Worksheet'!BW22)</f>
        <v>0</v>
      </c>
      <c r="AQ10" s="396" t="s">
        <v>2494</v>
      </c>
      <c r="AR10" s="396"/>
      <c r="AS10" s="396"/>
      <c r="AT10" s="396">
        <f>IF($AQ10="HVAC",SUM($AO$10:$AO$13),0)</f>
        <v>0</v>
      </c>
      <c r="AU10" s="396" t="str">
        <f>IF($AO10=0,"",_xlfn.RANK.EQ($AT$10,$AT$10:$AT$24,0))</f>
        <v/>
      </c>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Y10" s="686"/>
      <c r="CZ10" s="686"/>
      <c r="DA10" s="686"/>
      <c r="DB10" s="686"/>
      <c r="DC10" s="686"/>
    </row>
    <row r="11" spans="1:107" ht="12.75" customHeight="1">
      <c r="A11" s="25"/>
      <c r="B11" s="555"/>
      <c r="C11" s="159" t="s">
        <v>2495</v>
      </c>
      <c r="D11" s="159"/>
      <c r="E11" s="159"/>
      <c r="F11" s="159"/>
      <c r="G11" s="25"/>
      <c r="H11" s="50"/>
      <c r="I11" s="420"/>
      <c r="J11" s="420"/>
      <c r="K11" s="868" t="s">
        <v>2757</v>
      </c>
      <c r="L11" s="868"/>
      <c r="M11" s="868"/>
      <c r="N11" s="868"/>
      <c r="O11" s="868"/>
      <c r="P11" s="868"/>
      <c r="Q11" s="868"/>
      <c r="R11" s="25"/>
      <c r="S11" s="25"/>
      <c r="T11" s="25"/>
      <c r="U11" s="25"/>
      <c r="V11" s="25"/>
      <c r="W11" s="25"/>
      <c r="X11" s="25"/>
      <c r="Y11" s="25"/>
      <c r="Z11" s="168"/>
      <c r="AA11" s="168"/>
      <c r="AB11" s="168"/>
      <c r="AC11" s="168"/>
      <c r="AD11" s="185" t="s">
        <v>2496</v>
      </c>
      <c r="AE11" s="371" t="s">
        <v>142</v>
      </c>
      <c r="AF11" s="855" t="str">
        <f>IF(AK11=FALSE,IF(AND('Retro HVAC Worksheet'!BM27&gt;0,'Retro HVAC Worksheet'!BH38&lt;&gt;""),"Chk Box",""),'Retro HVAC Worksheet'!BH38)</f>
        <v/>
      </c>
      <c r="AG11" s="855"/>
      <c r="AH11" s="855"/>
      <c r="AI11" s="181"/>
      <c r="AJ11" s="25"/>
      <c r="AK11" s="187" t="b">
        <v>0</v>
      </c>
      <c r="AL11" s="9"/>
      <c r="AM11" s="187">
        <f t="shared" si="0"/>
        <v>0</v>
      </c>
      <c r="AN11" s="187">
        <f t="shared" si="0"/>
        <v>0</v>
      </c>
      <c r="AO11" s="187">
        <f>IF(AF11="Chk Box",0,'Retro HVAC Worksheet'!BV38)</f>
        <v>0</v>
      </c>
      <c r="AP11" s="187">
        <f>IF(AF11="Chk Box",0,'Retro HVAC Worksheet'!BW38)</f>
        <v>0</v>
      </c>
      <c r="AQ11" s="396" t="s">
        <v>2494</v>
      </c>
      <c r="AR11" s="396"/>
      <c r="AS11" s="396"/>
      <c r="AT11" s="396"/>
      <c r="AU11" s="396" t="str">
        <f t="shared" ref="AU11:AU13" si="1">IF($AO11=0,"",_xlfn.RANK.EQ($AT$10,$AT$10:$AT$24,0))</f>
        <v/>
      </c>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Y11" s="686"/>
      <c r="CZ11" s="686"/>
      <c r="DA11" s="686"/>
      <c r="DB11" s="686"/>
      <c r="DC11" s="686"/>
    </row>
    <row r="12" spans="1:107" s="5" customFormat="1" ht="15" customHeight="1">
      <c r="A12" s="25"/>
      <c r="B12" s="555"/>
      <c r="C12" s="157" t="s">
        <v>2497</v>
      </c>
      <c r="D12" s="157"/>
      <c r="E12" s="157"/>
      <c r="F12" s="333"/>
      <c r="G12" s="25"/>
      <c r="H12" s="50"/>
      <c r="I12" s="420"/>
      <c r="J12" s="420"/>
      <c r="K12" s="868" t="s">
        <v>2757</v>
      </c>
      <c r="L12" s="868"/>
      <c r="M12" s="868"/>
      <c r="N12" s="868"/>
      <c r="O12" s="868"/>
      <c r="P12" s="868"/>
      <c r="Q12" s="868"/>
      <c r="R12" s="25"/>
      <c r="S12" s="25"/>
      <c r="T12" s="25"/>
      <c r="U12" s="25"/>
      <c r="V12" s="25"/>
      <c r="W12" s="25"/>
      <c r="X12" s="25"/>
      <c r="Y12" s="25"/>
      <c r="Z12" s="168"/>
      <c r="AA12" s="168"/>
      <c r="AB12" s="168"/>
      <c r="AC12" s="168"/>
      <c r="AD12" s="185" t="s">
        <v>2758</v>
      </c>
      <c r="AE12" s="371" t="s">
        <v>142</v>
      </c>
      <c r="AF12" s="855" t="str">
        <f>IF(AK12=FALSE,IF(AND('Retro HVAC Worksheet'!BM43&gt;0,'Retro HVAC Worksheet'!BH54&lt;&gt;""),"Chk Box",""),'Retro HVAC Worksheet'!BH54)</f>
        <v/>
      </c>
      <c r="AG12" s="855"/>
      <c r="AH12" s="855"/>
      <c r="AI12" s="181"/>
      <c r="AJ12" s="25"/>
      <c r="AK12" s="187" t="b">
        <v>0</v>
      </c>
      <c r="AL12" s="9"/>
      <c r="AM12" s="187">
        <f t="shared" si="0"/>
        <v>0</v>
      </c>
      <c r="AN12" s="187">
        <f t="shared" si="0"/>
        <v>0</v>
      </c>
      <c r="AO12" s="187">
        <f>IF(AF12="Chk Box",0,'Retro HVAC Worksheet'!BV54)</f>
        <v>0</v>
      </c>
      <c r="AP12" s="187">
        <f>IF(AF12="Chk Box",0,'Retro HVAC Worksheet'!BW54)</f>
        <v>0</v>
      </c>
      <c r="AQ12" s="396" t="s">
        <v>2494</v>
      </c>
      <c r="AR12" s="396"/>
      <c r="AS12" s="396"/>
      <c r="AT12" s="396"/>
      <c r="AU12" s="396" t="str">
        <f t="shared" si="1"/>
        <v/>
      </c>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686"/>
      <c r="CB12" s="686"/>
      <c r="CC12" s="686"/>
      <c r="CD12" s="686"/>
      <c r="CE12" s="686"/>
      <c r="CF12" s="686"/>
      <c r="CG12" s="686"/>
      <c r="CH12" s="686"/>
      <c r="CI12" s="686"/>
      <c r="CJ12" s="686"/>
      <c r="CK12" s="686"/>
      <c r="CL12" s="686"/>
      <c r="CM12" s="686"/>
      <c r="CN12" s="686"/>
      <c r="CO12" s="686"/>
      <c r="CP12" s="686"/>
      <c r="CQ12" s="686"/>
      <c r="CR12" s="686"/>
      <c r="CS12" s="686"/>
      <c r="CT12" s="686"/>
      <c r="CU12" s="686"/>
      <c r="CV12" s="686"/>
      <c r="CW12" s="686"/>
      <c r="CX12" s="686"/>
      <c r="CY12" s="686"/>
      <c r="CZ12" s="686"/>
      <c r="DA12" s="686"/>
      <c r="DB12" s="686"/>
      <c r="DC12" s="686"/>
    </row>
    <row r="13" spans="1:107" s="5" customFormat="1" ht="15" customHeight="1">
      <c r="A13" s="25"/>
      <c r="B13" s="555"/>
      <c r="C13" s="157" t="s">
        <v>3325</v>
      </c>
      <c r="D13" s="157"/>
      <c r="E13" s="157"/>
      <c r="F13" s="333"/>
      <c r="G13" s="25"/>
      <c r="H13" s="50"/>
      <c r="I13" s="420"/>
      <c r="J13" s="420"/>
      <c r="K13" s="868" t="s">
        <v>2757</v>
      </c>
      <c r="L13" s="868"/>
      <c r="M13" s="868"/>
      <c r="N13" s="868"/>
      <c r="O13" s="868"/>
      <c r="P13" s="868"/>
      <c r="Q13" s="868"/>
      <c r="R13" s="25"/>
      <c r="S13" s="25"/>
      <c r="T13" s="25"/>
      <c r="U13" s="25"/>
      <c r="V13" s="25"/>
      <c r="W13" s="25"/>
      <c r="X13" s="25"/>
      <c r="Y13" s="25"/>
      <c r="Z13" s="168"/>
      <c r="AA13" s="168"/>
      <c r="AB13" s="168"/>
      <c r="AC13" s="168"/>
      <c r="AD13" s="185" t="s">
        <v>2499</v>
      </c>
      <c r="AE13" s="371" t="s">
        <v>142</v>
      </c>
      <c r="AF13" s="855" t="str">
        <f>IF(AK13=FALSE,IF(AND('Retro HVAC Worksheet'!BM59&gt;0,'Retro HVAC Worksheet'!BH70&lt;&gt;""),"Chk Box",""),'Retro HVAC Worksheet'!BH70)</f>
        <v/>
      </c>
      <c r="AG13" s="855"/>
      <c r="AH13" s="855"/>
      <c r="AI13" s="181"/>
      <c r="AJ13" s="25"/>
      <c r="AK13" s="187" t="b">
        <v>0</v>
      </c>
      <c r="AL13" s="9"/>
      <c r="AM13" s="187">
        <f t="shared" si="0"/>
        <v>0</v>
      </c>
      <c r="AN13" s="187">
        <f t="shared" si="0"/>
        <v>0</v>
      </c>
      <c r="AO13" s="187">
        <f>IF(AF13="Chk Box",0,'Retro HVAC Worksheet'!BV70)</f>
        <v>0</v>
      </c>
      <c r="AP13" s="187">
        <f>IF(AF13="Chk Box",0,'Retro HVAC Worksheet'!BW70)</f>
        <v>0</v>
      </c>
      <c r="AQ13" s="396" t="s">
        <v>2494</v>
      </c>
      <c r="AR13" s="396"/>
      <c r="AS13" s="396"/>
      <c r="AT13" s="396"/>
      <c r="AU13" s="396" t="str">
        <f t="shared" si="1"/>
        <v/>
      </c>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686"/>
      <c r="CB13" s="686"/>
      <c r="CC13" s="686"/>
      <c r="CD13" s="686"/>
      <c r="CE13" s="686"/>
      <c r="CF13" s="686"/>
      <c r="CG13" s="686"/>
      <c r="CH13" s="686"/>
      <c r="CI13" s="686"/>
      <c r="CJ13" s="686"/>
      <c r="CK13" s="686"/>
      <c r="CL13" s="686"/>
      <c r="CM13" s="686"/>
      <c r="CN13" s="686"/>
      <c r="CO13" s="686"/>
      <c r="CP13" s="686"/>
      <c r="CQ13" s="686"/>
      <c r="CR13" s="686"/>
      <c r="CS13" s="686"/>
      <c r="CT13" s="686"/>
      <c r="CU13" s="686"/>
      <c r="CV13" s="686"/>
      <c r="CW13" s="686"/>
      <c r="CX13" s="686"/>
      <c r="CY13" s="686"/>
      <c r="CZ13" s="686"/>
      <c r="DA13" s="686"/>
      <c r="DB13" s="686"/>
      <c r="DC13" s="686"/>
    </row>
    <row r="14" spans="1:107" ht="12.75" customHeight="1">
      <c r="A14" s="25"/>
      <c r="B14" s="555"/>
      <c r="C14" s="157" t="s">
        <v>3331</v>
      </c>
      <c r="D14" s="157"/>
      <c r="E14" s="157"/>
      <c r="F14" s="25"/>
      <c r="G14" s="25"/>
      <c r="H14" s="50"/>
      <c r="I14" s="25"/>
      <c r="J14" s="25"/>
      <c r="K14" s="25"/>
      <c r="L14" s="25"/>
      <c r="M14" s="25"/>
      <c r="N14" s="158" t="s">
        <v>2500</v>
      </c>
      <c r="O14" s="850"/>
      <c r="P14" s="851"/>
      <c r="Q14" s="159" t="s">
        <v>2501</v>
      </c>
      <c r="R14" s="25"/>
      <c r="S14" s="25"/>
      <c r="T14" s="43"/>
      <c r="U14" s="185"/>
      <c r="V14" s="158" t="s">
        <v>2500</v>
      </c>
      <c r="W14" s="850"/>
      <c r="X14" s="851"/>
      <c r="Y14" s="159" t="s">
        <v>2502</v>
      </c>
      <c r="Z14" s="168"/>
      <c r="AA14" s="168"/>
      <c r="AB14" s="168"/>
      <c r="AC14" s="168"/>
      <c r="AD14" s="185" t="s">
        <v>2503</v>
      </c>
      <c r="AE14" s="371" t="s">
        <v>142</v>
      </c>
      <c r="AF14" s="855" t="str">
        <f>IF(AK14=FALSE,IF(AND(O14="",W14=""),"","Chk Box"),IF(AND(O14="",W14=""),0,(O14+W14)*25))</f>
        <v/>
      </c>
      <c r="AG14" s="855"/>
      <c r="AH14" s="855"/>
      <c r="AI14" s="181"/>
      <c r="AJ14" s="25"/>
      <c r="AK14" s="187" t="b">
        <v>0</v>
      </c>
      <c r="AL14" s="9"/>
      <c r="AM14" s="556">
        <f t="shared" si="0"/>
        <v>0</v>
      </c>
      <c r="AN14" s="556">
        <f t="shared" si="0"/>
        <v>0</v>
      </c>
      <c r="AO14" s="556">
        <f>IF($AF14="Chk Box",0,IF($AF14&gt;1,($O14*128)+($W14*137),0))</f>
        <v>0</v>
      </c>
      <c r="AP14" s="556">
        <f>IF($AF14="Chk Box",0,IF($AF14&gt;1,($O14*0.01)+($W14*0.01),0))</f>
        <v>0</v>
      </c>
      <c r="AQ14" s="400"/>
      <c r="AR14" s="400"/>
      <c r="AS14" s="400"/>
      <c r="AT14" s="400"/>
      <c r="AU14" s="400" t="str">
        <f t="shared" ref="AU14:AU15" si="2">IF($AT14=0,"",_xlfn.RANK.EQ($AT14,$AT$10:$AT$24,0))</f>
        <v/>
      </c>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row>
    <row r="15" spans="1:107" ht="12.75" customHeight="1">
      <c r="A15" s="25"/>
      <c r="B15" s="555"/>
      <c r="C15" s="157" t="s">
        <v>3332</v>
      </c>
      <c r="D15" s="157"/>
      <c r="E15" s="157"/>
      <c r="F15" s="25"/>
      <c r="G15" s="25"/>
      <c r="H15" s="50"/>
      <c r="I15" s="25"/>
      <c r="J15" s="25"/>
      <c r="K15" s="25"/>
      <c r="L15" s="25"/>
      <c r="M15" s="25"/>
      <c r="N15" s="158" t="s">
        <v>2500</v>
      </c>
      <c r="O15" s="850"/>
      <c r="P15" s="851"/>
      <c r="Q15" s="159" t="s">
        <v>2504</v>
      </c>
      <c r="R15" s="25"/>
      <c r="S15" s="25"/>
      <c r="T15" s="43"/>
      <c r="U15" s="185"/>
      <c r="V15" s="158" t="s">
        <v>2500</v>
      </c>
      <c r="W15" s="850"/>
      <c r="X15" s="851"/>
      <c r="Y15" s="159" t="s">
        <v>2505</v>
      </c>
      <c r="Z15" s="168"/>
      <c r="AA15" s="168"/>
      <c r="AB15" s="168"/>
      <c r="AC15" s="168"/>
      <c r="AD15" s="185" t="s">
        <v>2503</v>
      </c>
      <c r="AE15" s="371" t="s">
        <v>142</v>
      </c>
      <c r="AF15" s="855" t="str">
        <f>IF(AK15=FALSE,IF(AND(O15="",W15=""),"","Chk Box"),IF(AND(O15="",W15=""),0,(O15+W15)*25))</f>
        <v/>
      </c>
      <c r="AG15" s="855"/>
      <c r="AH15" s="855"/>
      <c r="AI15" s="181"/>
      <c r="AJ15" s="25"/>
      <c r="AK15" s="187" t="b">
        <v>0</v>
      </c>
      <c r="AL15" s="9"/>
      <c r="AM15" s="556">
        <f t="shared" si="0"/>
        <v>0</v>
      </c>
      <c r="AN15" s="556">
        <f t="shared" si="0"/>
        <v>0</v>
      </c>
      <c r="AO15" s="556">
        <f>IF($AF15="Chk Box",0,IF($AF15&gt;1,($O15*139)+($W15*188),0))</f>
        <v>0</v>
      </c>
      <c r="AP15" s="556">
        <f>IF($AF15="Chk Box",0,IF($AF15&gt;1,($O15*0.15)+($W15*0.2),0))</f>
        <v>0</v>
      </c>
      <c r="AQ15" s="400"/>
      <c r="AR15" s="400"/>
      <c r="AS15" s="400"/>
      <c r="AT15" s="400"/>
      <c r="AU15" s="400" t="str">
        <f t="shared" si="2"/>
        <v/>
      </c>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row>
    <row r="16" spans="1:107" s="5" customFormat="1" ht="12.75" customHeight="1">
      <c r="A16" s="25"/>
      <c r="B16" s="555"/>
      <c r="C16" s="157" t="s">
        <v>2506</v>
      </c>
      <c r="D16" s="157"/>
      <c r="E16" s="157"/>
      <c r="F16" s="333"/>
      <c r="G16" s="157"/>
      <c r="H16" s="370"/>
      <c r="I16" s="157"/>
      <c r="J16" s="333"/>
      <c r="K16" s="333"/>
      <c r="L16" s="333"/>
      <c r="M16" s="157"/>
      <c r="N16" s="31"/>
      <c r="O16" s="31"/>
      <c r="P16" s="31"/>
      <c r="Q16" s="43"/>
      <c r="R16" s="43"/>
      <c r="S16" s="43"/>
      <c r="T16" s="43"/>
      <c r="U16" s="185"/>
      <c r="V16" s="158" t="s">
        <v>2507</v>
      </c>
      <c r="W16" s="850"/>
      <c r="X16" s="851"/>
      <c r="Y16" s="159" t="s">
        <v>2508</v>
      </c>
      <c r="Z16" s="168"/>
      <c r="AA16" s="168"/>
      <c r="AB16" s="168"/>
      <c r="AC16" s="168"/>
      <c r="AD16" s="185" t="s">
        <v>2509</v>
      </c>
      <c r="AE16" s="371" t="s">
        <v>142</v>
      </c>
      <c r="AF16" s="855" t="str">
        <f>IF(AK16=FALSE,IF(W16="","","Chk Box"),IF(W16="",0,W16*0.05))</f>
        <v/>
      </c>
      <c r="AG16" s="855"/>
      <c r="AH16" s="855"/>
      <c r="AI16" s="181"/>
      <c r="AJ16" s="30"/>
      <c r="AK16" s="187" t="b">
        <v>0</v>
      </c>
      <c r="AL16" s="9"/>
      <c r="AM16" s="556">
        <f t="shared" si="0"/>
        <v>0</v>
      </c>
      <c r="AN16" s="556">
        <f t="shared" si="0"/>
        <v>0</v>
      </c>
      <c r="AO16" s="556">
        <f>IF(AF16="Chk Box",0,IF(AF16&gt;1,W16*IF($AO$1="ID",0.093,IF($AO$1="OR",0.087,"0"))))</f>
        <v>0</v>
      </c>
      <c r="AP16" s="556">
        <f>IF(AF16="Chk Box",0,IF(AF16&gt;1,W16*(0.07/1000),0))</f>
        <v>0</v>
      </c>
      <c r="AQ16" s="395" t="s">
        <v>2494</v>
      </c>
      <c r="AR16" s="400"/>
      <c r="AS16" s="400"/>
      <c r="AT16" s="395">
        <f>IF($AQ16="HVAC",$AO16,0)</f>
        <v>0</v>
      </c>
      <c r="AU16" s="395" t="str">
        <f>IF($AO16=0,"",_xlfn.RANK.EQ($AT16,$AT$10:$AT$24,0))</f>
        <v/>
      </c>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c r="BY16" s="98"/>
      <c r="BZ16" s="98"/>
      <c r="CA16" s="686"/>
      <c r="CB16" s="686"/>
      <c r="CC16" s="686"/>
      <c r="CD16" s="686"/>
      <c r="CE16" s="686"/>
      <c r="CF16" s="686"/>
      <c r="CG16" s="686"/>
      <c r="CH16" s="686"/>
      <c r="CI16" s="686"/>
      <c r="CJ16" s="686"/>
      <c r="CK16" s="686"/>
      <c r="CL16" s="686"/>
      <c r="CM16" s="686"/>
      <c r="CN16" s="686"/>
      <c r="CO16" s="686"/>
      <c r="CP16" s="686"/>
      <c r="CQ16" s="686"/>
      <c r="CR16" s="686"/>
      <c r="CS16" s="686"/>
      <c r="CT16" s="686"/>
      <c r="CU16" s="686"/>
      <c r="CV16" s="686"/>
      <c r="CW16" s="686"/>
      <c r="CX16" s="686"/>
      <c r="CY16" s="686"/>
      <c r="CZ16" s="686"/>
      <c r="DA16" s="686"/>
      <c r="DB16" s="686"/>
      <c r="DC16" s="686"/>
    </row>
    <row r="17" spans="1:107" ht="12.75" customHeight="1">
      <c r="A17" s="25"/>
      <c r="B17" s="555"/>
      <c r="C17" s="157" t="s">
        <v>2510</v>
      </c>
      <c r="D17" s="157"/>
      <c r="E17" s="157"/>
      <c r="F17" s="25"/>
      <c r="G17" s="25"/>
      <c r="H17" s="50"/>
      <c r="I17" s="25"/>
      <c r="J17" s="25"/>
      <c r="K17" s="25"/>
      <c r="L17" s="621"/>
      <c r="M17" s="621"/>
      <c r="N17" s="861" t="str">
        <f>IF(AND($AQ$1&lt;&gt;"Electric",($O$18+$W$18)&gt;0),"Ineligible-Electric Heat Req. Check Heating Fuel Type on Final Application Tab.","")</f>
        <v/>
      </c>
      <c r="O17" s="861"/>
      <c r="P17" s="861"/>
      <c r="Q17" s="861"/>
      <c r="R17" s="861"/>
      <c r="S17" s="861"/>
      <c r="T17" s="861"/>
      <c r="U17" s="861"/>
      <c r="V17" s="861"/>
      <c r="W17" s="861"/>
      <c r="X17" s="861"/>
      <c r="Y17" s="861"/>
      <c r="Z17" s="861"/>
      <c r="AA17" s="861"/>
      <c r="AB17" s="861"/>
      <c r="AC17" s="861"/>
      <c r="AD17" s="861"/>
      <c r="AE17" s="621"/>
      <c r="AF17" s="25"/>
      <c r="AG17" s="25"/>
      <c r="AH17" s="25"/>
      <c r="AI17" s="181"/>
      <c r="AJ17" s="25"/>
      <c r="AO17" s="1"/>
      <c r="AP17" s="1"/>
      <c r="AQ17" s="400"/>
      <c r="AR17" s="400"/>
      <c r="AS17" s="400"/>
      <c r="AT17" s="400"/>
      <c r="AU17" s="400"/>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row>
    <row r="18" spans="1:107" ht="12.75" customHeight="1">
      <c r="A18" s="25"/>
      <c r="B18" s="555"/>
      <c r="C18" s="157"/>
      <c r="D18" s="620"/>
      <c r="E18" s="157"/>
      <c r="F18" s="25"/>
      <c r="G18" s="25"/>
      <c r="H18" s="50"/>
      <c r="I18" s="25"/>
      <c r="J18" s="25"/>
      <c r="K18" s="25"/>
      <c r="L18" s="25"/>
      <c r="M18" s="25"/>
      <c r="N18" s="158" t="s">
        <v>2500</v>
      </c>
      <c r="O18" s="850"/>
      <c r="P18" s="851"/>
      <c r="Q18" s="159" t="s">
        <v>2511</v>
      </c>
      <c r="R18" s="25"/>
      <c r="S18" s="25"/>
      <c r="T18" s="43"/>
      <c r="U18" s="185"/>
      <c r="V18" s="158" t="s">
        <v>2500</v>
      </c>
      <c r="W18" s="850"/>
      <c r="X18" s="851"/>
      <c r="Y18" s="159" t="s">
        <v>2512</v>
      </c>
      <c r="Z18" s="168"/>
      <c r="AA18" s="168"/>
      <c r="AB18" s="168"/>
      <c r="AC18" s="168"/>
      <c r="AD18" s="185" t="s">
        <v>2513</v>
      </c>
      <c r="AE18" s="371" t="s">
        <v>142</v>
      </c>
      <c r="AF18" s="855" t="str">
        <f>IF(AK18=FALSE,IF(AND(O18="",W18=""),"","Chk Box"),IF($AQ$1&lt;&gt;"Electric",0,IF(AND(O18="",W18=""),0,(O18+W18)*30)))</f>
        <v/>
      </c>
      <c r="AG18" s="855"/>
      <c r="AH18" s="855"/>
      <c r="AI18" s="181"/>
      <c r="AJ18" s="25"/>
      <c r="AK18" s="187" t="b">
        <v>0</v>
      </c>
      <c r="AL18" s="9"/>
      <c r="AM18" s="556">
        <f>IFERROR(IF($AQ18="",AO18,VLOOKUP($AU18,StackingEffects,2,FALSE)*AO18),0)</f>
        <v>0</v>
      </c>
      <c r="AN18" s="556">
        <f>IFERROR(IF($AQ18="",AP18,VLOOKUP($AU18,StackingEffects,2,FALSE)*AP18),0)</f>
        <v>0</v>
      </c>
      <c r="AO18" s="556">
        <f>IF($AF18="Chk Box",0,IF($AF18&gt;1,($O18*207.76)+($W18*82.79),0))</f>
        <v>0</v>
      </c>
      <c r="AP18" s="556">
        <f>IF($AF18="Chk Box",0,IF($AF18&gt;1,($O18*0)+($W18*0),0))</f>
        <v>0</v>
      </c>
      <c r="AQ18" s="400"/>
      <c r="AR18" s="400"/>
      <c r="AS18" s="400"/>
      <c r="AT18" s="400"/>
      <c r="AU18" s="400"/>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row>
    <row r="19" spans="1:107" s="5" customFormat="1" ht="12.75" customHeight="1">
      <c r="A19" s="25"/>
      <c r="B19" s="555"/>
      <c r="C19" s="157" t="s">
        <v>2514</v>
      </c>
      <c r="D19" s="157"/>
      <c r="E19" s="157"/>
      <c r="F19" s="333"/>
      <c r="G19" s="157"/>
      <c r="H19" s="370"/>
      <c r="I19" s="157"/>
      <c r="J19" s="333"/>
      <c r="K19" s="333"/>
      <c r="L19" s="621"/>
      <c r="M19" s="621"/>
      <c r="N19" s="861" t="str">
        <f>IF(AND($AQ$1&lt;&gt;"Electric",($W$20+$W$21+$W$22)&gt;0),"Ineligible-Electric Heat Req. Check Heating Fuel Type on Final Application Tab.","")</f>
        <v/>
      </c>
      <c r="O19" s="861"/>
      <c r="P19" s="861"/>
      <c r="Q19" s="861"/>
      <c r="R19" s="861"/>
      <c r="S19" s="861"/>
      <c r="T19" s="861"/>
      <c r="U19" s="861"/>
      <c r="V19" s="861"/>
      <c r="W19" s="861"/>
      <c r="X19" s="861"/>
      <c r="Y19" s="861"/>
      <c r="Z19" s="861"/>
      <c r="AA19" s="861"/>
      <c r="AB19" s="861"/>
      <c r="AC19" s="861"/>
      <c r="AD19" s="861"/>
      <c r="AE19" s="168"/>
      <c r="AF19" s="168"/>
      <c r="AG19" s="168"/>
      <c r="AH19" s="168"/>
      <c r="AI19" s="181"/>
      <c r="AJ19" s="30"/>
      <c r="AK19" s="187" t="b">
        <v>0</v>
      </c>
      <c r="AL19" s="9"/>
      <c r="AM19" s="9"/>
      <c r="AN19" s="9"/>
      <c r="AO19" s="9"/>
      <c r="AP19" s="9"/>
      <c r="AQ19" s="400"/>
      <c r="AR19" s="400"/>
      <c r="AS19" s="400"/>
      <c r="AT19" s="400"/>
      <c r="AU19" s="400" t="str">
        <f>IF($AT19=0,"",_xlfn.RANK.EQ($AT19,$AT$10:$AT$24,0))</f>
        <v/>
      </c>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c r="BY19" s="98"/>
      <c r="BZ19" s="98"/>
      <c r="CA19" s="686"/>
      <c r="CB19" s="686"/>
      <c r="CC19" s="686"/>
      <c r="CD19" s="686"/>
      <c r="CE19" s="686"/>
      <c r="CF19" s="686"/>
      <c r="CG19" s="686"/>
      <c r="CH19" s="686"/>
      <c r="CI19" s="686"/>
      <c r="CJ19" s="686"/>
      <c r="CK19" s="686"/>
      <c r="CL19" s="686"/>
      <c r="CM19" s="686"/>
      <c r="CN19" s="686"/>
      <c r="CO19" s="686"/>
      <c r="CP19" s="686"/>
      <c r="CQ19" s="686"/>
      <c r="CR19" s="686"/>
      <c r="CS19" s="686"/>
      <c r="CT19" s="686"/>
      <c r="CU19" s="686"/>
      <c r="CV19" s="686"/>
      <c r="CW19" s="686"/>
      <c r="CX19" s="686"/>
      <c r="CY19" s="686"/>
      <c r="CZ19" s="686"/>
      <c r="DA19" s="686"/>
      <c r="DB19" s="686"/>
      <c r="DC19" s="686"/>
    </row>
    <row r="20" spans="1:107" s="5" customFormat="1">
      <c r="A20" s="25"/>
      <c r="B20" s="555"/>
      <c r="C20" s="548" t="s">
        <v>2515</v>
      </c>
      <c r="D20" s="332"/>
      <c r="E20" s="157"/>
      <c r="F20" s="333"/>
      <c r="G20" s="157"/>
      <c r="H20" s="370"/>
      <c r="I20" s="157"/>
      <c r="J20" s="333"/>
      <c r="K20" s="333"/>
      <c r="L20" s="333"/>
      <c r="M20" s="521"/>
      <c r="N20" s="605" t="str">
        <f>IF(AND($AK$19=TRUE,$AQ$1="Electric"),"Select Heating System:","")</f>
        <v/>
      </c>
      <c r="O20" s="864" t="s">
        <v>2511</v>
      </c>
      <c r="P20" s="864"/>
      <c r="Q20" s="864"/>
      <c r="R20" s="864"/>
      <c r="S20" s="864"/>
      <c r="T20" s="43"/>
      <c r="U20" s="185"/>
      <c r="V20" s="158" t="s">
        <v>2516</v>
      </c>
      <c r="W20" s="850"/>
      <c r="X20" s="851"/>
      <c r="Y20" s="159" t="s">
        <v>2508</v>
      </c>
      <c r="Z20" s="168"/>
      <c r="AA20" s="168"/>
      <c r="AB20" s="168"/>
      <c r="AC20" s="168"/>
      <c r="AD20" s="185" t="s">
        <v>2517</v>
      </c>
      <c r="AE20" s="371" t="s">
        <v>142</v>
      </c>
      <c r="AF20" s="855" t="str">
        <f>IF($AK$19=FALSE,IF(W20="","","Chk Box"),IF($AQ$1&lt;&gt;"Electric",0,IF(W20="",0,IF(AND(W20&gt;0,AK20=FALSE,AL20=FALSE),"Heat System",W20*0.25))))</f>
        <v/>
      </c>
      <c r="AG20" s="855"/>
      <c r="AH20" s="855"/>
      <c r="AI20" s="181"/>
      <c r="AJ20" s="30"/>
      <c r="AK20" s="187" t="b">
        <f>IF($O20="Electric Heat Pump",TRUE,FALSE)</f>
        <v>1</v>
      </c>
      <c r="AL20" s="187" t="b">
        <f>IF($O20="Electric Resistance",TRUE,FALSE)</f>
        <v>0</v>
      </c>
      <c r="AM20" s="556">
        <f t="shared" ref="AM20:AN22" si="3">IFERROR(IF($AQ20="",AO20,VLOOKUP($AU20,StackingEffects,2,FALSE)*AO20),0)</f>
        <v>0</v>
      </c>
      <c r="AN20" s="556">
        <f t="shared" si="3"/>
        <v>0</v>
      </c>
      <c r="AO20" s="556">
        <f>IF($AF20="Chk Box",0,IF($AQ$1&lt;&gt;"Electric",0,IF($W20="",0,IF($AF20&gt;1,$W20*IF(AND($AO$1="ID",$AK20=TRUE),0.15,IF(AND($AO$1="ID",$AL20=TRUE),2.46,IF(AND($AO$1="OR",$AK20=TRUE),0.18,IF(AND($AO$1="OR",$AL20=TRUE),3.06,"0"))))))))</f>
        <v>0</v>
      </c>
      <c r="AP20" s="556">
        <f>IF($AF20="Chk Box",0,IF($AQ$1&lt;&gt;"Electric",0,IF($W20="",0,IF($AF20&gt;1,$W20*IF(AND($AO$1="ID",$AK20=TRUE),0,IF(AND($AO$1="ID",$AL20=TRUE),0,IF(AND($AO$1="OR",$AK20=TRUE),0,IF(AND($AO$1="OR",$AL20=TRUE),0,"0"))))))))</f>
        <v>0</v>
      </c>
      <c r="AQ20" s="395" t="s">
        <v>2494</v>
      </c>
      <c r="AR20" s="400"/>
      <c r="AS20" s="400"/>
      <c r="AT20" s="395">
        <f>IF($AQ20="HVAC",SUM($AO$20:$AO$22),0)</f>
        <v>0</v>
      </c>
      <c r="AU20" s="395" t="str">
        <f>IF($AO20=0,"",_xlfn.RANK.EQ($AT$20,$AT$10:$AT$24,0))</f>
        <v/>
      </c>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686"/>
      <c r="CB20" s="686"/>
      <c r="CC20" s="686"/>
      <c r="CD20" s="686"/>
      <c r="CE20" s="686"/>
      <c r="CF20" s="686"/>
      <c r="CG20" s="686"/>
      <c r="CH20" s="686"/>
      <c r="CI20" s="686"/>
      <c r="CJ20" s="686"/>
      <c r="CK20" s="686"/>
      <c r="CL20" s="686"/>
      <c r="CM20" s="686"/>
      <c r="CN20" s="686"/>
      <c r="CO20" s="686"/>
      <c r="CP20" s="686"/>
      <c r="CQ20" s="686"/>
      <c r="CR20" s="686"/>
      <c r="CS20" s="686"/>
      <c r="CT20" s="686"/>
      <c r="CU20" s="686"/>
      <c r="CV20" s="686"/>
      <c r="CW20" s="686"/>
      <c r="CX20" s="686"/>
      <c r="CY20" s="686"/>
      <c r="CZ20" s="686"/>
      <c r="DA20" s="686"/>
      <c r="DB20" s="686"/>
      <c r="DC20" s="686"/>
    </row>
    <row r="21" spans="1:107" s="5" customFormat="1">
      <c r="A21" s="25"/>
      <c r="B21" s="555"/>
      <c r="C21" s="548" t="s">
        <v>2518</v>
      </c>
      <c r="D21" s="157"/>
      <c r="E21" s="157"/>
      <c r="F21" s="333"/>
      <c r="G21" s="157"/>
      <c r="H21" s="370"/>
      <c r="I21" s="157"/>
      <c r="J21" s="333"/>
      <c r="K21" s="333"/>
      <c r="L21" s="333"/>
      <c r="M21" s="521"/>
      <c r="N21" s="605" t="str">
        <f>IF(AND($AK$19=TRUE,$AQ$1="Electric"),"Select Heating System:","")</f>
        <v/>
      </c>
      <c r="O21" s="864"/>
      <c r="P21" s="864"/>
      <c r="Q21" s="864"/>
      <c r="R21" s="864"/>
      <c r="S21" s="864"/>
      <c r="T21" s="43"/>
      <c r="U21" s="185"/>
      <c r="V21" s="158" t="s">
        <v>2516</v>
      </c>
      <c r="W21" s="850"/>
      <c r="X21" s="851"/>
      <c r="Y21" s="159" t="s">
        <v>2508</v>
      </c>
      <c r="Z21" s="168"/>
      <c r="AA21" s="168"/>
      <c r="AB21" s="168"/>
      <c r="AC21" s="168"/>
      <c r="AD21" s="185" t="s">
        <v>2519</v>
      </c>
      <c r="AE21" s="371" t="s">
        <v>142</v>
      </c>
      <c r="AF21" s="855" t="str">
        <f>IF($AK$19=FALSE,IF(W21="","","Chk Box"),IF($AQ$1&lt;&gt;"Electric",0,IF(W21="",0,IF(AND(W21&gt;0,AK21=FALSE,AL21=FALSE),"Heat System",W21*0.5))))</f>
        <v/>
      </c>
      <c r="AG21" s="855"/>
      <c r="AH21" s="855"/>
      <c r="AI21" s="181"/>
      <c r="AJ21" s="30"/>
      <c r="AK21" s="187" t="b">
        <f t="shared" ref="AK21:AK22" si="4">IF($O21="Electric Heat Pump",TRUE,FALSE)</f>
        <v>0</v>
      </c>
      <c r="AL21" s="187" t="b">
        <f t="shared" ref="AL21:AL22" si="5">IF($O21="Electric Resistance",TRUE,FALSE)</f>
        <v>0</v>
      </c>
      <c r="AM21" s="556">
        <f t="shared" si="3"/>
        <v>0</v>
      </c>
      <c r="AN21" s="556">
        <f t="shared" si="3"/>
        <v>0</v>
      </c>
      <c r="AO21" s="556">
        <f>IF($AF21="Chk Box",0,IF($AQ$1&lt;&gt;"Electric",0,IF($W21="",0,IF($AF21&gt;1,$W21*IF(AND($AO$1="ID",$AK21=TRUE),0.29,IF(AND($AO$1="ID",$AL21=TRUE),5.17,IF(AND($AO$1="OR",$AK21=TRUE),0.37,IF(AND($AO$1="OR",$AL21=TRUE),6.44,"0"))))))))</f>
        <v>0</v>
      </c>
      <c r="AP21" s="556">
        <f t="shared" ref="AP21:AP22" si="6">IF($AF21="Chk Box",0,IF($AQ$1&lt;&gt;"Electric",0,IF($W21="",0,IF($AF21&gt;1,$W21*IF(AND($AO$1="ID",$AK21=TRUE),0,IF(AND($AO$1="ID",$AL21=TRUE),0,IF(AND($AO$1="OR",$AK21=TRUE),0,IF(AND($AO$1="OR",$AL21=TRUE),0,"0"))))))))</f>
        <v>0</v>
      </c>
      <c r="AQ21" s="395" t="s">
        <v>2494</v>
      </c>
      <c r="AR21" s="400"/>
      <c r="AS21" s="400"/>
      <c r="AT21" s="395"/>
      <c r="AU21" s="395" t="str">
        <f t="shared" ref="AU21:AU22" si="7">IF($AO21=0,"",_xlfn.RANK.EQ($AT$20,$AT$10:$AT$24,0))</f>
        <v/>
      </c>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686"/>
      <c r="CB21" s="686"/>
      <c r="CC21" s="686"/>
      <c r="CD21" s="686"/>
      <c r="CE21" s="686"/>
      <c r="CF21" s="686"/>
      <c r="CG21" s="686"/>
      <c r="CH21" s="686"/>
      <c r="CI21" s="686"/>
      <c r="CJ21" s="686"/>
      <c r="CK21" s="686"/>
      <c r="CL21" s="686"/>
      <c r="CM21" s="686"/>
      <c r="CN21" s="686"/>
      <c r="CO21" s="686"/>
      <c r="CP21" s="686"/>
      <c r="CQ21" s="686"/>
      <c r="CR21" s="686"/>
      <c r="CS21" s="686"/>
      <c r="CT21" s="686"/>
      <c r="CU21" s="686"/>
      <c r="CV21" s="686"/>
      <c r="CW21" s="686"/>
      <c r="CX21" s="686"/>
      <c r="CY21" s="686"/>
      <c r="CZ21" s="686"/>
      <c r="DA21" s="686"/>
      <c r="DB21" s="686"/>
      <c r="DC21" s="686"/>
    </row>
    <row r="22" spans="1:107" s="5" customFormat="1">
      <c r="A22" s="25"/>
      <c r="B22" s="555"/>
      <c r="C22" s="548" t="s">
        <v>2520</v>
      </c>
      <c r="D22" s="157"/>
      <c r="E22" s="157"/>
      <c r="F22" s="333"/>
      <c r="G22" s="157"/>
      <c r="H22" s="370"/>
      <c r="I22" s="157"/>
      <c r="J22" s="333"/>
      <c r="K22" s="333"/>
      <c r="L22" s="333"/>
      <c r="M22" s="521"/>
      <c r="N22" s="605" t="str">
        <f>IF(AND($AK$19=TRUE,$AQ$1="Electric"),"Select Heating System:","")</f>
        <v/>
      </c>
      <c r="O22" s="864"/>
      <c r="P22" s="864"/>
      <c r="Q22" s="864"/>
      <c r="R22" s="864"/>
      <c r="S22" s="864"/>
      <c r="T22" s="43"/>
      <c r="U22" s="185"/>
      <c r="V22" s="158" t="s">
        <v>2516</v>
      </c>
      <c r="W22" s="850"/>
      <c r="X22" s="851"/>
      <c r="Y22" s="159" t="s">
        <v>2508</v>
      </c>
      <c r="Z22" s="168"/>
      <c r="AA22" s="168"/>
      <c r="AB22" s="168"/>
      <c r="AC22" s="168"/>
      <c r="AD22" s="185" t="s">
        <v>2521</v>
      </c>
      <c r="AE22" s="371" t="s">
        <v>142</v>
      </c>
      <c r="AF22" s="855" t="str">
        <f>IF($AK$19=FALSE,IF(W22="","","Chk Box"),IF($AQ$1&lt;&gt;"Electric",0,IF(W22="",0,IF(AND(W22&gt;0,AK22=FALSE,AL22=FALSE),"Heat System",W22*1))))</f>
        <v/>
      </c>
      <c r="AG22" s="855"/>
      <c r="AH22" s="855"/>
      <c r="AI22" s="181"/>
      <c r="AJ22" s="30"/>
      <c r="AK22" s="187" t="b">
        <f t="shared" si="4"/>
        <v>0</v>
      </c>
      <c r="AL22" s="187" t="b">
        <f t="shared" si="5"/>
        <v>0</v>
      </c>
      <c r="AM22" s="556">
        <f t="shared" si="3"/>
        <v>0</v>
      </c>
      <c r="AN22" s="556">
        <f t="shared" si="3"/>
        <v>0</v>
      </c>
      <c r="AO22" s="556">
        <f>IF($AF22="Chk Box",0,IF($AQ$1&lt;&gt;"Electric",0,IF($W22="",0,IF($AF22&gt;1,$W22*IF(AND($AO$1="ID",$AK22=TRUE),0.51,IF(AND($AO$1="ID",$AL22=TRUE),8.89,IF(AND($AO$1="OR",$AK22=TRUE),0.63,IF(AND($AO$1="OR",$AL22=TRUE),11.08,"0"))))))))</f>
        <v>0</v>
      </c>
      <c r="AP22" s="556">
        <f t="shared" si="6"/>
        <v>0</v>
      </c>
      <c r="AQ22" s="395" t="s">
        <v>2494</v>
      </c>
      <c r="AR22" s="400"/>
      <c r="AS22" s="400"/>
      <c r="AT22" s="395"/>
      <c r="AU22" s="395" t="str">
        <f t="shared" si="7"/>
        <v/>
      </c>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686"/>
      <c r="CB22" s="686"/>
      <c r="CC22" s="686"/>
      <c r="CD22" s="686"/>
      <c r="CE22" s="686"/>
      <c r="CF22" s="686"/>
      <c r="CG22" s="686"/>
      <c r="CH22" s="686"/>
      <c r="CI22" s="686"/>
      <c r="CJ22" s="686"/>
      <c r="CK22" s="686"/>
      <c r="CL22" s="686"/>
      <c r="CM22" s="686"/>
      <c r="CN22" s="686"/>
      <c r="CO22" s="686"/>
      <c r="CP22" s="686"/>
      <c r="CQ22" s="686"/>
      <c r="CR22" s="686"/>
      <c r="CS22" s="686"/>
      <c r="CT22" s="686"/>
      <c r="CU22" s="686"/>
      <c r="CV22" s="686"/>
      <c r="CW22" s="686"/>
      <c r="CX22" s="686"/>
      <c r="CY22" s="686"/>
      <c r="CZ22" s="686"/>
      <c r="DA22" s="686"/>
      <c r="DB22" s="686"/>
      <c r="DC22" s="686"/>
    </row>
    <row r="23" spans="1:107" s="5" customFormat="1" ht="12.75" customHeight="1">
      <c r="A23" s="25"/>
      <c r="B23" s="555"/>
      <c r="C23" s="157" t="s">
        <v>2759</v>
      </c>
      <c r="D23" s="157"/>
      <c r="E23" s="157"/>
      <c r="F23" s="333"/>
      <c r="G23" s="157"/>
      <c r="H23" s="370"/>
      <c r="I23" s="157"/>
      <c r="J23" s="333"/>
      <c r="K23" s="333"/>
      <c r="L23" s="621"/>
      <c r="M23" s="621"/>
      <c r="N23" s="861" t="str">
        <f>IF(AND($AQ$1&lt;&gt;"Electric",($W$24)&gt;0),"Ineligible-Electric Heat Req. Check Heating Fuel Type on Final Application Tab.","")</f>
        <v/>
      </c>
      <c r="O23" s="861"/>
      <c r="P23" s="861"/>
      <c r="Q23" s="861"/>
      <c r="R23" s="861"/>
      <c r="S23" s="861"/>
      <c r="T23" s="861"/>
      <c r="U23" s="861"/>
      <c r="V23" s="861"/>
      <c r="W23" s="861"/>
      <c r="X23" s="861"/>
      <c r="Y23" s="861"/>
      <c r="Z23" s="861"/>
      <c r="AA23" s="861"/>
      <c r="AB23" s="861"/>
      <c r="AC23" s="861"/>
      <c r="AD23" s="861"/>
      <c r="AE23" s="168"/>
      <c r="AF23" s="168"/>
      <c r="AG23" s="168"/>
      <c r="AH23" s="168"/>
      <c r="AI23" s="181"/>
      <c r="AJ23" s="30"/>
      <c r="AK23" s="187" t="b">
        <v>0</v>
      </c>
      <c r="AL23" s="9"/>
      <c r="AM23" s="9"/>
      <c r="AN23" s="9"/>
      <c r="AO23" s="9"/>
      <c r="AP23" s="9"/>
      <c r="AQ23" s="400"/>
      <c r="AR23" s="400"/>
      <c r="AS23" s="400"/>
      <c r="AT23" s="400"/>
      <c r="AU23" s="400"/>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c r="BZ23" s="98"/>
      <c r="CA23" s="686"/>
      <c r="CB23" s="686"/>
      <c r="CC23" s="686"/>
      <c r="CD23" s="686"/>
      <c r="CE23" s="686"/>
      <c r="CF23" s="686"/>
      <c r="CG23" s="686"/>
      <c r="CH23" s="686"/>
      <c r="CI23" s="686"/>
      <c r="CJ23" s="686"/>
      <c r="CK23" s="686"/>
      <c r="CL23" s="686"/>
      <c r="CM23" s="686"/>
      <c r="CN23" s="686"/>
      <c r="CO23" s="686"/>
      <c r="CP23" s="686"/>
      <c r="CQ23" s="686"/>
      <c r="CR23" s="686"/>
      <c r="CS23" s="686"/>
      <c r="CT23" s="686"/>
      <c r="CU23" s="686"/>
      <c r="CV23" s="686"/>
      <c r="CW23" s="686"/>
      <c r="CX23" s="686"/>
      <c r="CY23" s="686"/>
      <c r="CZ23" s="686"/>
      <c r="DA23" s="686"/>
      <c r="DB23" s="686"/>
      <c r="DC23" s="686"/>
    </row>
    <row r="24" spans="1:107" s="5" customFormat="1" ht="12.75" customHeight="1">
      <c r="A24" s="25"/>
      <c r="B24" s="555"/>
      <c r="C24" s="548"/>
      <c r="D24" s="157"/>
      <c r="E24" s="157"/>
      <c r="F24" s="333"/>
      <c r="G24" s="157"/>
      <c r="H24" s="370"/>
      <c r="I24" s="157"/>
      <c r="J24" s="333"/>
      <c r="K24" s="333"/>
      <c r="L24" s="333"/>
      <c r="M24" s="521"/>
      <c r="N24" s="605" t="str">
        <f>IF(AND($AK$23=TRUE,$AQ$1="Electric"),"Select Heating System:","")</f>
        <v/>
      </c>
      <c r="O24" s="864"/>
      <c r="P24" s="864"/>
      <c r="Q24" s="864"/>
      <c r="R24" s="864"/>
      <c r="S24" s="864"/>
      <c r="T24" s="43"/>
      <c r="U24" s="185"/>
      <c r="V24" s="158" t="s">
        <v>2516</v>
      </c>
      <c r="W24" s="850"/>
      <c r="X24" s="851"/>
      <c r="Y24" s="159" t="s">
        <v>2508</v>
      </c>
      <c r="Z24" s="168"/>
      <c r="AA24" s="168"/>
      <c r="AB24" s="168"/>
      <c r="AC24" s="168"/>
      <c r="AD24" s="185" t="s">
        <v>2521</v>
      </c>
      <c r="AE24" s="371" t="s">
        <v>142</v>
      </c>
      <c r="AF24" s="855" t="str">
        <f>IF($AK$23=FALSE,IF(W24="","","Chk Box"),IF($AQ$1&lt;&gt;"Electric",0,IF(W24="",0,IF(AND(W24&gt;0,AK24=FALSE,AL24=FALSE),"Heat System",W24*1))))</f>
        <v/>
      </c>
      <c r="AG24" s="855"/>
      <c r="AH24" s="855"/>
      <c r="AI24" s="181"/>
      <c r="AJ24" s="30"/>
      <c r="AK24" s="187" t="b">
        <f>IF($O24="Electric Heat Pump",TRUE,FALSE)</f>
        <v>0</v>
      </c>
      <c r="AL24" s="187" t="b">
        <f>IF($O24="Electric Resistance",TRUE,FALSE)</f>
        <v>0</v>
      </c>
      <c r="AM24" s="556">
        <f>IFERROR(IF($AQ24="",AO24,VLOOKUP($AU24,StackingEffects,2,FALSE)*AO24),0)</f>
        <v>0</v>
      </c>
      <c r="AN24" s="187">
        <f>IFERROR(IF($AQ24="",AP24,VLOOKUP($AU24,StackingEffects,2,FALSE)*AP24),0)</f>
        <v>0</v>
      </c>
      <c r="AO24" s="556">
        <f>IF($AF24="Chk Box",0,IF($AQ$1&lt;&gt;"Electric",0,IF($W24="",0,IF($AF24&gt;1,$W24*IF(AND($AO$1="ID",$AK24=TRUE),5.43,IF(AND($AO$1="ID",$AL24=TRUE),5.43,IF(AND($AO$1="OR",$AK24=TRUE),5.43,IF(AND($AO$1="OR",$AL24=TRUE),5.43,"0"))))))))</f>
        <v>0</v>
      </c>
      <c r="AP24" s="556">
        <f>IF($AF24="Chk Box",0,IF($AQ$1&lt;&gt;"Electric",0,IF($W24="",0,IF($AF24&gt;1,$W24*IF(AND($AO$1="ID",$AK24=TRUE),0,IF(AND($AO$1="ID",$AL24=TRUE),0,IF(AND($AO$1="OR",$AK24=TRUE),0,IF(AND($AO$1="OR",$AL24=TRUE),0,"0"))))))))</f>
        <v>0</v>
      </c>
      <c r="AQ24" s="400"/>
      <c r="AR24" s="400"/>
      <c r="AS24" s="400"/>
      <c r="AT24" s="400"/>
      <c r="AU24" s="400"/>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c r="BY24" s="98"/>
      <c r="BZ24" s="98"/>
      <c r="CA24" s="686"/>
      <c r="CB24" s="686"/>
      <c r="CC24" s="686"/>
      <c r="CD24" s="686"/>
      <c r="CE24" s="686"/>
      <c r="CF24" s="686"/>
      <c r="CG24" s="686"/>
      <c r="CH24" s="686"/>
      <c r="CI24" s="686"/>
      <c r="CJ24" s="686"/>
      <c r="CK24" s="686"/>
      <c r="CL24" s="686"/>
      <c r="CM24" s="686"/>
      <c r="CN24" s="686"/>
      <c r="CO24" s="686"/>
      <c r="CP24" s="686"/>
      <c r="CQ24" s="686"/>
      <c r="CR24" s="686"/>
      <c r="CS24" s="686"/>
      <c r="CT24" s="686"/>
      <c r="CU24" s="686"/>
      <c r="CV24" s="686"/>
      <c r="CW24" s="686"/>
      <c r="CX24" s="686"/>
      <c r="CY24" s="686"/>
      <c r="CZ24" s="686"/>
      <c r="DA24" s="686"/>
      <c r="DB24" s="686"/>
      <c r="DC24" s="686"/>
    </row>
    <row r="25" spans="1:107" ht="9" customHeight="1">
      <c r="A25" s="25"/>
      <c r="B25" s="186"/>
      <c r="C25" s="167"/>
      <c r="D25" s="167"/>
      <c r="E25" s="167"/>
      <c r="F25" s="167"/>
      <c r="G25" s="167"/>
      <c r="H25" s="167"/>
      <c r="I25" s="167"/>
      <c r="J25" s="167"/>
      <c r="K25" s="167"/>
      <c r="L25" s="167"/>
      <c r="M25" s="167"/>
      <c r="N25" s="167"/>
      <c r="O25" s="167"/>
      <c r="P25" s="167"/>
      <c r="Q25" s="167"/>
      <c r="R25" s="167"/>
      <c r="S25" s="387"/>
      <c r="T25" s="384"/>
      <c r="U25" s="384"/>
      <c r="V25" s="191"/>
      <c r="W25" s="191"/>
      <c r="X25" s="191"/>
      <c r="Y25" s="191"/>
      <c r="Z25" s="191"/>
      <c r="AA25" s="191"/>
      <c r="AB25" s="191"/>
      <c r="AC25" s="191"/>
      <c r="AD25" s="384"/>
      <c r="AE25" s="384"/>
      <c r="AF25" s="384"/>
      <c r="AG25" s="167"/>
      <c r="AH25" s="167"/>
      <c r="AI25" s="558"/>
      <c r="AJ25" s="196"/>
      <c r="AM25" s="10"/>
      <c r="AN25" s="10"/>
      <c r="AO25" s="10"/>
      <c r="AP25" s="10"/>
      <c r="AQ25" s="10"/>
      <c r="AR25" s="10"/>
      <c r="AS25" s="10"/>
      <c r="AT25" s="10"/>
      <c r="AU25" s="10"/>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row>
    <row r="26" spans="1:107" ht="9" customHeight="1">
      <c r="A26" s="25"/>
      <c r="B26" s="25"/>
      <c r="C26" s="157"/>
      <c r="D26" s="157"/>
      <c r="E26" s="157"/>
      <c r="F26" s="157"/>
      <c r="G26" s="157"/>
      <c r="H26" s="157"/>
      <c r="I26" s="157"/>
      <c r="J26" s="157"/>
      <c r="K26" s="157"/>
      <c r="L26" s="157"/>
      <c r="M26" s="157"/>
      <c r="N26" s="157"/>
      <c r="O26" s="157"/>
      <c r="P26" s="157"/>
      <c r="Q26" s="157"/>
      <c r="R26" s="157"/>
      <c r="S26" s="159"/>
      <c r="T26" s="43"/>
      <c r="U26" s="43"/>
      <c r="V26" s="168"/>
      <c r="W26" s="168"/>
      <c r="X26" s="168"/>
      <c r="Y26" s="168"/>
      <c r="Z26" s="168"/>
      <c r="AA26" s="168"/>
      <c r="AB26" s="168"/>
      <c r="AC26" s="168"/>
      <c r="AD26" s="43"/>
      <c r="AE26" s="43"/>
      <c r="AF26" s="43"/>
      <c r="AG26" s="157"/>
      <c r="AH26" s="157"/>
      <c r="AI26" s="43"/>
      <c r="AJ26" s="196"/>
      <c r="AM26" s="10"/>
      <c r="AN26" s="10"/>
      <c r="AO26" s="10"/>
      <c r="AP26" s="10"/>
      <c r="AQ26" s="10"/>
      <c r="AR26" s="10"/>
      <c r="AS26" s="10"/>
      <c r="AT26" s="10"/>
      <c r="AU26" s="10"/>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row>
    <row r="27" spans="1:107">
      <c r="A27" s="25"/>
      <c r="B27" s="25"/>
      <c r="C27" s="157"/>
      <c r="D27" s="157"/>
      <c r="E27" s="157"/>
      <c r="F27" s="157"/>
      <c r="G27" s="157"/>
      <c r="H27" s="157"/>
      <c r="I27" s="157"/>
      <c r="J27" s="157"/>
      <c r="K27" s="157"/>
      <c r="L27" s="157"/>
      <c r="M27" s="157"/>
      <c r="N27" s="157"/>
      <c r="O27" s="157"/>
      <c r="P27" s="157"/>
      <c r="Q27" s="157"/>
      <c r="R27" s="157"/>
      <c r="S27" s="159"/>
      <c r="T27" s="43"/>
      <c r="U27" s="43"/>
      <c r="V27" s="168"/>
      <c r="W27" s="168"/>
      <c r="X27" s="168"/>
      <c r="Y27" s="168"/>
      <c r="Z27" s="168"/>
      <c r="AA27" s="168"/>
      <c r="AB27" s="168"/>
      <c r="AC27" s="168"/>
      <c r="AD27" s="28" t="s">
        <v>141</v>
      </c>
      <c r="AE27" s="371" t="s">
        <v>142</v>
      </c>
      <c r="AF27" s="849" t="str">
        <f>IF(AK27=FALSE,"",SUM(AF10:AF24))</f>
        <v/>
      </c>
      <c r="AG27" s="849"/>
      <c r="AH27" s="849"/>
      <c r="AI27" s="549"/>
      <c r="AJ27" s="157"/>
      <c r="AK27" s="187" t="b">
        <f>IF(OR(AK10=TRUE,AK11=TRUE,AK12=TRUE,AK13=TRUE,AK14=TRUE,AK15=TRUE,AK16=TRUE,AK18=TRUE,AK19=TRUE,AK23=TRUE),TRUE,FALSE)</f>
        <v>0</v>
      </c>
      <c r="AM27" s="556">
        <f>SUM(AM10:AM24)</f>
        <v>0</v>
      </c>
      <c r="AN27" s="556">
        <f>SUM(AN10:AN24)</f>
        <v>0</v>
      </c>
      <c r="AO27" s="556">
        <f>SUM(AO10:AO24)</f>
        <v>0</v>
      </c>
      <c r="AP27" s="556">
        <f>SUM(AP10:AP24)</f>
        <v>0</v>
      </c>
      <c r="AQ27" s="10"/>
      <c r="AR27" s="10"/>
      <c r="AS27" s="10"/>
      <c r="AT27" s="10"/>
      <c r="AU27" s="10"/>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row>
    <row r="28" spans="1:107" ht="12.75" customHeight="1">
      <c r="A28" s="25"/>
      <c r="B28" s="25"/>
      <c r="C28" s="157"/>
      <c r="D28" s="157"/>
      <c r="E28" s="157"/>
      <c r="F28" s="157"/>
      <c r="G28" s="157"/>
      <c r="H28" s="157"/>
      <c r="I28" s="157"/>
      <c r="J28" s="157"/>
      <c r="K28" s="157"/>
      <c r="L28" s="157"/>
      <c r="M28" s="157"/>
      <c r="N28" s="157"/>
      <c r="O28" s="157"/>
      <c r="P28" s="157"/>
      <c r="Q28" s="157"/>
      <c r="R28" s="157"/>
      <c r="S28" s="157"/>
      <c r="T28" s="43"/>
      <c r="U28" s="43"/>
      <c r="V28" s="168"/>
      <c r="W28" s="168"/>
      <c r="X28" s="168"/>
      <c r="Y28" s="168"/>
      <c r="Z28" s="168"/>
      <c r="AA28" s="168"/>
      <c r="AB28" s="168"/>
      <c r="AC28" s="168"/>
      <c r="AD28" s="28"/>
      <c r="AE28" s="371"/>
      <c r="AF28" s="874"/>
      <c r="AG28" s="874"/>
      <c r="AH28" s="874"/>
      <c r="AI28" s="549"/>
      <c r="AJ28" s="157"/>
      <c r="AK28" s="9"/>
      <c r="AL28" s="9"/>
      <c r="AM28" s="9"/>
      <c r="AN28" s="9"/>
      <c r="AQ28" s="9"/>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row>
    <row r="29" spans="1:107" ht="7.5" customHeight="1">
      <c r="A29" s="35"/>
      <c r="B29" s="199"/>
      <c r="C29" s="199"/>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row>
    <row r="30" spans="1:107" s="5" customFormat="1" ht="15" customHeight="1">
      <c r="A30" s="25"/>
      <c r="B30" s="153" t="s">
        <v>2760</v>
      </c>
      <c r="C30" s="31"/>
      <c r="D30" s="31"/>
      <c r="E30" s="31"/>
      <c r="F30" s="31"/>
      <c r="G30" s="31"/>
      <c r="H30" s="31"/>
      <c r="I30" s="31"/>
      <c r="J30" s="31"/>
      <c r="K30" s="31"/>
      <c r="L30" s="31"/>
      <c r="M30" s="31"/>
      <c r="N30" s="31"/>
      <c r="O30" s="31"/>
      <c r="P30" s="31"/>
      <c r="Q30" s="31"/>
      <c r="R30" s="31"/>
      <c r="S30" s="31"/>
      <c r="T30" s="43"/>
      <c r="U30" s="31"/>
      <c r="V30" s="168"/>
      <c r="W30" s="168"/>
      <c r="X30" s="168"/>
      <c r="Y30" s="168"/>
      <c r="Z30" s="168"/>
      <c r="AA30" s="168"/>
      <c r="AB30" s="168"/>
      <c r="AC30" s="168"/>
      <c r="AD30" s="31"/>
      <c r="AE30" s="31"/>
      <c r="AF30" s="42"/>
      <c r="AG30" s="31"/>
      <c r="AH30" s="42"/>
      <c r="AI30" s="31"/>
      <c r="AJ30" s="25"/>
      <c r="AK30" s="9"/>
      <c r="AL30" s="9"/>
      <c r="AM30" s="847"/>
      <c r="AN30" s="847"/>
      <c r="AO30" s="736"/>
      <c r="AP30" s="736"/>
      <c r="AQ30" s="736"/>
      <c r="AR30" s="736"/>
      <c r="AS30" s="736"/>
      <c r="AT30" s="736"/>
      <c r="AU30" s="736"/>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c r="BY30" s="98"/>
      <c r="BZ30" s="98"/>
      <c r="CA30" s="686"/>
      <c r="CB30" s="686"/>
      <c r="CC30" s="686"/>
      <c r="CD30" s="686"/>
      <c r="CE30" s="686"/>
      <c r="CF30" s="686"/>
      <c r="CG30" s="686"/>
      <c r="CH30" s="686"/>
      <c r="CI30" s="686"/>
      <c r="CJ30" s="686"/>
      <c r="CK30" s="686"/>
      <c r="CL30" s="686"/>
      <c r="CM30" s="686"/>
      <c r="CN30" s="686"/>
      <c r="CO30" s="686"/>
      <c r="CP30" s="686"/>
      <c r="CQ30" s="686"/>
      <c r="CR30" s="686"/>
      <c r="CS30" s="686"/>
      <c r="CT30" s="686"/>
      <c r="CU30" s="686"/>
      <c r="CV30" s="686"/>
      <c r="CW30" s="686"/>
      <c r="CX30" s="686"/>
      <c r="CY30" s="686"/>
      <c r="CZ30" s="686"/>
      <c r="DA30" s="686"/>
      <c r="DB30" s="686"/>
      <c r="DC30" s="686"/>
    </row>
    <row r="31" spans="1:107" ht="15" hidden="1" customHeight="1">
      <c r="A31" s="25"/>
      <c r="B31" s="41" t="s">
        <v>2524</v>
      </c>
      <c r="C31" s="31"/>
      <c r="D31" s="31"/>
      <c r="E31" s="31"/>
      <c r="F31" s="31"/>
      <c r="G31" s="31"/>
      <c r="H31" s="31"/>
      <c r="I31" s="190"/>
      <c r="J31" s="190"/>
      <c r="K31" s="190"/>
      <c r="L31" s="190"/>
      <c r="M31" s="190"/>
      <c r="N31" s="190"/>
      <c r="O31" s="190"/>
      <c r="P31" s="190"/>
      <c r="Q31" s="31"/>
      <c r="R31" s="31"/>
      <c r="S31" s="31"/>
      <c r="T31" s="31"/>
      <c r="U31" s="31"/>
      <c r="V31" s="31"/>
      <c r="W31" s="31"/>
      <c r="X31" s="31"/>
      <c r="Y31" s="31"/>
      <c r="Z31" s="31"/>
      <c r="AA31" s="31"/>
      <c r="AB31" s="31"/>
      <c r="AC31" s="31"/>
      <c r="AD31" s="31"/>
      <c r="AE31" s="31"/>
      <c r="AF31" s="31"/>
      <c r="AG31" s="31"/>
      <c r="AH31" s="31"/>
      <c r="AI31" s="31"/>
      <c r="AJ31" s="25"/>
      <c r="AK31" s="45"/>
      <c r="AL31" s="45"/>
      <c r="AM31" s="45"/>
      <c r="AN31" s="45"/>
      <c r="AO31" s="247"/>
      <c r="AP31" s="247"/>
      <c r="AQ31" s="45"/>
      <c r="AR31" s="45"/>
      <c r="AS31" s="45"/>
      <c r="AT31" s="45"/>
      <c r="AU31" s="45"/>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row>
    <row r="32" spans="1:107" ht="19.5" hidden="1" customHeight="1">
      <c r="A32" s="25"/>
      <c r="B32" s="179"/>
      <c r="C32" s="176"/>
      <c r="D32" s="176"/>
      <c r="E32" s="176"/>
      <c r="F32" s="176"/>
      <c r="G32" s="176"/>
      <c r="H32" s="176"/>
      <c r="I32" s="157"/>
      <c r="J32" s="875" t="s">
        <v>2525</v>
      </c>
      <c r="K32" s="875"/>
      <c r="L32" s="875"/>
      <c r="M32" s="875"/>
      <c r="N32" s="875"/>
      <c r="O32" s="875"/>
      <c r="P32" s="875"/>
      <c r="Q32" s="875"/>
      <c r="R32" s="522"/>
      <c r="S32" s="182"/>
      <c r="T32" s="182"/>
      <c r="U32" s="552"/>
      <c r="V32" s="193"/>
      <c r="W32" s="193"/>
      <c r="X32" s="193"/>
      <c r="Y32" s="193"/>
      <c r="Z32" s="193"/>
      <c r="AA32" s="876" t="str">
        <f>IF(P34="","x $0.10, $0.20 or $0.30 per sq ft    (or calculated) =",IF(((M34-J34)/M34)&lt;0.09999,"Not Qualified",IF(AND(((M34-J34)/M34)&gt;0.09999,((M34-J34)/M34)&lt;0.2),"x $0.10 per sq ft = ",IF(AND(((M34-J34)/M34)&gt;0.19999999,((M34-J34)/M34)&lt;0.29999999),"x $0.20 per sq ft = ",IF(AND(((M34-J34)/M34)&gt;0.29999999,((M34-J34)/M34)&lt;0.59999999),"x $0.30 per sq ft = ",IF(((M34-J34)/M34)&gt;0.599999,"Submit for Non-Standard Calculation","x $0.05 or $0.15 per sq ft = "))))))</f>
        <v>x $0.10, $0.20 or $0.30 per sq ft    (or calculated) =</v>
      </c>
      <c r="AB32" s="876"/>
      <c r="AC32" s="876"/>
      <c r="AD32" s="876"/>
      <c r="AE32" s="193"/>
      <c r="AF32" s="193"/>
      <c r="AG32" s="552"/>
      <c r="AH32" s="552"/>
      <c r="AI32" s="27"/>
      <c r="AJ32" s="25"/>
      <c r="AK32" s="10"/>
      <c r="AL32" s="10"/>
      <c r="AM32" s="847" t="s">
        <v>2481</v>
      </c>
      <c r="AN32" s="847"/>
      <c r="AO32" s="736" t="s">
        <v>2482</v>
      </c>
      <c r="AP32" s="736"/>
      <c r="AQ32" s="736"/>
      <c r="AR32" s="736"/>
      <c r="AS32" s="736"/>
      <c r="AT32" s="736"/>
      <c r="AU32" s="736"/>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row>
    <row r="33" spans="1:266" s="5" customFormat="1" ht="15" hidden="1" customHeight="1">
      <c r="A33" s="25"/>
      <c r="B33" s="180"/>
      <c r="C33" s="157"/>
      <c r="D33" s="157"/>
      <c r="E33" s="157"/>
      <c r="F33" s="157"/>
      <c r="G33" s="157"/>
      <c r="H33" s="157"/>
      <c r="I33" s="157"/>
      <c r="J33" s="43" t="s">
        <v>2526</v>
      </c>
      <c r="K33" s="384"/>
      <c r="L33" s="43"/>
      <c r="M33" s="43" t="s">
        <v>2527</v>
      </c>
      <c r="N33" s="43"/>
      <c r="O33" s="779" t="s">
        <v>2528</v>
      </c>
      <c r="P33" s="779"/>
      <c r="Q33" s="779"/>
      <c r="R33" s="779"/>
      <c r="S33" s="159" t="s">
        <v>2529</v>
      </c>
      <c r="T33" s="43"/>
      <c r="U33" s="183"/>
      <c r="V33" s="168"/>
      <c r="W33" s="168"/>
      <c r="X33" s="168"/>
      <c r="Y33" s="168"/>
      <c r="Z33" s="168"/>
      <c r="AA33" s="877"/>
      <c r="AB33" s="877"/>
      <c r="AC33" s="877"/>
      <c r="AD33" s="877"/>
      <c r="AE33" s="183"/>
      <c r="AF33" s="157" t="s">
        <v>2483</v>
      </c>
      <c r="AG33" s="208"/>
      <c r="AH33" s="208"/>
      <c r="AI33" s="181"/>
      <c r="AJ33" s="25"/>
      <c r="AK33" s="9"/>
      <c r="AL33" s="9"/>
      <c r="AM33" s="10" t="s">
        <v>2484</v>
      </c>
      <c r="AN33" s="10" t="s">
        <v>2485</v>
      </c>
      <c r="AO33" s="10" t="s">
        <v>2486</v>
      </c>
      <c r="AP33" s="10" t="s">
        <v>2487</v>
      </c>
      <c r="AQ33" s="10" t="s">
        <v>2488</v>
      </c>
      <c r="AR33" s="10" t="s">
        <v>2530</v>
      </c>
      <c r="AS33" s="10" t="s">
        <v>2531</v>
      </c>
      <c r="AT33" s="10" t="s">
        <v>2532</v>
      </c>
      <c r="AU33" s="10" t="s">
        <v>2490</v>
      </c>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686"/>
      <c r="CB33" s="686"/>
      <c r="CC33" s="686"/>
      <c r="CD33" s="686"/>
      <c r="CE33" s="686"/>
      <c r="CF33" s="686"/>
      <c r="CG33" s="686"/>
      <c r="CH33" s="686"/>
      <c r="CI33" s="686"/>
      <c r="CJ33" s="686"/>
      <c r="CK33" s="686"/>
      <c r="CL33" s="686"/>
      <c r="CM33" s="686"/>
      <c r="CN33" s="686"/>
      <c r="CO33" s="686"/>
      <c r="CP33" s="686"/>
      <c r="CQ33" s="686"/>
      <c r="CR33" s="686"/>
      <c r="CS33" s="686"/>
      <c r="CT33" s="686"/>
      <c r="CU33" s="686"/>
      <c r="CV33" s="686"/>
      <c r="CW33" s="686"/>
      <c r="CX33" s="686"/>
      <c r="CY33" s="686"/>
      <c r="CZ33" s="686"/>
      <c r="DA33" s="686"/>
      <c r="DB33" s="686"/>
      <c r="DC33" s="686"/>
    </row>
    <row r="34" spans="1:266" ht="12.75" hidden="1" customHeight="1">
      <c r="A34" s="25"/>
      <c r="B34" s="555"/>
      <c r="C34" s="157" t="s">
        <v>2533</v>
      </c>
      <c r="D34" s="157"/>
      <c r="E34" s="157"/>
      <c r="F34" s="157"/>
      <c r="G34" s="157"/>
      <c r="H34" s="157"/>
      <c r="I34" s="25"/>
      <c r="J34" s="850"/>
      <c r="K34" s="851"/>
      <c r="L34" s="184"/>
      <c r="M34" s="850"/>
      <c r="N34" s="851"/>
      <c r="O34" s="157"/>
      <c r="P34" s="871" t="str">
        <f>IF(AK34=FALSE,"",IF(J34="","",IF(M34="","",(M34-J34)/M34)))</f>
        <v/>
      </c>
      <c r="Q34" s="871"/>
      <c r="R34" s="159"/>
      <c r="S34" s="859" t="str">
        <f>IF(AK34=FALSE,"",IFERROR(VLOOKUP($AU$1,BuildingHours,2,FALSE),0))</f>
        <v/>
      </c>
      <c r="T34" s="860"/>
      <c r="U34" s="183"/>
      <c r="V34" s="168"/>
      <c r="W34" s="158" t="s">
        <v>2534</v>
      </c>
      <c r="X34" s="850"/>
      <c r="Y34" s="851"/>
      <c r="Z34" s="159" t="s">
        <v>2508</v>
      </c>
      <c r="AA34" s="877"/>
      <c r="AB34" s="877"/>
      <c r="AC34" s="877"/>
      <c r="AD34" s="877"/>
      <c r="AE34" s="371" t="s">
        <v>142</v>
      </c>
      <c r="AF34" s="854" t="str">
        <f>IF(AND(AK34=TRUE,OR(S34="",J34="",M34="",S34="",X34="")),0,IF(AND(J34&lt;&gt;"",M34&lt;&gt;"",X34&lt;&gt;"",AK34=FALSE),"Chk Box",IF(P34="","",IF(((M34-J34)/M34)&lt;0.09999,"Not Eligible",IF(AND(((M34-J34)/M34)&gt;0.09999,((M34-J34)/M34)&lt;0.2),X34*0.1,IF(AND(((M34-J34)/M34)&gt;0.19999,((M34-J34)/M34)&lt;0.3),X34*0.2,IF(AND(((M34-J34)/M34)&gt;0.29999,((M34-J34)/M34)&lt;0.6),X34*0.3,IF(((M34-J34)/M34)&gt;0.599999,"Non-Stand.",""))))))))</f>
        <v/>
      </c>
      <c r="AG34" s="854"/>
      <c r="AH34" s="854"/>
      <c r="AI34" s="181"/>
      <c r="AJ34" s="25"/>
      <c r="AK34" s="187" t="b">
        <v>0</v>
      </c>
      <c r="AL34" s="9"/>
      <c r="AM34" s="556">
        <f>IFERROR(IF($AQ34="",AO34,IF($AS34="",(VLOOKUP($AU34,StackingEffects,2,FALSE)*AT34),(VLOOKUP($AS34,StackingEffects,2,FALSE)*AR34))),0)</f>
        <v>0</v>
      </c>
      <c r="AN34" s="556">
        <f>IFERROR(IF($AQ34="",AP34,IF($AS34="",(VLOOKUP($AU34,StackingEffects,2,FALSE)*AP34),(VLOOKUP($AS34,StackingEffects,2,FALSE)*AP34))),0)</f>
        <v>0</v>
      </c>
      <c r="AO34" s="556">
        <f>IF(AF34="Chk Box",0,IF(S34="",0,IF(AF34&gt;1,(M34-J34)*S34,0)))</f>
        <v>0</v>
      </c>
      <c r="AP34" s="556">
        <f>IF(AF34="Chk Box",0,IF(AF34&gt;1,(M34-J34),""))</f>
        <v>0</v>
      </c>
      <c r="AQ34" s="395" t="str">
        <f>IF(COUNTIF($AK$49:$AK$62,"TRUE")&gt;0,"HVAC","LIGHTING")</f>
        <v>LIGHTING</v>
      </c>
      <c r="AR34" s="395">
        <f>IF($AQ34="LIGHTING",$AO34,0)</f>
        <v>0</v>
      </c>
      <c r="AS34" s="395" t="str">
        <f>IF($AR34=0,"",_xlfn.RANK.EQ($AR34,$AR$34:$AR$41,0))</f>
        <v/>
      </c>
      <c r="AT34" s="395">
        <f>IF($AQ34="HVAC",$AO34,0)</f>
        <v>0</v>
      </c>
      <c r="AU34" s="395" t="str">
        <f>IF($AT34=0,"",_xlfn.RANK.EQ($AT34,$AT$34:$AT$70,0))</f>
        <v/>
      </c>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row>
    <row r="35" spans="1:266" s="5" customFormat="1" hidden="1">
      <c r="A35" s="25"/>
      <c r="B35" s="555"/>
      <c r="C35" s="159" t="s">
        <v>2535</v>
      </c>
      <c r="D35" s="159"/>
      <c r="E35" s="157"/>
      <c r="F35" s="157"/>
      <c r="G35" s="157"/>
      <c r="H35" s="157"/>
      <c r="I35" s="25"/>
      <c r="J35" s="850"/>
      <c r="K35" s="851"/>
      <c r="L35" s="184"/>
      <c r="M35" s="850"/>
      <c r="N35" s="851"/>
      <c r="O35" s="157"/>
      <c r="P35" s="872" t="str">
        <f>IF(AK35=FALSE,"",IF(J35="","",IF(M35="","",(M35-J35)/M35)))</f>
        <v/>
      </c>
      <c r="Q35" s="872"/>
      <c r="R35" s="159"/>
      <c r="S35" s="859" t="str">
        <f>IF(AK35=FALSE,"",4059)</f>
        <v/>
      </c>
      <c r="T35" s="860"/>
      <c r="U35" s="185"/>
      <c r="V35" s="168"/>
      <c r="W35" s="158" t="s">
        <v>2536</v>
      </c>
      <c r="X35" s="873" t="str">
        <f>IF(AK35=FALSE,"",IF(P35="","",IF(P35&lt;0.15,"N/A",M35-J35)))</f>
        <v/>
      </c>
      <c r="Y35" s="873"/>
      <c r="Z35" s="159" t="s">
        <v>2485</v>
      </c>
      <c r="AA35" s="168"/>
      <c r="AB35" s="168"/>
      <c r="AC35" s="168"/>
      <c r="AD35" s="185" t="s">
        <v>2537</v>
      </c>
      <c r="AE35" s="371" t="s">
        <v>142</v>
      </c>
      <c r="AF35" s="852" t="str">
        <f>IF(AND(AK35=FALSE,J35&lt;&gt;"",M35&lt;&gt;""),"Chk Box",IF(AK35=FALSE,"",IF(OR(S35="",X35="N/A",X35=""),0,X35*200)))</f>
        <v/>
      </c>
      <c r="AG35" s="852"/>
      <c r="AH35" s="852"/>
      <c r="AI35" s="181"/>
      <c r="AJ35" s="25"/>
      <c r="AK35" s="187" t="b">
        <v>0</v>
      </c>
      <c r="AL35" s="9"/>
      <c r="AM35" s="556">
        <f>IFERROR(IF($AQ35="",AO35,IF($AS35="",(VLOOKUP($AU35,StackingEffects,2,FALSE)*AT35),(VLOOKUP($AS35,StackingEffects,2,FALSE)*AR35))),0)</f>
        <v>0</v>
      </c>
      <c r="AN35" s="556">
        <f>IFERROR(IF($AQ35="",AP35,IF($AS35="",(VLOOKUP($AU35,StackingEffects,2,FALSE)*AP35),(VLOOKUP($AS35,StackingEffects,2,FALSE)*AP35))),0)</f>
        <v>0</v>
      </c>
      <c r="AO35" s="556">
        <f>IF(AF35="Chk Box",0,IF(S35="",0,IF(AF35&gt;1,(M35-J35)*S35,0)))</f>
        <v>0</v>
      </c>
      <c r="AP35" s="556">
        <v>0</v>
      </c>
      <c r="AQ35" s="400"/>
      <c r="AR35" s="400"/>
      <c r="AS35" s="400"/>
      <c r="AT35" s="400"/>
      <c r="AU35" s="400"/>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686"/>
      <c r="CB35" s="686"/>
      <c r="CC35" s="686"/>
      <c r="CD35" s="686"/>
      <c r="CE35" s="686"/>
      <c r="CF35" s="686"/>
      <c r="CG35" s="686"/>
      <c r="CH35" s="686"/>
      <c r="CI35" s="686"/>
      <c r="CJ35" s="686"/>
      <c r="CK35" s="686"/>
      <c r="CL35" s="686"/>
      <c r="CM35" s="686"/>
      <c r="CN35" s="686"/>
      <c r="CO35" s="686"/>
      <c r="CP35" s="686"/>
      <c r="CQ35" s="686"/>
      <c r="CR35" s="686"/>
      <c r="CS35" s="686"/>
      <c r="CT35" s="686"/>
      <c r="CU35" s="686"/>
      <c r="CV35" s="686"/>
      <c r="CW35" s="686"/>
      <c r="CX35" s="686"/>
      <c r="CY35" s="686"/>
      <c r="CZ35" s="686"/>
      <c r="DA35" s="686"/>
      <c r="DB35" s="686"/>
      <c r="DC35" s="686"/>
    </row>
    <row r="36" spans="1:266" ht="15.75" hidden="1" customHeight="1">
      <c r="A36" s="25"/>
      <c r="B36" s="555"/>
      <c r="C36" s="560" t="s">
        <v>2538</v>
      </c>
      <c r="D36" s="159"/>
      <c r="E36" s="159"/>
      <c r="F36" s="25"/>
      <c r="G36" s="157"/>
      <c r="H36" s="370"/>
      <c r="I36" s="157"/>
      <c r="J36" s="25"/>
      <c r="K36" s="25"/>
      <c r="L36" s="861" t="s">
        <v>2539</v>
      </c>
      <c r="M36" s="861"/>
      <c r="N36" s="861"/>
      <c r="O36" s="861"/>
      <c r="P36" s="861"/>
      <c r="Q36" s="861"/>
      <c r="R36" s="862"/>
      <c r="S36" s="859" t="str">
        <f>IF(AK36=FALSE,"",IFERROR(VLOOKUP($AU$1,BuildingHours,2,FALSE),0))</f>
        <v/>
      </c>
      <c r="T36" s="860"/>
      <c r="U36" s="185"/>
      <c r="V36" s="168"/>
      <c r="W36" s="158" t="s">
        <v>2540</v>
      </c>
      <c r="X36" s="850"/>
      <c r="Y36" s="851"/>
      <c r="Z36" s="159" t="s">
        <v>2485</v>
      </c>
      <c r="AA36" s="168"/>
      <c r="AB36" s="168"/>
      <c r="AC36" s="168"/>
      <c r="AD36" s="185" t="s">
        <v>2541</v>
      </c>
      <c r="AE36" s="371" t="s">
        <v>142</v>
      </c>
      <c r="AF36" s="852" t="str">
        <f>IF(AK36=FALSE,IF(AND(X36="",G37="",W37=""),"","Chk L3a Box"),IF(X36="",0,((S36*X36)*21%)*0.26))</f>
        <v/>
      </c>
      <c r="AG36" s="852"/>
      <c r="AH36" s="852"/>
      <c r="AI36" s="181"/>
      <c r="AJ36" s="157"/>
      <c r="AK36" s="187" t="b">
        <v>0</v>
      </c>
      <c r="AL36" s="9"/>
      <c r="AM36" s="556">
        <f>IFERROR(IF($AQ36="",AO36,IF($AS36="",(VLOOKUP($AU36,StackingEffects,2,FALSE)*AT36),(VLOOKUP($AS36,StackingEffects,2,FALSE)*AR36))),0)</f>
        <v>0</v>
      </c>
      <c r="AN36" s="556">
        <f>IFERROR(IF($AQ36="",AP36,IF($AS36="",(VLOOKUP($AU36,StackingEffects,2,FALSE)*AP36),(VLOOKUP($AS36,StackingEffects,2,FALSE)*AP36))),0)</f>
        <v>0</v>
      </c>
      <c r="AO36" s="556">
        <f>IF(AK36=FALSE,0,IF(AF36="Chk L3a Box",0,IF(AF36&gt;1,(S36*X36)*21%,0)))</f>
        <v>0</v>
      </c>
      <c r="AP36" s="556">
        <f>IF(AK36=FALSE,0,IF(AF36="Chk Box",0,IF(AF36&gt;1,(X36*21%),0)))</f>
        <v>0</v>
      </c>
      <c r="AQ36" s="395" t="str">
        <f>IF(COUNTIF($AK$83:$AK$96,"TRUE")&gt;0,"HVAC","LIGHTING")</f>
        <v>LIGHTING</v>
      </c>
      <c r="AR36" s="395">
        <f>IF($AQ36="LIGHTING",$AO36,0)</f>
        <v>0</v>
      </c>
      <c r="AS36" s="395" t="str">
        <f>IF($AR36=0,"",_xlfn.RANK.EQ($AR36,$AR$68:$AR$75,0))</f>
        <v/>
      </c>
      <c r="AT36" s="395">
        <f t="shared" ref="AT36:AT41" si="8">IF($AQ36="HVAC",$AO36,0)</f>
        <v>0</v>
      </c>
      <c r="AU36" s="395" t="str">
        <f>IF($AT36=0,"",_xlfn.RANK.EQ($AT36,$AT$68:$AT$104,0))</f>
        <v/>
      </c>
      <c r="AV36" s="94"/>
      <c r="AW36" s="94"/>
      <c r="AX36" s="94"/>
      <c r="AY36" s="94"/>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687"/>
      <c r="CB36" s="687"/>
      <c r="CC36" s="687"/>
      <c r="CD36" s="687"/>
      <c r="CE36" s="687"/>
      <c r="CF36" s="687"/>
      <c r="CG36" s="687"/>
      <c r="CH36" s="687"/>
      <c r="CI36" s="687"/>
      <c r="CJ36" s="687"/>
      <c r="CK36" s="687"/>
      <c r="CL36" s="687"/>
      <c r="CM36" s="687"/>
      <c r="CN36" s="687"/>
      <c r="CO36" s="687"/>
      <c r="CP36" s="687"/>
      <c r="CQ36" s="687"/>
      <c r="CR36" s="687"/>
      <c r="CS36" s="687"/>
      <c r="CT36" s="687"/>
      <c r="CU36" s="687"/>
      <c r="CV36" s="687"/>
      <c r="CW36" s="687"/>
      <c r="CX36" s="687"/>
      <c r="CY36" s="687"/>
      <c r="CZ36" s="687"/>
      <c r="DA36" s="687"/>
      <c r="DB36" s="687"/>
      <c r="DC36" s="687"/>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row>
    <row r="37" spans="1:266" ht="15.75" hidden="1" customHeight="1">
      <c r="A37" s="25"/>
      <c r="B37" s="555"/>
      <c r="C37" s="560"/>
      <c r="D37" s="159"/>
      <c r="E37" s="159"/>
      <c r="F37" s="563" t="s">
        <v>2542</v>
      </c>
      <c r="G37" s="853"/>
      <c r="H37" s="853"/>
      <c r="I37" s="853"/>
      <c r="J37" s="853"/>
      <c r="K37" s="853"/>
      <c r="L37" s="853"/>
      <c r="M37" s="853"/>
      <c r="N37" s="853"/>
      <c r="O37" s="853"/>
      <c r="P37" s="853"/>
      <c r="Q37" s="853"/>
      <c r="R37" s="853"/>
      <c r="S37" s="25"/>
      <c r="T37" s="25"/>
      <c r="U37" s="25"/>
      <c r="V37" s="521" t="s">
        <v>2543</v>
      </c>
      <c r="W37" s="853"/>
      <c r="X37" s="853"/>
      <c r="Y37" s="853"/>
      <c r="Z37" s="853"/>
      <c r="AA37" s="853"/>
      <c r="AB37" s="853"/>
      <c r="AC37" s="853"/>
      <c r="AD37" s="853"/>
      <c r="AE37" s="853"/>
      <c r="AF37" s="853"/>
      <c r="AG37" s="853"/>
      <c r="AH37" s="853"/>
      <c r="AI37" s="181"/>
      <c r="AJ37" s="157"/>
      <c r="AK37" s="187"/>
      <c r="AL37" s="9"/>
      <c r="AM37" s="556"/>
      <c r="AN37" s="556"/>
      <c r="AO37" s="556"/>
      <c r="AP37" s="556"/>
      <c r="AQ37" s="395"/>
      <c r="AR37" s="395"/>
      <c r="AS37" s="395"/>
      <c r="AT37" s="395"/>
      <c r="AU37" s="395"/>
      <c r="AV37" s="94"/>
      <c r="AW37" s="94"/>
      <c r="AX37" s="94"/>
      <c r="AY37" s="94"/>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687"/>
      <c r="CB37" s="687"/>
      <c r="CC37" s="687"/>
      <c r="CD37" s="687"/>
      <c r="CE37" s="687"/>
      <c r="CF37" s="687"/>
      <c r="CG37" s="687"/>
      <c r="CH37" s="687"/>
      <c r="CI37" s="687"/>
      <c r="CJ37" s="687"/>
      <c r="CK37" s="687"/>
      <c r="CL37" s="687"/>
      <c r="CM37" s="687"/>
      <c r="CN37" s="687"/>
      <c r="CO37" s="687"/>
      <c r="CP37" s="687"/>
      <c r="CQ37" s="687"/>
      <c r="CR37" s="687"/>
      <c r="CS37" s="687"/>
      <c r="CT37" s="687"/>
      <c r="CU37" s="687"/>
      <c r="CV37" s="687"/>
      <c r="CW37" s="687"/>
      <c r="CX37" s="687"/>
      <c r="CY37" s="687"/>
      <c r="CZ37" s="687"/>
      <c r="DA37" s="687"/>
      <c r="DB37" s="687"/>
      <c r="DC37" s="687"/>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row>
    <row r="38" spans="1:266" ht="15.75" hidden="1" customHeight="1">
      <c r="A38" s="25"/>
      <c r="B38" s="555"/>
      <c r="C38" s="560" t="s">
        <v>2544</v>
      </c>
      <c r="D38" s="159"/>
      <c r="E38" s="159"/>
      <c r="F38" s="25"/>
      <c r="G38" s="157"/>
      <c r="H38" s="370"/>
      <c r="I38" s="157"/>
      <c r="J38" s="25"/>
      <c r="K38" s="25"/>
      <c r="L38" s="861" t="s">
        <v>2539</v>
      </c>
      <c r="M38" s="861"/>
      <c r="N38" s="861"/>
      <c r="O38" s="861"/>
      <c r="P38" s="861"/>
      <c r="Q38" s="861"/>
      <c r="R38" s="862"/>
      <c r="S38" s="859" t="str">
        <f>IF(AK38=FALSE,"",4059)</f>
        <v/>
      </c>
      <c r="T38" s="860"/>
      <c r="U38" s="185"/>
      <c r="V38" s="168"/>
      <c r="W38" s="158" t="s">
        <v>2540</v>
      </c>
      <c r="X38" s="850"/>
      <c r="Y38" s="851"/>
      <c r="Z38" s="159" t="s">
        <v>2485</v>
      </c>
      <c r="AA38" s="168"/>
      <c r="AB38" s="168"/>
      <c r="AC38" s="168"/>
      <c r="AD38" s="185" t="s">
        <v>2545</v>
      </c>
      <c r="AE38" s="371" t="s">
        <v>142</v>
      </c>
      <c r="AF38" s="854" t="str">
        <f>IF(AK38=FALSE,IF(AND(X38="",G39="",W39=""),"","Chk L3b Box"),IF(X38="",0,((S38*X38)*21%)*0.2))</f>
        <v/>
      </c>
      <c r="AG38" s="854"/>
      <c r="AH38" s="854"/>
      <c r="AI38" s="181"/>
      <c r="AJ38" s="157"/>
      <c r="AK38" s="187" t="b">
        <v>0</v>
      </c>
      <c r="AL38" s="9"/>
      <c r="AM38" s="556">
        <f>IFERROR(IF($AQ38="",AO38,IF($AS38="",(VLOOKUP($AU38,StackingEffects,2,FALSE)*AT38),(VLOOKUP($AS38,StackingEffects,2,FALSE)*AR38))),0)</f>
        <v>0</v>
      </c>
      <c r="AN38" s="556">
        <f>IFERROR(IF($AQ38="",AP38,IF($AS38="",(VLOOKUP($AU38,StackingEffects,2,FALSE)*AP38),(VLOOKUP($AS38,StackingEffects,2,FALSE)*AP38))),0)</f>
        <v>0</v>
      </c>
      <c r="AO38" s="556">
        <f>IF(AK38=FALSE,0,IF(AF38="Chk L3b Box",0,IF(AF38&gt;1,(S38*X38)*21%,0)))</f>
        <v>0</v>
      </c>
      <c r="AP38" s="556">
        <f>IF(AK38=FALSE,0,IF(AF38="Chk Box",0,IF(AF38&gt;1,(X38*21%),0)))</f>
        <v>0</v>
      </c>
      <c r="AQ38" s="395" t="str">
        <f>IF(COUNTIF($AK$83:$AK$96,"TRUE")&gt;0,"HVAC","LIGHTING")</f>
        <v>LIGHTING</v>
      </c>
      <c r="AR38" s="395">
        <f>IF($AQ38="LIGHTING",$AO38,0)</f>
        <v>0</v>
      </c>
      <c r="AS38" s="395" t="str">
        <f>IF($AR38=0,"",_xlfn.RANK.EQ($AR38,$AR$68:$AR$75,0))</f>
        <v/>
      </c>
      <c r="AT38" s="395">
        <f t="shared" si="8"/>
        <v>0</v>
      </c>
      <c r="AU38" s="395" t="str">
        <f>IF($AT38=0,"",_xlfn.RANK.EQ($AT38,$AT$68:$AT$104,0))</f>
        <v/>
      </c>
      <c r="AV38" s="94"/>
      <c r="AW38" s="94"/>
      <c r="AX38" s="94"/>
      <c r="AY38" s="94"/>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687"/>
      <c r="CB38" s="687"/>
      <c r="CC38" s="687"/>
      <c r="CD38" s="687"/>
      <c r="CE38" s="687"/>
      <c r="CF38" s="687"/>
      <c r="CG38" s="687"/>
      <c r="CH38" s="687"/>
      <c r="CI38" s="687"/>
      <c r="CJ38" s="687"/>
      <c r="CK38" s="687"/>
      <c r="CL38" s="687"/>
      <c r="CM38" s="687"/>
      <c r="CN38" s="687"/>
      <c r="CO38" s="687"/>
      <c r="CP38" s="687"/>
      <c r="CQ38" s="687"/>
      <c r="CR38" s="687"/>
      <c r="CS38" s="687"/>
      <c r="CT38" s="687"/>
      <c r="CU38" s="687"/>
      <c r="CV38" s="687"/>
      <c r="CW38" s="687"/>
      <c r="CX38" s="687"/>
      <c r="CY38" s="687"/>
      <c r="CZ38" s="687"/>
      <c r="DA38" s="687"/>
      <c r="DB38" s="687"/>
      <c r="DC38" s="687"/>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row>
    <row r="39" spans="1:266" ht="15.75" hidden="1" customHeight="1">
      <c r="A39" s="25"/>
      <c r="B39" s="555"/>
      <c r="C39" s="560"/>
      <c r="D39" s="159"/>
      <c r="E39" s="159"/>
      <c r="F39" s="521" t="s">
        <v>2542</v>
      </c>
      <c r="G39" s="853"/>
      <c r="H39" s="853"/>
      <c r="I39" s="853"/>
      <c r="J39" s="853"/>
      <c r="K39" s="853"/>
      <c r="L39" s="853"/>
      <c r="M39" s="853"/>
      <c r="N39" s="853"/>
      <c r="O39" s="853"/>
      <c r="P39" s="853"/>
      <c r="Q39" s="853"/>
      <c r="R39" s="853"/>
      <c r="S39" s="25"/>
      <c r="T39" s="25"/>
      <c r="U39" s="25"/>
      <c r="V39" s="521" t="s">
        <v>2543</v>
      </c>
      <c r="W39" s="853"/>
      <c r="X39" s="853"/>
      <c r="Y39" s="853"/>
      <c r="Z39" s="853"/>
      <c r="AA39" s="853"/>
      <c r="AB39" s="853"/>
      <c r="AC39" s="853"/>
      <c r="AD39" s="853"/>
      <c r="AE39" s="853"/>
      <c r="AF39" s="853"/>
      <c r="AG39" s="853"/>
      <c r="AH39" s="853"/>
      <c r="AI39" s="181"/>
      <c r="AJ39" s="157"/>
      <c r="AK39" s="187"/>
      <c r="AL39" s="9"/>
      <c r="AM39" s="556"/>
      <c r="AN39" s="556"/>
      <c r="AO39" s="556"/>
      <c r="AP39" s="556"/>
      <c r="AQ39" s="395"/>
      <c r="AR39" s="395"/>
      <c r="AS39" s="395"/>
      <c r="AT39" s="395"/>
      <c r="AU39" s="395"/>
      <c r="AV39" s="94"/>
      <c r="AW39" s="94"/>
      <c r="AX39" s="94"/>
      <c r="AY39" s="94"/>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687"/>
      <c r="CB39" s="687"/>
      <c r="CC39" s="687"/>
      <c r="CD39" s="687"/>
      <c r="CE39" s="687"/>
      <c r="CF39" s="687"/>
      <c r="CG39" s="687"/>
      <c r="CH39" s="687"/>
      <c r="CI39" s="687"/>
      <c r="CJ39" s="687"/>
      <c r="CK39" s="687"/>
      <c r="CL39" s="687"/>
      <c r="CM39" s="687"/>
      <c r="CN39" s="687"/>
      <c r="CO39" s="687"/>
      <c r="CP39" s="687"/>
      <c r="CQ39" s="687"/>
      <c r="CR39" s="687"/>
      <c r="CS39" s="687"/>
      <c r="CT39" s="687"/>
      <c r="CU39" s="687"/>
      <c r="CV39" s="687"/>
      <c r="CW39" s="687"/>
      <c r="CX39" s="687"/>
      <c r="CY39" s="687"/>
      <c r="CZ39" s="687"/>
      <c r="DA39" s="687"/>
      <c r="DB39" s="687"/>
      <c r="DC39" s="687"/>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row>
    <row r="40" spans="1:266" ht="15.75" hidden="1" customHeight="1">
      <c r="A40" s="25"/>
      <c r="B40" s="555"/>
      <c r="C40" s="561" t="s">
        <v>2546</v>
      </c>
      <c r="D40" s="157"/>
      <c r="E40" s="157"/>
      <c r="F40" s="333"/>
      <c r="G40" s="157"/>
      <c r="H40" s="370"/>
      <c r="I40" s="157"/>
      <c r="J40" s="25"/>
      <c r="K40" s="25"/>
      <c r="L40" s="333"/>
      <c r="M40" s="157"/>
      <c r="N40" s="157"/>
      <c r="O40" s="157"/>
      <c r="P40" s="43"/>
      <c r="Q40" s="43"/>
      <c r="R40" s="159"/>
      <c r="S40" s="859" t="str">
        <f>IF(AK40=FALSE,"",IFERROR(VLOOKUP($AU$1,BuildingHours,2,FALSE),0))</f>
        <v/>
      </c>
      <c r="T40" s="860"/>
      <c r="U40" s="185"/>
      <c r="V40" s="168"/>
      <c r="W40" s="158" t="s">
        <v>2547</v>
      </c>
      <c r="X40" s="850"/>
      <c r="Y40" s="851"/>
      <c r="Z40" s="168"/>
      <c r="AA40" s="168"/>
      <c r="AB40" s="168"/>
      <c r="AC40" s="168"/>
      <c r="AD40" s="185" t="s">
        <v>2548</v>
      </c>
      <c r="AE40" s="371" t="s">
        <v>142</v>
      </c>
      <c r="AF40" s="854" t="str">
        <f>IF(AK40=FALSE,IF(X40="","",IF($AO$1="OR","ID Only","Chk Box")),IF($AO$1="OR","ID Only",IF(OR(X40="",S40=""),0,X40*25)))</f>
        <v/>
      </c>
      <c r="AG40" s="854"/>
      <c r="AH40" s="854"/>
      <c r="AI40" s="181"/>
      <c r="AJ40" s="157"/>
      <c r="AK40" s="187" t="b">
        <v>0</v>
      </c>
      <c r="AL40" s="9"/>
      <c r="AM40" s="556">
        <f>IFERROR(IF($AQ40="",AO40,IF($AS40="",(VLOOKUP($AU40,StackingEffects,2,FALSE)*AT40),(VLOOKUP($AS40,StackingEffects,2,FALSE)*AR40))),0)</f>
        <v>0</v>
      </c>
      <c r="AN40" s="556">
        <f>IFERROR(IF($AQ40="",AP40,IF($AS40="",(VLOOKUP($AU40,StackingEffects,2,FALSE)*AP40),(VLOOKUP($AS40,StackingEffects,2,FALSE)*AP40))),0)</f>
        <v>0</v>
      </c>
      <c r="AO40" s="556">
        <f>IF(OR(AF40="Chk Box",AF40="ID Only"),0,IF(S40="",0,IF(AF40&gt;1,X40*329,0)))</f>
        <v>0</v>
      </c>
      <c r="AP40" s="556">
        <f>IF(AK40=FALSE,0,IF(AF40="Chk Box",0,IF(AF40&gt;1,X40*0.066,0)))</f>
        <v>0</v>
      </c>
      <c r="AQ40" s="395" t="str">
        <f>IF(COUNTIF($AK$83:$AK$96,"TRUE")&gt;0,"HVAC","LIGHTING")</f>
        <v>LIGHTING</v>
      </c>
      <c r="AR40" s="395">
        <f t="shared" ref="AR40:AR41" si="9">IF($AQ40="LIGHTING",$AO40,0)</f>
        <v>0</v>
      </c>
      <c r="AS40" s="395" t="str">
        <f>IF($AR40=0,"",_xlfn.RANK.EQ($AR40,$AR$68:$AR$75,0))</f>
        <v/>
      </c>
      <c r="AT40" s="395">
        <f t="shared" si="8"/>
        <v>0</v>
      </c>
      <c r="AU40" s="395" t="str">
        <f>IF($AT40=0,"",_xlfn.RANK.EQ($AT40,$AT$68:$AT$104,0))</f>
        <v/>
      </c>
      <c r="AV40" s="94"/>
      <c r="AW40" s="94"/>
      <c r="AX40" s="94"/>
      <c r="AY40" s="94"/>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687"/>
      <c r="CB40" s="687"/>
      <c r="CC40" s="687"/>
      <c r="CD40" s="687"/>
      <c r="CE40" s="687"/>
      <c r="CF40" s="687"/>
      <c r="CG40" s="687"/>
      <c r="CH40" s="687"/>
      <c r="CI40" s="687"/>
      <c r="CJ40" s="687"/>
      <c r="CK40" s="687"/>
      <c r="CL40" s="687"/>
      <c r="CM40" s="687"/>
      <c r="CN40" s="687"/>
      <c r="CO40" s="687"/>
      <c r="CP40" s="687"/>
      <c r="CQ40" s="687"/>
      <c r="CR40" s="687"/>
      <c r="CS40" s="687"/>
      <c r="CT40" s="687"/>
      <c r="CU40" s="687"/>
      <c r="CV40" s="687"/>
      <c r="CW40" s="687"/>
      <c r="CX40" s="687"/>
      <c r="CY40" s="687"/>
      <c r="CZ40" s="687"/>
      <c r="DA40" s="687"/>
      <c r="DB40" s="687"/>
      <c r="DC40" s="687"/>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row>
    <row r="41" spans="1:266" s="5" customFormat="1" ht="15" hidden="1" customHeight="1">
      <c r="A41" s="25"/>
      <c r="B41" s="555"/>
      <c r="C41" s="157" t="s">
        <v>2549</v>
      </c>
      <c r="D41" s="157"/>
      <c r="E41" s="157"/>
      <c r="F41" s="333"/>
      <c r="G41" s="157"/>
      <c r="H41" s="370"/>
      <c r="I41" s="157"/>
      <c r="J41" s="25"/>
      <c r="K41" s="25"/>
      <c r="L41" s="333"/>
      <c r="M41" s="157"/>
      <c r="N41" s="157"/>
      <c r="O41" s="370"/>
      <c r="P41" s="43"/>
      <c r="Q41" s="43"/>
      <c r="R41" s="43"/>
      <c r="S41" s="43"/>
      <c r="T41" s="43"/>
      <c r="U41" s="185"/>
      <c r="V41" s="168"/>
      <c r="W41" s="158" t="s">
        <v>2547</v>
      </c>
      <c r="X41" s="850"/>
      <c r="Y41" s="851"/>
      <c r="Z41" s="168"/>
      <c r="AA41" s="168"/>
      <c r="AB41" s="168"/>
      <c r="AC41" s="168"/>
      <c r="AD41" s="185" t="s">
        <v>2550</v>
      </c>
      <c r="AE41" s="371" t="s">
        <v>142</v>
      </c>
      <c r="AF41" s="852" t="str">
        <f>IF(AK41=FALSE,IF(X41="","","Chk Box"),IF(X41="",0,X41*7.5))</f>
        <v/>
      </c>
      <c r="AG41" s="852"/>
      <c r="AH41" s="852"/>
      <c r="AI41" s="181"/>
      <c r="AJ41" s="25"/>
      <c r="AK41" s="187" t="b">
        <v>0</v>
      </c>
      <c r="AL41" s="9"/>
      <c r="AM41" s="556">
        <f>IFERROR(IF($AQ41="",AO41,IF($AS41="",(VLOOKUP($AU41,StackingEffects,2,FALSE)*AT41),(VLOOKUP($AS41,StackingEffects,2,FALSE)*AR41))),0)</f>
        <v>0</v>
      </c>
      <c r="AN41" s="556">
        <f>IFERROR(IF($AQ41="",AP41,IF($AS41="",(VLOOKUP($AU41,StackingEffects,2,FALSE)*AP41),(VLOOKUP($AS41,StackingEffects,2,FALSE)*AP41))),0)</f>
        <v>0</v>
      </c>
      <c r="AO41" s="556">
        <f>IF(AF41="Chk Box",0,IF(AF41&gt;1,X41*28,0))</f>
        <v>0</v>
      </c>
      <c r="AP41" s="556">
        <f>IF(AF41="Chk Box",0,IF(AF41&gt;1,X41*0.0036,0))</f>
        <v>0</v>
      </c>
      <c r="AQ41" s="395" t="s">
        <v>2494</v>
      </c>
      <c r="AR41" s="395">
        <f t="shared" si="9"/>
        <v>0</v>
      </c>
      <c r="AS41" s="395" t="str">
        <f>IF($AR41=0,"",_xlfn.RANK.EQ($AR41,$AR$34:$AR$41,0))</f>
        <v/>
      </c>
      <c r="AT41" s="395">
        <f t="shared" si="8"/>
        <v>0</v>
      </c>
      <c r="AU41" s="395" t="str">
        <f>IF($AT41=0,"",_xlfn.RANK.EQ($AT41,$AT$34:$AT$84,0))</f>
        <v/>
      </c>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686"/>
      <c r="CB41" s="686"/>
      <c r="CC41" s="686"/>
      <c r="CD41" s="686"/>
      <c r="CE41" s="686"/>
      <c r="CF41" s="686"/>
      <c r="CG41" s="686"/>
      <c r="CH41" s="686"/>
      <c r="CI41" s="686"/>
      <c r="CJ41" s="686"/>
      <c r="CK41" s="686"/>
      <c r="CL41" s="686"/>
      <c r="CM41" s="686"/>
      <c r="CN41" s="686"/>
      <c r="CO41" s="686"/>
      <c r="CP41" s="686"/>
      <c r="CQ41" s="686"/>
      <c r="CR41" s="686"/>
      <c r="CS41" s="686"/>
      <c r="CT41" s="686"/>
      <c r="CU41" s="686"/>
      <c r="CV41" s="686"/>
      <c r="CW41" s="686"/>
      <c r="CX41" s="686"/>
      <c r="CY41" s="686"/>
      <c r="CZ41" s="686"/>
      <c r="DA41" s="686"/>
      <c r="DB41" s="686"/>
      <c r="DC41" s="686"/>
    </row>
    <row r="42" spans="1:266" ht="12.75" hidden="1" customHeight="1">
      <c r="A42" s="25"/>
      <c r="B42" s="186"/>
      <c r="C42" s="387"/>
      <c r="D42" s="387"/>
      <c r="E42" s="387"/>
      <c r="F42" s="387"/>
      <c r="G42" s="387"/>
      <c r="H42" s="387"/>
      <c r="I42" s="167"/>
      <c r="J42" s="167"/>
      <c r="K42" s="167"/>
      <c r="L42" s="167"/>
      <c r="M42" s="167"/>
      <c r="N42" s="167"/>
      <c r="O42" s="386"/>
      <c r="P42" s="386"/>
      <c r="Q42" s="167"/>
      <c r="R42" s="167"/>
      <c r="S42" s="167"/>
      <c r="T42" s="167"/>
      <c r="U42" s="167"/>
      <c r="V42" s="167"/>
      <c r="W42" s="167"/>
      <c r="X42" s="167"/>
      <c r="Y42" s="167"/>
      <c r="Z42" s="167"/>
      <c r="AA42" s="167"/>
      <c r="AB42" s="167"/>
      <c r="AC42" s="167"/>
      <c r="AD42" s="167"/>
      <c r="AE42" s="167"/>
      <c r="AF42" s="167"/>
      <c r="AG42" s="167"/>
      <c r="AH42" s="167"/>
      <c r="AI42" s="558"/>
      <c r="AJ42" s="25"/>
      <c r="AM42" s="10"/>
      <c r="AN42" s="10"/>
      <c r="AO42" s="10"/>
      <c r="AP42" s="10"/>
      <c r="AQ42" s="10"/>
      <c r="AR42" s="10"/>
      <c r="AS42" s="10"/>
      <c r="AT42" s="10"/>
      <c r="AU42" s="10"/>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row>
    <row r="43" spans="1:266" s="5" customFormat="1" ht="22.5" hidden="1" customHeight="1">
      <c r="A43" s="25"/>
      <c r="B43" s="869" t="s">
        <v>2551</v>
      </c>
      <c r="C43" s="869"/>
      <c r="D43" s="869"/>
      <c r="E43" s="869"/>
      <c r="F43" s="869"/>
      <c r="G43" s="869"/>
      <c r="H43" s="869"/>
      <c r="I43" s="869"/>
      <c r="J43" s="869"/>
      <c r="K43" s="869"/>
      <c r="L43" s="869"/>
      <c r="M43" s="869"/>
      <c r="N43" s="869"/>
      <c r="O43" s="869"/>
      <c r="P43" s="869"/>
      <c r="Q43" s="869"/>
      <c r="R43" s="869"/>
      <c r="S43" s="869"/>
      <c r="T43" s="869"/>
      <c r="U43" s="869"/>
      <c r="V43" s="869"/>
      <c r="W43" s="869"/>
      <c r="X43" s="869"/>
      <c r="Y43" s="869"/>
      <c r="Z43" s="869"/>
      <c r="AA43" s="869"/>
      <c r="AB43" s="869"/>
      <c r="AC43" s="869"/>
      <c r="AD43" s="869"/>
      <c r="AE43" s="869"/>
      <c r="AF43" s="869"/>
      <c r="AG43" s="869"/>
      <c r="AH43" s="869"/>
      <c r="AI43" s="869"/>
      <c r="AJ43" s="25"/>
      <c r="AK43" s="9"/>
      <c r="AL43" s="9"/>
      <c r="AM43" s="10"/>
      <c r="AN43" s="10"/>
      <c r="AO43" s="10"/>
      <c r="AP43" s="10"/>
      <c r="AQ43" s="10"/>
      <c r="AR43" s="10"/>
      <c r="AS43" s="10"/>
      <c r="AT43" s="10"/>
      <c r="AU43" s="10"/>
      <c r="AV43" s="98"/>
      <c r="AW43" s="98"/>
      <c r="AX43" s="98"/>
      <c r="AY43" s="98"/>
      <c r="AZ43" s="98"/>
      <c r="BA43" s="98"/>
      <c r="BB43" s="98"/>
      <c r="BC43" s="98"/>
      <c r="BD43" s="98"/>
      <c r="BE43" s="98"/>
      <c r="BF43" s="98"/>
      <c r="BG43" s="98"/>
      <c r="BH43" s="98"/>
      <c r="BI43" s="98"/>
      <c r="BJ43" s="98"/>
      <c r="BK43" s="98"/>
      <c r="BL43" s="98"/>
      <c r="BM43" s="98"/>
      <c r="BN43" s="98"/>
      <c r="BO43" s="98"/>
      <c r="BP43" s="98"/>
      <c r="BQ43" s="98"/>
      <c r="BR43" s="94"/>
      <c r="BS43" s="98"/>
      <c r="BT43" s="98"/>
      <c r="BU43" s="98"/>
      <c r="BV43" s="98"/>
      <c r="BW43" s="98"/>
      <c r="BX43" s="98"/>
      <c r="BY43" s="98"/>
      <c r="BZ43" s="98"/>
      <c r="CA43" s="686"/>
      <c r="CB43" s="686"/>
      <c r="CC43" s="686"/>
      <c r="CD43" s="686"/>
      <c r="CE43" s="686"/>
      <c r="CF43" s="686"/>
      <c r="CG43" s="686"/>
      <c r="CH43" s="686"/>
      <c r="CI43" s="686"/>
      <c r="CJ43" s="686"/>
      <c r="CK43" s="686"/>
      <c r="CL43" s="686"/>
      <c r="CM43" s="686"/>
      <c r="CN43" s="686"/>
      <c r="CO43" s="686"/>
      <c r="CP43" s="686"/>
      <c r="CQ43" s="686"/>
      <c r="CR43" s="686"/>
      <c r="CS43" s="686"/>
      <c r="CT43" s="686"/>
      <c r="CU43" s="686"/>
      <c r="CV43" s="686"/>
      <c r="CW43" s="686"/>
      <c r="CX43" s="686"/>
      <c r="CY43" s="686"/>
      <c r="CZ43" s="686"/>
      <c r="DA43" s="686"/>
      <c r="DB43" s="686"/>
      <c r="DC43" s="686"/>
    </row>
    <row r="44" spans="1:266" ht="12.75" hidden="1" customHeight="1">
      <c r="A44" s="25"/>
      <c r="B44" s="870"/>
      <c r="C44" s="870"/>
      <c r="D44" s="870"/>
      <c r="E44" s="870"/>
      <c r="F44" s="870"/>
      <c r="G44" s="870"/>
      <c r="H44" s="870"/>
      <c r="I44" s="870"/>
      <c r="J44" s="870"/>
      <c r="K44" s="870"/>
      <c r="L44" s="870"/>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25"/>
      <c r="AK44" s="407"/>
      <c r="AL44" s="9"/>
      <c r="AM44" s="10"/>
      <c r="AN44" s="10"/>
      <c r="AO44" s="10"/>
      <c r="AP44" s="10"/>
      <c r="AQ44" s="10"/>
      <c r="AR44" s="10"/>
      <c r="AS44" s="10"/>
      <c r="AT44" s="10"/>
      <c r="AU44" s="10"/>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row>
    <row r="45" spans="1:266" s="5" customFormat="1" ht="15" hidden="1" customHeight="1">
      <c r="A45" s="25"/>
      <c r="B45" s="402"/>
      <c r="C45" s="402"/>
      <c r="D45" s="402"/>
      <c r="E45" s="402"/>
      <c r="F45" s="402"/>
      <c r="G45" s="402"/>
      <c r="H45" s="402"/>
      <c r="I45" s="402"/>
      <c r="J45" s="402"/>
      <c r="K45" s="402"/>
      <c r="L45" s="402"/>
      <c r="M45" s="402"/>
      <c r="N45" s="402"/>
      <c r="O45" s="402"/>
      <c r="P45" s="402"/>
      <c r="Q45" s="402"/>
      <c r="R45" s="402"/>
      <c r="S45" s="402"/>
      <c r="T45" s="402"/>
      <c r="U45" s="402"/>
      <c r="V45" s="402"/>
      <c r="W45" s="402"/>
      <c r="X45" s="402"/>
      <c r="Y45" s="402"/>
      <c r="Z45" s="402"/>
      <c r="AA45" s="402"/>
      <c r="AB45" s="402"/>
      <c r="AC45" s="402"/>
      <c r="AD45" s="402"/>
      <c r="AE45" s="402"/>
      <c r="AF45" s="402"/>
      <c r="AG45" s="402"/>
      <c r="AH45" s="402"/>
      <c r="AI45" s="402"/>
      <c r="AJ45" s="25"/>
      <c r="AK45" s="407"/>
      <c r="AL45" s="9"/>
      <c r="AM45" s="10"/>
      <c r="AN45" s="10"/>
      <c r="AO45" s="10"/>
      <c r="AP45" s="10"/>
      <c r="AQ45" s="10"/>
      <c r="AR45" s="10"/>
      <c r="AS45" s="10"/>
      <c r="AT45" s="10"/>
      <c r="AU45" s="10"/>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686"/>
      <c r="CB45" s="686"/>
      <c r="CC45" s="686"/>
      <c r="CD45" s="686"/>
      <c r="CE45" s="686"/>
      <c r="CF45" s="686"/>
      <c r="CG45" s="686"/>
      <c r="CH45" s="686"/>
      <c r="CI45" s="686"/>
      <c r="CJ45" s="686"/>
      <c r="CK45" s="686"/>
      <c r="CL45" s="686"/>
      <c r="CM45" s="686"/>
      <c r="CN45" s="686"/>
      <c r="CO45" s="686"/>
      <c r="CP45" s="686"/>
      <c r="CQ45" s="686"/>
      <c r="CR45" s="686"/>
      <c r="CS45" s="686"/>
      <c r="CT45" s="686"/>
      <c r="CU45" s="686"/>
      <c r="CV45" s="686"/>
      <c r="CW45" s="686"/>
      <c r="CX45" s="686"/>
      <c r="CY45" s="686"/>
      <c r="CZ45" s="686"/>
      <c r="DA45" s="686"/>
      <c r="DB45" s="686"/>
      <c r="DC45" s="686"/>
    </row>
    <row r="46" spans="1:266" ht="12.75" hidden="1" customHeight="1">
      <c r="A46" s="25"/>
      <c r="B46" s="402"/>
      <c r="C46" s="402"/>
      <c r="D46" s="402"/>
      <c r="E46" s="402"/>
      <c r="F46" s="402"/>
      <c r="G46" s="402"/>
      <c r="H46" s="402"/>
      <c r="I46" s="402"/>
      <c r="J46" s="402"/>
      <c r="K46" s="402"/>
      <c r="L46" s="402"/>
      <c r="M46" s="402"/>
      <c r="N46" s="402"/>
      <c r="O46" s="402"/>
      <c r="P46" s="402"/>
      <c r="Q46" s="402"/>
      <c r="R46" s="402"/>
      <c r="S46" s="402"/>
      <c r="T46" s="402"/>
      <c r="U46" s="402"/>
      <c r="V46" s="402"/>
      <c r="W46" s="402"/>
      <c r="X46" s="402"/>
      <c r="Y46" s="402"/>
      <c r="Z46" s="402"/>
      <c r="AA46" s="402"/>
      <c r="AB46" s="402"/>
      <c r="AC46" s="402"/>
      <c r="AD46" s="402"/>
      <c r="AE46" s="402"/>
      <c r="AF46" s="402"/>
      <c r="AG46" s="402"/>
      <c r="AH46" s="402"/>
      <c r="AI46" s="402"/>
      <c r="AJ46" s="25"/>
      <c r="AK46" s="407"/>
      <c r="AL46" s="9"/>
      <c r="AM46" s="10"/>
      <c r="AN46" s="10"/>
      <c r="AO46" s="10"/>
      <c r="AP46" s="10"/>
      <c r="AQ46" s="10"/>
      <c r="AR46" s="10"/>
      <c r="AS46" s="10"/>
      <c r="AT46" s="10"/>
      <c r="AU46" s="10"/>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Y46" s="686"/>
      <c r="CZ46" s="686"/>
      <c r="DA46" s="686"/>
      <c r="DB46" s="686"/>
      <c r="DC46" s="686"/>
    </row>
    <row r="47" spans="1:266" s="5" customFormat="1" ht="15" customHeight="1">
      <c r="A47" s="25"/>
      <c r="B47" s="41" t="s">
        <v>2552</v>
      </c>
      <c r="C47" s="31"/>
      <c r="D47" s="31"/>
      <c r="E47" s="31"/>
      <c r="F47" s="31"/>
      <c r="G47" s="31"/>
      <c r="H47" s="31"/>
      <c r="I47" s="31"/>
      <c r="J47" s="31"/>
      <c r="K47" s="31"/>
      <c r="L47" s="31"/>
      <c r="M47" s="31"/>
      <c r="N47" s="31"/>
      <c r="O47" s="31"/>
      <c r="P47" s="31"/>
      <c r="Q47" s="31"/>
      <c r="R47" s="31"/>
      <c r="S47" s="31"/>
      <c r="T47" s="43"/>
      <c r="U47" s="31"/>
      <c r="V47" s="168"/>
      <c r="W47" s="168"/>
      <c r="X47" s="168"/>
      <c r="Y47" s="168"/>
      <c r="Z47" s="168"/>
      <c r="AA47" s="168"/>
      <c r="AB47" s="168"/>
      <c r="AC47" s="168"/>
      <c r="AD47" s="31"/>
      <c r="AE47" s="31"/>
      <c r="AF47" s="42"/>
      <c r="AG47" s="31"/>
      <c r="AH47" s="42"/>
      <c r="AI47" s="31"/>
      <c r="AJ47" s="25"/>
      <c r="AK47" s="9"/>
      <c r="AL47" s="9"/>
      <c r="AM47" s="847" t="s">
        <v>2481</v>
      </c>
      <c r="AN47" s="847"/>
      <c r="AO47" s="736" t="s">
        <v>2482</v>
      </c>
      <c r="AP47" s="736"/>
      <c r="AQ47" s="736"/>
      <c r="AR47" s="736"/>
      <c r="AS47" s="736"/>
      <c r="AT47" s="736"/>
      <c r="AU47" s="736"/>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686"/>
      <c r="CB47" s="686"/>
      <c r="CC47" s="686"/>
      <c r="CD47" s="686"/>
      <c r="CE47" s="686"/>
      <c r="CF47" s="686"/>
      <c r="CG47" s="686"/>
      <c r="CH47" s="686"/>
      <c r="CI47" s="686"/>
      <c r="CJ47" s="686"/>
      <c r="CK47" s="686"/>
      <c r="CL47" s="686"/>
      <c r="CM47" s="686"/>
      <c r="CN47" s="686"/>
      <c r="CO47" s="686"/>
      <c r="CP47" s="686"/>
      <c r="CQ47" s="686"/>
      <c r="CR47" s="686"/>
      <c r="CS47" s="686"/>
      <c r="CT47" s="686"/>
      <c r="CU47" s="686"/>
      <c r="CV47" s="686"/>
      <c r="CW47" s="686"/>
      <c r="CX47" s="686"/>
      <c r="CY47" s="686"/>
      <c r="CZ47" s="686"/>
      <c r="DA47" s="686"/>
      <c r="DB47" s="686"/>
      <c r="DC47" s="686"/>
    </row>
    <row r="48" spans="1:266" s="5" customFormat="1">
      <c r="A48" s="25"/>
      <c r="B48" s="179"/>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356" t="s">
        <v>2483</v>
      </c>
      <c r="AG48" s="356"/>
      <c r="AH48" s="356"/>
      <c r="AI48" s="577"/>
      <c r="AJ48" s="25"/>
      <c r="AK48" s="8"/>
      <c r="AL48" s="8"/>
      <c r="AM48" s="10" t="s">
        <v>2484</v>
      </c>
      <c r="AN48" s="10" t="s">
        <v>2485</v>
      </c>
      <c r="AO48" s="10" t="s">
        <v>2486</v>
      </c>
      <c r="AP48" s="10" t="s">
        <v>2487</v>
      </c>
      <c r="AQ48" s="10" t="s">
        <v>2488</v>
      </c>
      <c r="AR48" s="10"/>
      <c r="AS48" s="10"/>
      <c r="AT48" s="10" t="s">
        <v>2532</v>
      </c>
      <c r="AU48" s="10" t="s">
        <v>2490</v>
      </c>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686"/>
      <c r="CB48" s="686"/>
      <c r="CC48" s="686"/>
      <c r="CD48" s="686"/>
      <c r="CE48" s="686"/>
      <c r="CF48" s="686"/>
      <c r="CG48" s="686"/>
      <c r="CH48" s="686"/>
      <c r="CI48" s="686"/>
      <c r="CJ48" s="686"/>
      <c r="CK48" s="686"/>
      <c r="CL48" s="686"/>
      <c r="CM48" s="686"/>
      <c r="CN48" s="686"/>
      <c r="CO48" s="686"/>
      <c r="CP48" s="686"/>
      <c r="CQ48" s="686"/>
      <c r="CR48" s="686"/>
      <c r="CS48" s="686"/>
      <c r="CT48" s="686"/>
      <c r="CU48" s="686"/>
      <c r="CV48" s="686"/>
      <c r="CW48" s="686"/>
      <c r="CX48" s="686"/>
      <c r="CY48" s="686"/>
      <c r="CZ48" s="686"/>
      <c r="DA48" s="686"/>
      <c r="DB48" s="686"/>
      <c r="DC48" s="686"/>
    </row>
    <row r="49" spans="1:266">
      <c r="A49" s="25"/>
      <c r="B49" s="555"/>
      <c r="C49" s="157" t="s">
        <v>2761</v>
      </c>
      <c r="D49" s="157"/>
      <c r="E49" s="157"/>
      <c r="F49" s="333"/>
      <c r="G49" s="157"/>
      <c r="H49" s="50"/>
      <c r="I49" s="420"/>
      <c r="J49" s="420"/>
      <c r="K49" s="868" t="s">
        <v>2757</v>
      </c>
      <c r="L49" s="868"/>
      <c r="M49" s="868"/>
      <c r="N49" s="868"/>
      <c r="O49" s="868"/>
      <c r="P49" s="868"/>
      <c r="Q49" s="868"/>
      <c r="R49" s="25"/>
      <c r="S49" s="25"/>
      <c r="T49" s="25"/>
      <c r="U49" s="25"/>
      <c r="V49" s="25"/>
      <c r="W49" s="25"/>
      <c r="X49" s="25"/>
      <c r="Y49" s="25"/>
      <c r="Z49" s="168"/>
      <c r="AA49" s="168"/>
      <c r="AB49" s="168"/>
      <c r="AC49" s="168"/>
      <c r="AD49" s="185" t="s">
        <v>2762</v>
      </c>
      <c r="AE49" s="371" t="s">
        <v>142</v>
      </c>
      <c r="AF49" s="855" t="str">
        <f>IF(AK49=FALSE,IF(AND('Retro HVAC Worksheet'!BM78&gt;1,'Retro HVAC Worksheet'!BH108&lt;&gt;""),IF($AO$1="OR","ID Only","Chk Box"),""),IF($AO$1="OR", "ID Only",'Retro HVAC Worksheet'!BH108))</f>
        <v/>
      </c>
      <c r="AG49" s="855"/>
      <c r="AH49" s="855"/>
      <c r="AI49" s="181"/>
      <c r="AJ49" s="25"/>
      <c r="AK49" s="187" t="b">
        <v>0</v>
      </c>
      <c r="AL49" s="9"/>
      <c r="AM49" s="187">
        <f t="shared" ref="AM49:AM57" si="10">IFERROR(IF($AQ49="",AO49,IF($AS49="",(VLOOKUP($AU49,StackingEffects,2,FALSE)*AT49),(VLOOKUP($AS49,StackingEffects,2,FALSE)*AR49))),0)</f>
        <v>0</v>
      </c>
      <c r="AN49" s="187">
        <f t="shared" ref="AN49:AN57" si="11">IFERROR(IF($AQ49="",AP49,IF($AS49="",(VLOOKUP($AU49,StackingEffects,2,FALSE)*AP49),(VLOOKUP($AS49,StackingEffects,2,FALSE)*AP49))),0)</f>
        <v>0</v>
      </c>
      <c r="AO49" s="187">
        <f>IF(AF49="Chk Box",0,'Retro HVAC Worksheet'!BV108)</f>
        <v>0</v>
      </c>
      <c r="AP49" s="187">
        <f>IF(AF49="Chk Box",0,'Retro HVAC Worksheet'!BW108)</f>
        <v>0</v>
      </c>
      <c r="AQ49" s="396" t="s">
        <v>2494</v>
      </c>
      <c r="AR49" s="396"/>
      <c r="AS49" s="396"/>
      <c r="AT49" s="396">
        <f t="shared" ref="AT49:AT55" si="12">IF($AQ49="HVAC",$AO49,0)</f>
        <v>0</v>
      </c>
      <c r="AU49" s="396" t="str">
        <f t="shared" ref="AU49:AU55" si="13">IF($AT49=0,"",_xlfn.RANK.EQ($AT49,$AT$34:$AT$84,0))</f>
        <v/>
      </c>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Y49" s="686"/>
      <c r="CZ49" s="686"/>
      <c r="DA49" s="686"/>
      <c r="DB49" s="686"/>
      <c r="DC49" s="686"/>
    </row>
    <row r="50" spans="1:266" ht="12.75" hidden="1" customHeight="1">
      <c r="A50" s="25"/>
      <c r="B50" s="555"/>
      <c r="C50" s="560" t="s">
        <v>2555</v>
      </c>
      <c r="D50" s="159"/>
      <c r="E50" s="159"/>
      <c r="F50" s="159"/>
      <c r="G50" s="25"/>
      <c r="H50" s="50"/>
      <c r="I50" s="420"/>
      <c r="J50" s="420"/>
      <c r="K50" s="868" t="s">
        <v>2556</v>
      </c>
      <c r="L50" s="868"/>
      <c r="M50" s="868"/>
      <c r="N50" s="868"/>
      <c r="O50" s="868"/>
      <c r="P50" s="868"/>
      <c r="Q50" s="868"/>
      <c r="R50" s="25"/>
      <c r="S50" s="25"/>
      <c r="T50" s="25"/>
      <c r="U50" s="25"/>
      <c r="V50" s="25"/>
      <c r="W50" s="25"/>
      <c r="X50" s="25"/>
      <c r="Y50" s="25"/>
      <c r="Z50" s="168"/>
      <c r="AA50" s="168"/>
      <c r="AB50" s="168"/>
      <c r="AC50" s="168"/>
      <c r="AD50" s="185" t="s">
        <v>2557</v>
      </c>
      <c r="AE50" s="371" t="s">
        <v>142</v>
      </c>
      <c r="AF50" s="856" t="str">
        <f>IF(AK50=FALSE,IF(AND('Retro HVAC Worksheet'!BM113&gt;1,'Retro HVAC Worksheet'!BH119&lt;&gt;""),"Chk Box",""),'Retro HVAC Worksheet'!BH119)</f>
        <v/>
      </c>
      <c r="AG50" s="856"/>
      <c r="AH50" s="856"/>
      <c r="AI50" s="181"/>
      <c r="AJ50" s="25"/>
      <c r="AK50" s="187" t="b">
        <v>0</v>
      </c>
      <c r="AL50" s="9"/>
      <c r="AM50" s="187">
        <f t="shared" si="10"/>
        <v>0</v>
      </c>
      <c r="AN50" s="187">
        <f t="shared" si="11"/>
        <v>0</v>
      </c>
      <c r="AO50" s="187">
        <f>IF(AF50="Chk Box",0,'Retro HVAC Worksheet'!BV119)</f>
        <v>0</v>
      </c>
      <c r="AP50" s="187">
        <f>IF(AF50="Chk Box",0,'Retro HVAC Worksheet'!BW119)</f>
        <v>0</v>
      </c>
      <c r="AQ50" s="396" t="s">
        <v>2494</v>
      </c>
      <c r="AR50" s="396"/>
      <c r="AS50" s="396"/>
      <c r="AT50" s="396">
        <f t="shared" si="12"/>
        <v>0</v>
      </c>
      <c r="AU50" s="396" t="str">
        <f t="shared" si="13"/>
        <v/>
      </c>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Y50" s="686"/>
      <c r="CZ50" s="686"/>
      <c r="DA50" s="686"/>
      <c r="DB50" s="686"/>
      <c r="DC50" s="686"/>
    </row>
    <row r="51" spans="1:266" s="5" customFormat="1" ht="15" customHeight="1">
      <c r="A51" s="25"/>
      <c r="B51" s="555"/>
      <c r="C51" s="157" t="s">
        <v>2763</v>
      </c>
      <c r="D51" s="157"/>
      <c r="E51" s="157"/>
      <c r="F51" s="333"/>
      <c r="G51" s="25"/>
      <c r="H51" s="50"/>
      <c r="I51" s="420"/>
      <c r="J51" s="420"/>
      <c r="K51" s="868" t="s">
        <v>2757</v>
      </c>
      <c r="L51" s="868"/>
      <c r="M51" s="868"/>
      <c r="N51" s="868"/>
      <c r="O51" s="868"/>
      <c r="P51" s="868"/>
      <c r="Q51" s="868"/>
      <c r="R51" s="25"/>
      <c r="S51" s="25"/>
      <c r="T51" s="25"/>
      <c r="U51" s="25"/>
      <c r="V51" s="25"/>
      <c r="W51" s="25"/>
      <c r="X51" s="25"/>
      <c r="Y51" s="25"/>
      <c r="Z51" s="168"/>
      <c r="AA51" s="168"/>
      <c r="AB51" s="168"/>
      <c r="AC51" s="168"/>
      <c r="AD51" s="185" t="s">
        <v>2764</v>
      </c>
      <c r="AE51" s="371" t="s">
        <v>142</v>
      </c>
      <c r="AF51" s="856" t="str">
        <f>IF(AK51=FALSE,IF(AND('Retro HVAC Worksheet'!BM126&gt;0,'Retro HVAC Worksheet'!BH132&lt;&gt;""),IF($AO$1="OR","ID Only","Chk Box"),""),IF($AO$1="OR", "ID Only",'Retro HVAC Worksheet'!BH132))</f>
        <v/>
      </c>
      <c r="AG51" s="856"/>
      <c r="AH51" s="856"/>
      <c r="AI51" s="181"/>
      <c r="AJ51" s="25"/>
      <c r="AK51" s="187" t="b">
        <v>0</v>
      </c>
      <c r="AL51" s="9"/>
      <c r="AM51" s="187">
        <f t="shared" si="10"/>
        <v>0</v>
      </c>
      <c r="AN51" s="187">
        <f t="shared" si="11"/>
        <v>0</v>
      </c>
      <c r="AO51" s="187">
        <f>IF(AF51="Chk Box",0,'Retro HVAC Worksheet'!BV132)</f>
        <v>0</v>
      </c>
      <c r="AP51" s="187">
        <f>IF(AF51="Chk Box",0,'Retro HVAC Worksheet'!BW132)</f>
        <v>0</v>
      </c>
      <c r="AQ51" s="396" t="s">
        <v>2494</v>
      </c>
      <c r="AR51" s="396"/>
      <c r="AS51" s="396"/>
      <c r="AT51" s="396">
        <f t="shared" si="12"/>
        <v>0</v>
      </c>
      <c r="AU51" s="396" t="str">
        <f t="shared" si="13"/>
        <v/>
      </c>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686"/>
      <c r="CB51" s="686"/>
      <c r="CC51" s="686"/>
      <c r="CD51" s="686"/>
      <c r="CE51" s="686"/>
      <c r="CF51" s="686"/>
      <c r="CG51" s="686"/>
      <c r="CH51" s="686"/>
      <c r="CI51" s="686"/>
      <c r="CJ51" s="686"/>
      <c r="CK51" s="686"/>
      <c r="CL51" s="686"/>
      <c r="CM51" s="686"/>
      <c r="CN51" s="686"/>
      <c r="CO51" s="686"/>
      <c r="CP51" s="686"/>
      <c r="CQ51" s="686"/>
      <c r="CR51" s="686"/>
      <c r="CS51" s="686"/>
      <c r="CT51" s="686"/>
      <c r="CU51" s="686"/>
      <c r="CV51" s="686"/>
      <c r="CW51" s="686"/>
      <c r="CX51" s="686"/>
      <c r="CY51" s="686"/>
      <c r="CZ51" s="686"/>
      <c r="DA51" s="686"/>
      <c r="DB51" s="686"/>
      <c r="DC51" s="686"/>
    </row>
    <row r="52" spans="1:266" ht="12.75" customHeight="1">
      <c r="A52" s="25"/>
      <c r="B52" s="555"/>
      <c r="C52" s="332" t="s">
        <v>2765</v>
      </c>
      <c r="D52" s="157"/>
      <c r="E52" s="157"/>
      <c r="F52" s="25"/>
      <c r="G52" s="25"/>
      <c r="H52" s="50"/>
      <c r="I52" s="25"/>
      <c r="J52" s="25"/>
      <c r="K52" s="25"/>
      <c r="L52" s="25"/>
      <c r="M52" s="25"/>
      <c r="N52" s="158" t="s">
        <v>2766</v>
      </c>
      <c r="O52" s="850"/>
      <c r="P52" s="851"/>
      <c r="Q52" s="159" t="s">
        <v>2562</v>
      </c>
      <c r="R52" s="25"/>
      <c r="S52" s="25"/>
      <c r="T52" s="43"/>
      <c r="U52" s="185"/>
      <c r="V52" s="158" t="s">
        <v>2767</v>
      </c>
      <c r="W52" s="850"/>
      <c r="X52" s="851"/>
      <c r="Y52" s="159" t="s">
        <v>2562</v>
      </c>
      <c r="Z52" s="168"/>
      <c r="AA52" s="168"/>
      <c r="AB52" s="168"/>
      <c r="AC52" s="168"/>
      <c r="AD52" s="185" t="s">
        <v>3321</v>
      </c>
      <c r="AE52" s="371" t="s">
        <v>142</v>
      </c>
      <c r="AF52" s="855" t="str">
        <f>IF(AK52=FALSE,IF(AND(O52="",W52=""),"","Chk Box"),IF(AND(O52="",W52=""),0,(O52*100)+(W52*50)))</f>
        <v/>
      </c>
      <c r="AG52" s="855"/>
      <c r="AH52" s="855"/>
      <c r="AI52" s="181"/>
      <c r="AJ52" s="25"/>
      <c r="AK52" s="187" t="b">
        <v>0</v>
      </c>
      <c r="AL52" s="9"/>
      <c r="AM52" s="556">
        <f t="shared" si="10"/>
        <v>0</v>
      </c>
      <c r="AN52" s="556">
        <f t="shared" si="11"/>
        <v>0</v>
      </c>
      <c r="AO52" s="556">
        <f>IF(AF52="Chk Box",0,IF(AF52&gt;1,W52*279,0))</f>
        <v>0</v>
      </c>
      <c r="AP52" s="556">
        <f>IF(AF52="Chk Box",0,IF(AF52&gt;1,W52*0.013,0))</f>
        <v>0</v>
      </c>
      <c r="AQ52" s="395" t="s">
        <v>2494</v>
      </c>
      <c r="AR52" s="395"/>
      <c r="AS52" s="395"/>
      <c r="AT52" s="395">
        <f>IF($AQ52="HVAC",$AO52,0)</f>
        <v>0</v>
      </c>
      <c r="AU52" s="395" t="str">
        <f t="shared" si="13"/>
        <v/>
      </c>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row>
    <row r="53" spans="1:266" s="5" customFormat="1" ht="15" hidden="1" customHeight="1">
      <c r="A53" s="25"/>
      <c r="B53" s="555"/>
      <c r="C53" s="154" t="s">
        <v>2564</v>
      </c>
      <c r="D53" s="157"/>
      <c r="E53" s="157"/>
      <c r="F53" s="25"/>
      <c r="G53" s="25"/>
      <c r="H53" s="50"/>
      <c r="I53" s="25"/>
      <c r="J53" s="25"/>
      <c r="K53" s="25"/>
      <c r="L53" s="25"/>
      <c r="M53" s="25"/>
      <c r="N53" s="25"/>
      <c r="O53" s="25"/>
      <c r="P53" s="25"/>
      <c r="Q53" s="25"/>
      <c r="R53" s="25"/>
      <c r="S53" s="25"/>
      <c r="T53" s="43"/>
      <c r="U53" s="185"/>
      <c r="V53" s="158" t="s">
        <v>2561</v>
      </c>
      <c r="W53" s="850"/>
      <c r="X53" s="851"/>
      <c r="Y53" s="159" t="s">
        <v>2562</v>
      </c>
      <c r="Z53" s="168"/>
      <c r="AA53" s="168"/>
      <c r="AB53" s="168"/>
      <c r="AC53" s="168"/>
      <c r="AD53" s="185" t="s">
        <v>2565</v>
      </c>
      <c r="AE53" s="371" t="s">
        <v>142</v>
      </c>
      <c r="AF53" s="856" t="str">
        <f>IF(AK53=FALSE,IF(W53="","",IF($AO$1="OR","ID Only","Chk Box")),IF($AO$1="OR","ID Only",IF(W53="",0,W53*50)))</f>
        <v/>
      </c>
      <c r="AG53" s="856"/>
      <c r="AH53" s="856"/>
      <c r="AI53" s="181"/>
      <c r="AJ53" s="25"/>
      <c r="AK53" s="187" t="b">
        <v>0</v>
      </c>
      <c r="AL53" s="9"/>
      <c r="AM53" s="556">
        <f>IFERROR(IF($AQ53="",AO53,IF($AS53="",(VLOOKUP($AU53,StackingEffects,2,FALSE)*AT53),(VLOOKUP($AS53,StackingEffects,2,FALSE)*AR53))),0)</f>
        <v>0</v>
      </c>
      <c r="AN53" s="556">
        <f t="shared" si="11"/>
        <v>0</v>
      </c>
      <c r="AO53" s="556">
        <f>IF(OR(AF53="Chk Box",AF53="ID Only"),0,IF(AF53&gt;1,W53*153,0))</f>
        <v>0</v>
      </c>
      <c r="AP53" s="556">
        <f>IF(AF53="Chk Box",0,IF(AF53&gt;1,W53*0,0))</f>
        <v>0</v>
      </c>
      <c r="AQ53" s="395" t="s">
        <v>2494</v>
      </c>
      <c r="AR53" s="395"/>
      <c r="AS53" s="395"/>
      <c r="AT53" s="395">
        <f t="shared" si="12"/>
        <v>0</v>
      </c>
      <c r="AU53" s="395" t="str">
        <f t="shared" si="13"/>
        <v/>
      </c>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686"/>
      <c r="CB53" s="686"/>
      <c r="CC53" s="686"/>
      <c r="CD53" s="686"/>
      <c r="CE53" s="686"/>
      <c r="CF53" s="686"/>
      <c r="CG53" s="686"/>
      <c r="CH53" s="686"/>
      <c r="CI53" s="686"/>
      <c r="CJ53" s="686"/>
      <c r="CK53" s="686"/>
      <c r="CL53" s="686"/>
      <c r="CM53" s="686"/>
      <c r="CN53" s="686"/>
      <c r="CO53" s="686"/>
      <c r="CP53" s="686"/>
      <c r="CQ53" s="686"/>
      <c r="CR53" s="686"/>
      <c r="CS53" s="686"/>
      <c r="CT53" s="686"/>
      <c r="CU53" s="686"/>
      <c r="CV53" s="686"/>
      <c r="CW53" s="686"/>
      <c r="CX53" s="686"/>
      <c r="CY53" s="686"/>
      <c r="CZ53" s="686"/>
      <c r="DA53" s="686"/>
      <c r="DB53" s="686"/>
      <c r="DC53" s="686"/>
    </row>
    <row r="54" spans="1:266" ht="12.75" hidden="1" customHeight="1">
      <c r="A54" s="25"/>
      <c r="B54" s="555"/>
      <c r="C54" s="332" t="s">
        <v>2566</v>
      </c>
      <c r="D54" s="157"/>
      <c r="E54" s="157"/>
      <c r="F54" s="25"/>
      <c r="G54" s="25"/>
      <c r="H54" s="50"/>
      <c r="I54" s="25"/>
      <c r="J54" s="25"/>
      <c r="K54" s="25"/>
      <c r="L54" s="25"/>
      <c r="M54" s="25"/>
      <c r="N54" s="25"/>
      <c r="O54" s="25"/>
      <c r="P54" s="25"/>
      <c r="Q54" s="25"/>
      <c r="R54" s="25"/>
      <c r="S54" s="25"/>
      <c r="T54" s="43"/>
      <c r="U54" s="185"/>
      <c r="V54" s="158" t="s">
        <v>2561</v>
      </c>
      <c r="W54" s="850"/>
      <c r="X54" s="851"/>
      <c r="Y54" s="159" t="s">
        <v>2562</v>
      </c>
      <c r="Z54" s="168"/>
      <c r="AA54" s="168"/>
      <c r="AB54" s="168"/>
      <c r="AC54" s="168"/>
      <c r="AD54" s="185" t="s">
        <v>2567</v>
      </c>
      <c r="AE54" s="371" t="s">
        <v>142</v>
      </c>
      <c r="AF54" s="856" t="str">
        <f>IF(AK54=FALSE,IF(W54="","",IF($AO$1="OR","ID Only","Chk Box")),IF($AO$1="OR","ID Only",IF(W54="",0,W54*200)))</f>
        <v/>
      </c>
      <c r="AG54" s="856"/>
      <c r="AH54" s="856"/>
      <c r="AI54" s="181"/>
      <c r="AJ54" s="25"/>
      <c r="AK54" s="187" t="b">
        <v>0</v>
      </c>
      <c r="AL54" s="9"/>
      <c r="AM54" s="556">
        <f t="shared" ref="AM54" si="14">IFERROR(IF($AQ54="",AO54,IF($AS54="",(VLOOKUP($AU54,StackingEffects,2,FALSE)*AT54),(VLOOKUP($AS54,StackingEffects,2,FALSE)*AR54))),0)</f>
        <v>0</v>
      </c>
      <c r="AN54" s="556">
        <f t="shared" si="11"/>
        <v>0</v>
      </c>
      <c r="AO54" s="556">
        <f>IF(OR(AF54="Chk Box",AF54="ID Only"),0,IF(AF54&gt;1,W54*315,0))</f>
        <v>0</v>
      </c>
      <c r="AP54" s="556">
        <f>IF(AF54="Chk Box",0,IF(AF54&gt;1,W54*0.23,0))</f>
        <v>0</v>
      </c>
      <c r="AQ54" s="395" t="s">
        <v>2494</v>
      </c>
      <c r="AR54" s="395"/>
      <c r="AS54" s="395"/>
      <c r="AT54" s="395">
        <f t="shared" si="12"/>
        <v>0</v>
      </c>
      <c r="AU54" s="395" t="str">
        <f t="shared" si="13"/>
        <v/>
      </c>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row>
    <row r="55" spans="1:266" s="5" customFormat="1" ht="15" hidden="1" customHeight="1">
      <c r="A55" s="25"/>
      <c r="B55" s="555"/>
      <c r="C55" s="332" t="s">
        <v>2568</v>
      </c>
      <c r="D55" s="157"/>
      <c r="E55" s="157"/>
      <c r="F55" s="25"/>
      <c r="G55" s="25"/>
      <c r="H55" s="50"/>
      <c r="I55" s="25"/>
      <c r="J55" s="25"/>
      <c r="K55" s="25"/>
      <c r="L55" s="25"/>
      <c r="M55" s="25"/>
      <c r="N55" s="25"/>
      <c r="O55" s="25"/>
      <c r="P55" s="25"/>
      <c r="Q55" s="25"/>
      <c r="R55" s="25"/>
      <c r="S55" s="25"/>
      <c r="T55" s="43"/>
      <c r="U55" s="185"/>
      <c r="V55" s="158" t="s">
        <v>2561</v>
      </c>
      <c r="W55" s="850"/>
      <c r="X55" s="851"/>
      <c r="Y55" s="159" t="s">
        <v>2562</v>
      </c>
      <c r="Z55" s="168"/>
      <c r="AA55" s="168"/>
      <c r="AB55" s="168"/>
      <c r="AC55" s="168"/>
      <c r="AD55" s="185" t="s">
        <v>2569</v>
      </c>
      <c r="AE55" s="371" t="s">
        <v>142</v>
      </c>
      <c r="AF55" s="856" t="str">
        <f>IF(AK55=FALSE,IF(W55="","",IF($AO$1="OR","ID Only","Chk Box")),IF($AO$1="OR","ID Only",IF(W55="",0,W55*130)))</f>
        <v/>
      </c>
      <c r="AG55" s="856"/>
      <c r="AH55" s="856"/>
      <c r="AI55" s="181"/>
      <c r="AJ55" s="25"/>
      <c r="AK55" s="187" t="b">
        <v>0</v>
      </c>
      <c r="AL55" s="9"/>
      <c r="AM55" s="556">
        <f t="shared" si="10"/>
        <v>0</v>
      </c>
      <c r="AN55" s="556">
        <f t="shared" si="11"/>
        <v>0</v>
      </c>
      <c r="AO55" s="556">
        <f>IF(OR(AF55="Chk Box",AF55="ID Only"),0,IF(AF55&gt;1,W55*225,0))</f>
        <v>0</v>
      </c>
      <c r="AP55" s="556">
        <f>IF(AF55="Chk Box",0,IF(AF55&gt;1,W55*0.2,0))</f>
        <v>0</v>
      </c>
      <c r="AQ55" s="395" t="s">
        <v>2494</v>
      </c>
      <c r="AR55" s="395"/>
      <c r="AS55" s="395"/>
      <c r="AT55" s="395">
        <f t="shared" si="12"/>
        <v>0</v>
      </c>
      <c r="AU55" s="395" t="str">
        <f t="shared" si="13"/>
        <v/>
      </c>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686"/>
      <c r="CB55" s="686"/>
      <c r="CC55" s="686"/>
      <c r="CD55" s="686"/>
      <c r="CE55" s="686"/>
      <c r="CF55" s="686"/>
      <c r="CG55" s="686"/>
      <c r="CH55" s="686"/>
      <c r="CI55" s="686"/>
      <c r="CJ55" s="686"/>
      <c r="CK55" s="686"/>
      <c r="CL55" s="686"/>
      <c r="CM55" s="686"/>
      <c r="CN55" s="686"/>
      <c r="CO55" s="686"/>
      <c r="CP55" s="686"/>
      <c r="CQ55" s="686"/>
      <c r="CR55" s="686"/>
      <c r="CS55" s="686"/>
      <c r="CT55" s="686"/>
      <c r="CU55" s="686"/>
      <c r="CV55" s="686"/>
      <c r="CW55" s="686"/>
      <c r="CX55" s="686"/>
      <c r="CY55" s="686"/>
      <c r="CZ55" s="686"/>
      <c r="DA55" s="686"/>
      <c r="DB55" s="686"/>
      <c r="DC55" s="686"/>
    </row>
    <row r="56" spans="1:266" ht="12.75" customHeight="1">
      <c r="A56" s="25"/>
      <c r="B56" s="555"/>
      <c r="C56" s="332" t="s">
        <v>2768</v>
      </c>
      <c r="D56" s="157"/>
      <c r="E56" s="157"/>
      <c r="F56" s="25"/>
      <c r="G56" s="25"/>
      <c r="H56" s="50"/>
      <c r="I56" s="25"/>
      <c r="J56" s="25"/>
      <c r="K56" s="25"/>
      <c r="L56" s="25"/>
      <c r="M56" s="25"/>
      <c r="N56" s="25"/>
      <c r="O56" s="25"/>
      <c r="P56" s="25"/>
      <c r="Q56" s="25"/>
      <c r="R56" s="25"/>
      <c r="S56" s="25"/>
      <c r="T56" s="43"/>
      <c r="U56" s="185"/>
      <c r="V56" s="158" t="s">
        <v>2547</v>
      </c>
      <c r="W56" s="850"/>
      <c r="X56" s="851"/>
      <c r="Y56" s="159" t="s">
        <v>2571</v>
      </c>
      <c r="Z56" s="168"/>
      <c r="AA56" s="168"/>
      <c r="AB56" s="168"/>
      <c r="AC56" s="168"/>
      <c r="AD56" s="185" t="s">
        <v>2572</v>
      </c>
      <c r="AE56" s="371" t="s">
        <v>142</v>
      </c>
      <c r="AF56" s="856" t="str">
        <f>IF(AK56=FALSE,IF(W56="","","Chk Box"),IF(W56="",0,W56*2000))</f>
        <v/>
      </c>
      <c r="AG56" s="856"/>
      <c r="AH56" s="856"/>
      <c r="AI56" s="181"/>
      <c r="AJ56" s="25"/>
      <c r="AK56" s="187" t="b">
        <v>0</v>
      </c>
      <c r="AL56" s="9"/>
      <c r="AM56" s="556">
        <f t="shared" si="10"/>
        <v>0</v>
      </c>
      <c r="AN56" s="556">
        <f t="shared" si="11"/>
        <v>0</v>
      </c>
      <c r="AO56" s="556">
        <f>IF(AF56="Chk Box",0,IF(AF56&gt;1,W56*16732.5,0))</f>
        <v>0</v>
      </c>
      <c r="AP56" s="556">
        <f>IF(AF56="Chk Box",0,IF(AF56&gt;1,W56*4.395,0))</f>
        <v>0</v>
      </c>
      <c r="AQ56" s="400"/>
      <c r="AR56" s="400"/>
      <c r="AS56" s="400"/>
      <c r="AT56" s="400"/>
      <c r="AU56" s="400" t="str">
        <f>IF($AT56=0,"",_xlfn.RANK.EQ($AT56,$AT$34:$AT$70,0))</f>
        <v/>
      </c>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row>
    <row r="57" spans="1:266" s="5" customFormat="1" ht="15" hidden="1" customHeight="1">
      <c r="A57" s="25"/>
      <c r="B57" s="555"/>
      <c r="C57" s="561" t="s">
        <v>2573</v>
      </c>
      <c r="D57" s="157"/>
      <c r="E57" s="157"/>
      <c r="F57" s="25"/>
      <c r="G57" s="25"/>
      <c r="H57" s="50"/>
      <c r="I57" s="25"/>
      <c r="J57" s="25"/>
      <c r="K57" s="25"/>
      <c r="L57" s="25"/>
      <c r="M57" s="25"/>
      <c r="N57" s="25"/>
      <c r="O57" s="25"/>
      <c r="P57" s="25"/>
      <c r="Q57" s="25"/>
      <c r="R57" s="25"/>
      <c r="S57" s="25"/>
      <c r="T57" s="43"/>
      <c r="U57" s="185"/>
      <c r="V57" s="158" t="s">
        <v>2561</v>
      </c>
      <c r="W57" s="850"/>
      <c r="X57" s="851"/>
      <c r="Y57" s="159" t="s">
        <v>2562</v>
      </c>
      <c r="Z57" s="168"/>
      <c r="AA57" s="168"/>
      <c r="AB57" s="168"/>
      <c r="AC57" s="168"/>
      <c r="AD57" s="185" t="s">
        <v>2574</v>
      </c>
      <c r="AE57" s="371" t="s">
        <v>142</v>
      </c>
      <c r="AF57" s="856" t="str">
        <f>IF(AK57=FALSE,IF(W57="","",IF($AO$1="OR","ID Only","Chk Box")),IF($AO$1="OR","ID Only",IF(W57="",0,W57*30)))</f>
        <v/>
      </c>
      <c r="AG57" s="856"/>
      <c r="AH57" s="856"/>
      <c r="AI57" s="181"/>
      <c r="AJ57" s="25"/>
      <c r="AK57" s="187" t="b">
        <v>0</v>
      </c>
      <c r="AL57" s="9"/>
      <c r="AM57" s="556">
        <f t="shared" si="10"/>
        <v>0</v>
      </c>
      <c r="AN57" s="556">
        <f t="shared" si="11"/>
        <v>0</v>
      </c>
      <c r="AO57" s="556">
        <f>IF(OR(AF57="Chk Box",AF57="ID Only"),0,IF(AF57&gt;1,W57*63,0))</f>
        <v>0</v>
      </c>
      <c r="AP57" s="556">
        <f>IF(AF57="Chk Box",0,IF(AF57&gt;1,W57*0.05,0))</f>
        <v>0</v>
      </c>
      <c r="AQ57" s="395" t="s">
        <v>2494</v>
      </c>
      <c r="AR57" s="395"/>
      <c r="AS57" s="395"/>
      <c r="AT57" s="395">
        <f>IF($AQ57="HVAC",$AO57,0)</f>
        <v>0</v>
      </c>
      <c r="AU57" s="395" t="str">
        <f>IF($AT57=0,"",_xlfn.RANK.EQ($AT57,$AT$34:$AT$84,0))</f>
        <v/>
      </c>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686"/>
      <c r="CB57" s="686"/>
      <c r="CC57" s="686"/>
      <c r="CD57" s="686"/>
      <c r="CE57" s="686"/>
      <c r="CF57" s="686"/>
      <c r="CG57" s="686"/>
      <c r="CH57" s="686"/>
      <c r="CI57" s="686"/>
      <c r="CJ57" s="686"/>
      <c r="CK57" s="686"/>
      <c r="CL57" s="686"/>
      <c r="CM57" s="686"/>
      <c r="CN57" s="686"/>
      <c r="CO57" s="686"/>
      <c r="CP57" s="686"/>
      <c r="CQ57" s="686"/>
      <c r="CR57" s="686"/>
      <c r="CS57" s="686"/>
      <c r="CT57" s="686"/>
      <c r="CU57" s="686"/>
      <c r="CV57" s="686"/>
      <c r="CW57" s="686"/>
      <c r="CX57" s="686"/>
      <c r="CY57" s="686"/>
      <c r="CZ57" s="686"/>
      <c r="DA57" s="686"/>
      <c r="DB57" s="686"/>
      <c r="DC57" s="686"/>
    </row>
    <row r="58" spans="1:266" ht="12.75" customHeight="1">
      <c r="A58" s="25"/>
      <c r="B58" s="186"/>
      <c r="C58" s="167"/>
      <c r="D58" s="167"/>
      <c r="E58" s="167"/>
      <c r="F58" s="167"/>
      <c r="G58" s="167"/>
      <c r="H58" s="167"/>
      <c r="I58" s="167"/>
      <c r="J58" s="167"/>
      <c r="K58" s="167"/>
      <c r="L58" s="167"/>
      <c r="M58" s="167"/>
      <c r="N58" s="167"/>
      <c r="O58" s="167"/>
      <c r="P58" s="167"/>
      <c r="Q58" s="167"/>
      <c r="R58" s="167"/>
      <c r="S58" s="387"/>
      <c r="T58" s="384"/>
      <c r="U58" s="384"/>
      <c r="V58" s="191"/>
      <c r="W58" s="191"/>
      <c r="X58" s="191"/>
      <c r="Y58" s="191"/>
      <c r="Z58" s="191"/>
      <c r="AA58" s="191"/>
      <c r="AB58" s="191"/>
      <c r="AC58" s="191"/>
      <c r="AD58" s="384"/>
      <c r="AE58" s="384"/>
      <c r="AF58" s="384"/>
      <c r="AG58" s="167"/>
      <c r="AH58" s="167"/>
      <c r="AI58" s="558"/>
      <c r="AJ58" s="196"/>
      <c r="AM58" s="10"/>
      <c r="AN58" s="10"/>
      <c r="AO58" s="10"/>
      <c r="AP58" s="10"/>
      <c r="AQ58" s="10"/>
      <c r="AR58" s="10"/>
      <c r="AS58" s="10"/>
      <c r="AT58" s="10"/>
      <c r="AU58" s="10"/>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row>
    <row r="59" spans="1:266" ht="30" customHeight="1">
      <c r="A59" s="25"/>
      <c r="B59" s="25"/>
      <c r="C59" s="157"/>
      <c r="D59" s="157"/>
      <c r="E59" s="157"/>
      <c r="F59" s="157"/>
      <c r="G59" s="157"/>
      <c r="H59" s="157"/>
      <c r="I59" s="157"/>
      <c r="J59" s="157"/>
      <c r="K59" s="157"/>
      <c r="L59" s="157"/>
      <c r="M59" s="157"/>
      <c r="N59" s="157"/>
      <c r="O59" s="157"/>
      <c r="P59" s="157"/>
      <c r="Q59" s="157"/>
      <c r="R59" s="157"/>
      <c r="S59" s="43"/>
      <c r="T59" s="43"/>
      <c r="U59" s="43"/>
      <c r="V59" s="168"/>
      <c r="W59" s="168"/>
      <c r="X59" s="168"/>
      <c r="Y59" s="168"/>
      <c r="Z59" s="168"/>
      <c r="AA59" s="168"/>
      <c r="AB59" s="168"/>
      <c r="AC59" s="168"/>
      <c r="AD59" s="43"/>
      <c r="AE59" s="43"/>
      <c r="AF59" s="43"/>
      <c r="AG59" s="157"/>
      <c r="AH59" s="157"/>
      <c r="AI59" s="43"/>
      <c r="AJ59" s="25"/>
      <c r="AK59" s="9"/>
      <c r="AL59" s="9"/>
      <c r="AM59" s="10"/>
      <c r="AN59" s="10"/>
      <c r="AO59" s="10"/>
      <c r="AP59" s="10"/>
      <c r="AQ59" s="10"/>
      <c r="AR59" s="10"/>
      <c r="AS59" s="10"/>
      <c r="AT59" s="10"/>
      <c r="AU59" s="1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687"/>
      <c r="CB59" s="687"/>
      <c r="CC59" s="687"/>
      <c r="CD59" s="687"/>
      <c r="CE59" s="687"/>
      <c r="CF59" s="687"/>
      <c r="CG59" s="687"/>
      <c r="CH59" s="687"/>
      <c r="CI59" s="687"/>
      <c r="CJ59" s="687"/>
      <c r="CK59" s="687"/>
      <c r="CL59" s="687"/>
      <c r="CM59" s="687"/>
      <c r="CN59" s="687"/>
      <c r="CO59" s="687"/>
      <c r="CP59" s="687"/>
      <c r="CQ59" s="687"/>
      <c r="CR59" s="687"/>
      <c r="CS59" s="687"/>
      <c r="CT59" s="687"/>
      <c r="CU59" s="687"/>
      <c r="CV59" s="687"/>
      <c r="CW59" s="687"/>
      <c r="CX59" s="687"/>
      <c r="CY59" s="687"/>
      <c r="CZ59" s="687"/>
      <c r="DA59" s="687"/>
      <c r="DB59" s="687"/>
      <c r="DC59" s="687"/>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row>
    <row r="60" spans="1:266" ht="12.75" customHeight="1">
      <c r="A60" s="25"/>
      <c r="B60" s="41" t="s">
        <v>2575</v>
      </c>
      <c r="C60" s="31"/>
      <c r="D60" s="31"/>
      <c r="E60" s="31"/>
      <c r="F60" s="31"/>
      <c r="G60" s="31"/>
      <c r="H60" s="31"/>
      <c r="I60" s="31"/>
      <c r="J60" s="31"/>
      <c r="K60" s="31"/>
      <c r="L60" s="31"/>
      <c r="M60" s="31"/>
      <c r="N60" s="31"/>
      <c r="O60" s="31"/>
      <c r="P60" s="31"/>
      <c r="Q60" s="31"/>
      <c r="R60" s="31"/>
      <c r="S60" s="31"/>
      <c r="T60" s="43"/>
      <c r="U60" s="31"/>
      <c r="V60" s="168"/>
      <c r="W60" s="168"/>
      <c r="X60" s="168"/>
      <c r="Y60" s="168"/>
      <c r="Z60" s="168"/>
      <c r="AA60" s="168"/>
      <c r="AB60" s="168"/>
      <c r="AC60" s="168"/>
      <c r="AD60" s="31"/>
      <c r="AE60" s="31"/>
      <c r="AF60" s="42"/>
      <c r="AG60" s="157"/>
      <c r="AH60" s="157"/>
      <c r="AI60" s="31"/>
      <c r="AJ60" s="197"/>
      <c r="AK60" s="9"/>
      <c r="AL60" s="9"/>
      <c r="AM60" s="847" t="s">
        <v>2481</v>
      </c>
      <c r="AN60" s="847"/>
      <c r="AO60" s="736" t="s">
        <v>2482</v>
      </c>
      <c r="AP60" s="736"/>
      <c r="AQ60" s="736"/>
      <c r="AR60" s="736"/>
      <c r="AS60" s="736"/>
      <c r="AT60" s="736"/>
      <c r="AU60" s="736"/>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row>
    <row r="61" spans="1:266" ht="15" customHeight="1">
      <c r="A61" s="25"/>
      <c r="B61" s="550"/>
      <c r="C61" s="176"/>
      <c r="D61" s="176"/>
      <c r="E61" s="176"/>
      <c r="F61" s="551"/>
      <c r="G61" s="551"/>
      <c r="H61" s="551"/>
      <c r="I61" s="552"/>
      <c r="J61" s="553"/>
      <c r="K61" s="553"/>
      <c r="L61" s="553"/>
      <c r="M61" s="192"/>
      <c r="N61" s="192"/>
      <c r="O61" s="192"/>
      <c r="P61" s="192"/>
      <c r="Q61" s="182"/>
      <c r="R61" s="182"/>
      <c r="S61" s="182"/>
      <c r="T61" s="182"/>
      <c r="U61" s="552"/>
      <c r="V61" s="193"/>
      <c r="W61" s="193"/>
      <c r="X61" s="193"/>
      <c r="Y61" s="193"/>
      <c r="Z61" s="193"/>
      <c r="AA61" s="193"/>
      <c r="AB61" s="193"/>
      <c r="AC61" s="193"/>
      <c r="AD61" s="176"/>
      <c r="AE61" s="552"/>
      <c r="AF61" s="356" t="s">
        <v>2483</v>
      </c>
      <c r="AG61" s="356"/>
      <c r="AH61" s="356"/>
      <c r="AI61" s="27"/>
      <c r="AJ61" s="30"/>
      <c r="AK61" s="9"/>
      <c r="AL61" s="9"/>
      <c r="AM61" s="10" t="s">
        <v>2484</v>
      </c>
      <c r="AN61" s="10" t="s">
        <v>2485</v>
      </c>
      <c r="AO61" s="10" t="s">
        <v>2486</v>
      </c>
      <c r="AP61" s="10" t="s">
        <v>2487</v>
      </c>
      <c r="AQ61" s="10" t="s">
        <v>2488</v>
      </c>
      <c r="AR61" s="10"/>
      <c r="AS61" s="10"/>
      <c r="AT61" s="10" t="s">
        <v>2532</v>
      </c>
      <c r="AU61" s="10" t="s">
        <v>2490</v>
      </c>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row>
    <row r="62" spans="1:266" s="5" customFormat="1" ht="12.75" customHeight="1">
      <c r="A62" s="25"/>
      <c r="B62" s="555"/>
      <c r="C62" s="157" t="s">
        <v>2769</v>
      </c>
      <c r="D62" s="157"/>
      <c r="E62" s="157"/>
      <c r="F62" s="333"/>
      <c r="G62" s="157"/>
      <c r="H62" s="370"/>
      <c r="I62" s="157"/>
      <c r="J62" s="333"/>
      <c r="K62" s="333"/>
      <c r="L62" s="333"/>
      <c r="M62" s="157"/>
      <c r="N62" s="31"/>
      <c r="O62" s="31"/>
      <c r="P62" s="31"/>
      <c r="Q62" s="43"/>
      <c r="R62" s="43"/>
      <c r="S62" s="43"/>
      <c r="T62" s="43"/>
      <c r="U62" s="185"/>
      <c r="V62" s="158" t="s">
        <v>2507</v>
      </c>
      <c r="W62" s="850"/>
      <c r="X62" s="851"/>
      <c r="Y62" s="159" t="s">
        <v>2508</v>
      </c>
      <c r="Z62" s="168"/>
      <c r="AA62" s="168"/>
      <c r="AB62" s="168"/>
      <c r="AC62" s="168"/>
      <c r="AD62" s="185" t="s">
        <v>2509</v>
      </c>
      <c r="AE62" s="371" t="s">
        <v>142</v>
      </c>
      <c r="AF62" s="855" t="str">
        <f>IF(AK62=FALSE,IF(W62="","","Chk Box"),IF(W62="",0,W62*0.05))</f>
        <v/>
      </c>
      <c r="AG62" s="855"/>
      <c r="AH62" s="855"/>
      <c r="AI62" s="181"/>
      <c r="AJ62" s="30"/>
      <c r="AK62" s="187" t="b">
        <v>0</v>
      </c>
      <c r="AL62" s="9"/>
      <c r="AM62" s="556">
        <f>IFERROR(IF($AQ62="",AO62,IF($AS62="",(VLOOKUP($AU62,StackingEffects,2,FALSE)*AT62),(VLOOKUP($AS62,StackingEffects,2,FALSE)*AR62))),0)</f>
        <v>0</v>
      </c>
      <c r="AN62" s="556">
        <f>IFERROR(IF($AQ62="",AP62,IF($AS62="",(VLOOKUP($AU62,StackingEffects,2,FALSE)*AP62),(VLOOKUP($AS62,StackingEffects,2,FALSE)*AP62))),0)</f>
        <v>0</v>
      </c>
      <c r="AO62" s="556">
        <f>IF(AF62="Chk Box",0,IF(AF62&gt;1,W62*0.116))</f>
        <v>0</v>
      </c>
      <c r="AP62" s="556">
        <f>IF(AF62="Chk Box",0,IF(AF62&gt;1,W62*0.000095,0))</f>
        <v>0</v>
      </c>
      <c r="AQ62" s="395" t="s">
        <v>2494</v>
      </c>
      <c r="AR62" s="400"/>
      <c r="AS62" s="400"/>
      <c r="AT62" s="395">
        <f>IF($AQ62="HVAC",$AO62,0)</f>
        <v>0</v>
      </c>
      <c r="AU62" s="395" t="str">
        <f>IF($AT62=0,"",_xlfn.RANK.EQ($AT62,$AT$34:$AT$84,0))</f>
        <v/>
      </c>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686"/>
      <c r="CB62" s="686"/>
      <c r="CC62" s="686"/>
      <c r="CD62" s="686"/>
      <c r="CE62" s="686"/>
      <c r="CF62" s="686"/>
      <c r="CG62" s="686"/>
      <c r="CH62" s="686"/>
      <c r="CI62" s="686"/>
      <c r="CJ62" s="686"/>
      <c r="CK62" s="686"/>
      <c r="CL62" s="686"/>
      <c r="CM62" s="686"/>
      <c r="CN62" s="686"/>
      <c r="CO62" s="686"/>
      <c r="CP62" s="686"/>
      <c r="CQ62" s="686"/>
      <c r="CR62" s="686"/>
      <c r="CS62" s="686"/>
      <c r="CT62" s="686"/>
      <c r="CU62" s="686"/>
      <c r="CV62" s="686"/>
      <c r="CW62" s="686"/>
      <c r="CX62" s="686"/>
      <c r="CY62" s="686"/>
      <c r="CZ62" s="686"/>
      <c r="DA62" s="686"/>
      <c r="DB62" s="686"/>
      <c r="DC62" s="686"/>
    </row>
    <row r="63" spans="1:266" ht="15" customHeight="1">
      <c r="A63" s="25"/>
      <c r="B63" s="186"/>
      <c r="C63" s="167"/>
      <c r="D63" s="167"/>
      <c r="E63" s="167"/>
      <c r="F63" s="557"/>
      <c r="G63" s="167"/>
      <c r="H63" s="167"/>
      <c r="I63" s="167"/>
      <c r="J63" s="167"/>
      <c r="K63" s="167"/>
      <c r="L63" s="167"/>
      <c r="M63" s="167"/>
      <c r="N63" s="167"/>
      <c r="O63" s="167"/>
      <c r="P63" s="167"/>
      <c r="Q63" s="167"/>
      <c r="R63" s="167"/>
      <c r="S63" s="167"/>
      <c r="T63" s="384"/>
      <c r="U63" s="384"/>
      <c r="V63" s="191"/>
      <c r="W63" s="191"/>
      <c r="X63" s="191"/>
      <c r="Y63" s="191"/>
      <c r="Z63" s="191"/>
      <c r="AA63" s="191"/>
      <c r="AB63" s="191"/>
      <c r="AC63" s="191"/>
      <c r="AD63" s="384"/>
      <c r="AE63" s="384"/>
      <c r="AF63" s="384"/>
      <c r="AG63" s="167"/>
      <c r="AH63" s="167"/>
      <c r="AI63" s="558"/>
      <c r="AJ63" s="30"/>
      <c r="AN63" s="8"/>
      <c r="AO63" s="279"/>
      <c r="AP63" s="279"/>
      <c r="AQ63" s="279"/>
      <c r="AR63" s="279"/>
      <c r="AS63" s="8"/>
      <c r="AT63" s="8"/>
      <c r="AU63" s="8"/>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row>
    <row r="64" spans="1:266" s="5" customFormat="1" ht="12.75" customHeight="1">
      <c r="A64" s="32"/>
      <c r="B64" s="25"/>
      <c r="C64" s="157"/>
      <c r="D64" s="157"/>
      <c r="E64" s="157"/>
      <c r="F64" s="157"/>
      <c r="G64" s="157"/>
      <c r="H64" s="157"/>
      <c r="I64" s="157"/>
      <c r="J64" s="157"/>
      <c r="K64" s="157"/>
      <c r="L64" s="157"/>
      <c r="M64" s="157"/>
      <c r="N64" s="157"/>
      <c r="O64" s="157"/>
      <c r="P64" s="157"/>
      <c r="Q64" s="157"/>
      <c r="R64" s="157"/>
      <c r="S64" s="157"/>
      <c r="T64" s="43"/>
      <c r="U64" s="43"/>
      <c r="V64" s="168"/>
      <c r="W64" s="168"/>
      <c r="X64" s="168"/>
      <c r="Y64" s="168"/>
      <c r="Z64" s="168"/>
      <c r="AA64" s="168"/>
      <c r="AB64" s="168"/>
      <c r="AC64" s="168"/>
      <c r="AD64" s="43"/>
      <c r="AE64" s="43"/>
      <c r="AF64" s="43"/>
      <c r="AG64" s="157"/>
      <c r="AH64" s="157"/>
      <c r="AI64" s="43"/>
      <c r="AJ64" s="30"/>
      <c r="AK64" s="1"/>
      <c r="AL64" s="1"/>
      <c r="AM64" s="1"/>
      <c r="AN64" s="1"/>
      <c r="AO64" s="9"/>
      <c r="AP64" s="9"/>
      <c r="AQ64" s="9"/>
      <c r="AR64" s="9"/>
      <c r="AS64" s="1"/>
      <c r="AT64" s="1"/>
      <c r="AU64" s="1"/>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686"/>
      <c r="CB64" s="686"/>
      <c r="CC64" s="686"/>
      <c r="CD64" s="686"/>
      <c r="CE64" s="686"/>
      <c r="CF64" s="686"/>
      <c r="CG64" s="686"/>
      <c r="CH64" s="686"/>
      <c r="CI64" s="686"/>
      <c r="CJ64" s="686"/>
      <c r="CK64" s="686"/>
      <c r="CL64" s="686"/>
      <c r="CM64" s="686"/>
      <c r="CN64" s="686"/>
      <c r="CO64" s="686"/>
      <c r="CP64" s="686"/>
      <c r="CQ64" s="686"/>
      <c r="CR64" s="686"/>
      <c r="CS64" s="686"/>
      <c r="CT64" s="686"/>
      <c r="CU64" s="686"/>
      <c r="CV64" s="686"/>
      <c r="CW64" s="686"/>
      <c r="CX64" s="686"/>
      <c r="CY64" s="686"/>
      <c r="CZ64" s="686"/>
      <c r="DA64" s="686"/>
      <c r="DB64" s="686"/>
      <c r="DC64" s="686"/>
    </row>
    <row r="65" spans="1:266" ht="15" hidden="1" customHeight="1">
      <c r="A65" s="25"/>
      <c r="B65" s="562" t="s">
        <v>2577</v>
      </c>
      <c r="C65" s="31"/>
      <c r="D65" s="31"/>
      <c r="E65" s="31"/>
      <c r="F65" s="31"/>
      <c r="G65" s="31"/>
      <c r="H65" s="31"/>
      <c r="I65" s="31"/>
      <c r="J65" s="31"/>
      <c r="K65" s="31"/>
      <c r="L65" s="31"/>
      <c r="M65" s="31"/>
      <c r="N65" s="31"/>
      <c r="O65" s="31"/>
      <c r="P65" s="31"/>
      <c r="Q65" s="31"/>
      <c r="R65" s="31"/>
      <c r="S65" s="31"/>
      <c r="T65" s="43"/>
      <c r="U65" s="31"/>
      <c r="V65" s="168"/>
      <c r="W65" s="168"/>
      <c r="X65" s="168"/>
      <c r="Y65" s="168"/>
      <c r="Z65" s="168"/>
      <c r="AA65" s="168"/>
      <c r="AB65" s="168"/>
      <c r="AC65" s="168"/>
      <c r="AD65" s="31"/>
      <c r="AE65" s="31"/>
      <c r="AF65" s="42"/>
      <c r="AG65" s="157"/>
      <c r="AH65" s="157"/>
      <c r="AI65" s="31"/>
      <c r="AJ65" s="200"/>
      <c r="AM65" s="847" t="s">
        <v>2481</v>
      </c>
      <c r="AN65" s="847"/>
      <c r="AO65" s="736" t="s">
        <v>2482</v>
      </c>
      <c r="AP65" s="736"/>
      <c r="AQ65" s="736"/>
      <c r="AR65" s="736"/>
      <c r="AS65" s="736"/>
      <c r="AT65" s="736"/>
      <c r="AU65" s="736"/>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row>
    <row r="66" spans="1:266" s="5" customFormat="1" ht="12.75" hidden="1" customHeight="1">
      <c r="A66" s="25"/>
      <c r="B66" s="179"/>
      <c r="C66" s="176"/>
      <c r="D66" s="176"/>
      <c r="E66" s="176"/>
      <c r="F66" s="176"/>
      <c r="G66" s="385"/>
      <c r="H66" s="385"/>
      <c r="I66" s="385"/>
      <c r="J66" s="176"/>
      <c r="K66" s="176"/>
      <c r="L66" s="176"/>
      <c r="M66" s="176"/>
      <c r="N66" s="192"/>
      <c r="O66" s="192"/>
      <c r="P66" s="26"/>
      <c r="Q66" s="176"/>
      <c r="R66" s="182"/>
      <c r="S66" s="182"/>
      <c r="T66" s="182"/>
      <c r="U66" s="552"/>
      <c r="V66" s="385"/>
      <c r="W66" s="193"/>
      <c r="X66" s="193"/>
      <c r="Y66" s="193"/>
      <c r="Z66" s="865" t="s">
        <v>2578</v>
      </c>
      <c r="AA66" s="865"/>
      <c r="AB66" s="865"/>
      <c r="AC66" s="865"/>
      <c r="AD66" s="865"/>
      <c r="AE66" s="552"/>
      <c r="AF66" s="356" t="s">
        <v>2483</v>
      </c>
      <c r="AG66" s="356"/>
      <c r="AH66" s="356"/>
      <c r="AI66" s="27"/>
      <c r="AJ66" s="200"/>
      <c r="AK66" s="1"/>
      <c r="AL66" s="1"/>
      <c r="AM66" s="10" t="s">
        <v>2484</v>
      </c>
      <c r="AN66" s="10" t="s">
        <v>2485</v>
      </c>
      <c r="AO66" s="10" t="s">
        <v>2486</v>
      </c>
      <c r="AP66" s="10" t="s">
        <v>2487</v>
      </c>
      <c r="AQ66" s="10" t="s">
        <v>2488</v>
      </c>
      <c r="AR66" s="10"/>
      <c r="AS66" s="10"/>
      <c r="AT66" s="10" t="s">
        <v>2532</v>
      </c>
      <c r="AU66" s="10" t="s">
        <v>2490</v>
      </c>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686"/>
      <c r="CB66" s="686"/>
      <c r="CC66" s="686"/>
      <c r="CD66" s="686"/>
      <c r="CE66" s="686"/>
      <c r="CF66" s="686"/>
      <c r="CG66" s="686"/>
      <c r="CH66" s="686"/>
      <c r="CI66" s="686"/>
      <c r="CJ66" s="686"/>
      <c r="CK66" s="686"/>
      <c r="CL66" s="686"/>
      <c r="CM66" s="686"/>
      <c r="CN66" s="686"/>
      <c r="CO66" s="686"/>
      <c r="CP66" s="686"/>
      <c r="CQ66" s="686"/>
      <c r="CR66" s="686"/>
      <c r="CS66" s="686"/>
      <c r="CT66" s="686"/>
      <c r="CU66" s="686"/>
      <c r="CV66" s="686"/>
      <c r="CW66" s="686"/>
      <c r="CX66" s="686"/>
      <c r="CY66" s="686"/>
      <c r="CZ66" s="686"/>
      <c r="DA66" s="686"/>
      <c r="DB66" s="686"/>
      <c r="DC66" s="686"/>
    </row>
    <row r="67" spans="1:266" ht="15" hidden="1" customHeight="1">
      <c r="A67" s="25"/>
      <c r="B67" s="555"/>
      <c r="C67" s="560" t="s">
        <v>2579</v>
      </c>
      <c r="D67" s="159"/>
      <c r="E67" s="159"/>
      <c r="F67" s="158"/>
      <c r="G67" s="158"/>
      <c r="H67" s="158"/>
      <c r="I67" s="158"/>
      <c r="J67" s="157"/>
      <c r="K67" s="157"/>
      <c r="L67" s="420"/>
      <c r="M67" s="521"/>
      <c r="N67" s="521"/>
      <c r="O67" s="521"/>
      <c r="P67" s="521"/>
      <c r="Q67" s="521"/>
      <c r="R67" s="355" t="s">
        <v>2580</v>
      </c>
      <c r="S67" s="43"/>
      <c r="T67" s="43"/>
      <c r="U67" s="185"/>
      <c r="V67" s="158"/>
      <c r="W67" s="867"/>
      <c r="X67" s="867"/>
      <c r="Y67" s="159"/>
      <c r="Z67" s="866"/>
      <c r="AA67" s="866"/>
      <c r="AB67" s="866"/>
      <c r="AC67" s="866"/>
      <c r="AD67" s="866"/>
      <c r="AE67" s="371" t="s">
        <v>142</v>
      </c>
      <c r="AF67" s="855"/>
      <c r="AG67" s="855"/>
      <c r="AH67" s="855"/>
      <c r="AI67" s="181"/>
      <c r="AJ67" s="197"/>
      <c r="AK67" s="187" t="b">
        <v>0</v>
      </c>
      <c r="AL67" s="9"/>
      <c r="AM67" s="187">
        <f>IFERROR(IF($AQ67="",AO67,IF($AS67="",(VLOOKUP($AU67,StackingEffects,2,FALSE)*AT67),(VLOOKUP($AS67,StackingEffects,2,FALSE)*AR67))),0)</f>
        <v>0</v>
      </c>
      <c r="AN67" s="187">
        <f t="shared" ref="AN67:AN73" si="15">IFERROR(IF($AQ67="",AP67,IF($AS67="",(VLOOKUP($AU67,StackingEffects,2,FALSE)*AP67),(VLOOKUP($AS67,StackingEffects,2,FALSE)*AP67))),0)</f>
        <v>0</v>
      </c>
      <c r="AO67" s="187">
        <f>IF(AF67="Chk Box",0,0)</f>
        <v>0</v>
      </c>
      <c r="AP67" s="187">
        <f>IF(AF67="Chk Box",0,0)</f>
        <v>0</v>
      </c>
      <c r="AQ67" s="396" t="s">
        <v>2494</v>
      </c>
      <c r="AR67" s="400"/>
      <c r="AS67" s="400"/>
      <c r="AT67" s="396">
        <f t="shared" ref="AT67:AT70" si="16">IF($AQ67="HVAC",$AO67,0)</f>
        <v>0</v>
      </c>
      <c r="AU67" s="395" t="str">
        <f>IF($AT67=0,"",_xlfn.RANK.EQ($AT67,$AT$34:$AT$84,0))</f>
        <v/>
      </c>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row>
    <row r="68" spans="1:266" s="5" customFormat="1" ht="15" hidden="1" customHeight="1">
      <c r="A68" s="25"/>
      <c r="B68" s="555"/>
      <c r="C68" s="561" t="s">
        <v>2581</v>
      </c>
      <c r="D68" s="157"/>
      <c r="E68" s="157"/>
      <c r="F68" s="158"/>
      <c r="G68" s="156"/>
      <c r="H68" s="156"/>
      <c r="I68" s="156"/>
      <c r="J68" s="156"/>
      <c r="K68" s="156"/>
      <c r="L68" s="420"/>
      <c r="M68" s="521"/>
      <c r="N68" s="521"/>
      <c r="O68" s="521"/>
      <c r="P68" s="521"/>
      <c r="Q68" s="521"/>
      <c r="R68" s="521"/>
      <c r="S68" s="43"/>
      <c r="T68" s="43"/>
      <c r="U68" s="185"/>
      <c r="V68" s="158" t="s">
        <v>2582</v>
      </c>
      <c r="W68" s="850"/>
      <c r="X68" s="851"/>
      <c r="Y68" s="29" t="s">
        <v>2583</v>
      </c>
      <c r="Z68" s="168"/>
      <c r="AA68" s="168"/>
      <c r="AB68" s="168"/>
      <c r="AC68" s="168"/>
      <c r="AD68" s="185" t="s">
        <v>2584</v>
      </c>
      <c r="AE68" s="371" t="s">
        <v>142</v>
      </c>
      <c r="AF68" s="856" t="str">
        <f>IF(AK68=FALSE,IF(W68="","","Chk Box"),IF(W68="",0,W68*50))</f>
        <v/>
      </c>
      <c r="AG68" s="856"/>
      <c r="AH68" s="856"/>
      <c r="AI68" s="181"/>
      <c r="AJ68" s="200"/>
      <c r="AK68" s="187" t="b">
        <v>0</v>
      </c>
      <c r="AL68" s="9"/>
      <c r="AM68" s="556">
        <f t="shared" ref="AM68:AM73" si="17">IFERROR(IF($AQ68="",AO68,IF($AS68="",(VLOOKUP($AU68,StackingEffects,2,FALSE)*AT68),(VLOOKUP($AS68,StackingEffects,2,FALSE)*AR68))),0)</f>
        <v>0</v>
      </c>
      <c r="AN68" s="556">
        <f t="shared" si="15"/>
        <v>0</v>
      </c>
      <c r="AO68" s="556">
        <f>IF(AF68="Chk Box",0,IF(AF68&gt;1,W68*550,0))</f>
        <v>0</v>
      </c>
      <c r="AP68" s="3" t="s">
        <v>2585</v>
      </c>
      <c r="AQ68" s="9" t="s">
        <v>2494</v>
      </c>
      <c r="AR68" s="9"/>
      <c r="AS68" s="3"/>
      <c r="AT68" s="3">
        <f t="shared" si="16"/>
        <v>0</v>
      </c>
      <c r="AU68" s="395" t="str">
        <f>IF($AT68=0,"",_xlfn.RANK.EQ($AT68,$AT$34:$AT$84,0))</f>
        <v/>
      </c>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686"/>
      <c r="CB68" s="686"/>
      <c r="CC68" s="686"/>
      <c r="CD68" s="686"/>
      <c r="CE68" s="686"/>
      <c r="CF68" s="686"/>
      <c r="CG68" s="686"/>
      <c r="CH68" s="686"/>
      <c r="CI68" s="686"/>
      <c r="CJ68" s="686"/>
      <c r="CK68" s="686"/>
      <c r="CL68" s="686"/>
      <c r="CM68" s="686"/>
      <c r="CN68" s="686"/>
      <c r="CO68" s="686"/>
      <c r="CP68" s="686"/>
      <c r="CQ68" s="686"/>
      <c r="CR68" s="686"/>
      <c r="CS68" s="686"/>
      <c r="CT68" s="686"/>
      <c r="CU68" s="686"/>
      <c r="CV68" s="686"/>
      <c r="CW68" s="686"/>
      <c r="CX68" s="686"/>
      <c r="CY68" s="686"/>
      <c r="CZ68" s="686"/>
      <c r="DA68" s="686"/>
      <c r="DB68" s="686"/>
      <c r="DC68" s="686"/>
    </row>
    <row r="69" spans="1:266" ht="12.75" hidden="1" customHeight="1">
      <c r="A69" s="25"/>
      <c r="B69" s="555"/>
      <c r="C69" s="560" t="s">
        <v>2586</v>
      </c>
      <c r="D69" s="159"/>
      <c r="E69" s="159"/>
      <c r="F69" s="158"/>
      <c r="G69" s="156"/>
      <c r="H69" s="156"/>
      <c r="I69" s="156"/>
      <c r="J69" s="156"/>
      <c r="K69" s="156"/>
      <c r="L69" s="521"/>
      <c r="M69" s="521"/>
      <c r="N69" s="521"/>
      <c r="O69" s="521"/>
      <c r="P69" s="521"/>
      <c r="Q69" s="521"/>
      <c r="R69" s="355" t="s">
        <v>2580</v>
      </c>
      <c r="S69" s="43"/>
      <c r="T69" s="43"/>
      <c r="U69" s="185"/>
      <c r="V69" s="158"/>
      <c r="W69" s="158"/>
      <c r="X69" s="158"/>
      <c r="Y69" s="29"/>
      <c r="Z69" s="168"/>
      <c r="AA69" s="168"/>
      <c r="AB69" s="168"/>
      <c r="AC69" s="168"/>
      <c r="AD69" s="185" t="s">
        <v>2587</v>
      </c>
      <c r="AE69" s="371" t="s">
        <v>142</v>
      </c>
      <c r="AF69" s="856"/>
      <c r="AG69" s="856"/>
      <c r="AH69" s="856"/>
      <c r="AI69" s="181"/>
      <c r="AJ69" s="200"/>
      <c r="AK69" s="187" t="b">
        <v>0</v>
      </c>
      <c r="AL69" s="13"/>
      <c r="AM69" s="187">
        <f t="shared" si="17"/>
        <v>0</v>
      </c>
      <c r="AN69" s="556">
        <f t="shared" si="15"/>
        <v>0</v>
      </c>
      <c r="AO69" s="187">
        <f>IF(AF69="Chk Box",0,0)</f>
        <v>0</v>
      </c>
      <c r="AP69" s="3" t="s">
        <v>2585</v>
      </c>
      <c r="AQ69" s="9" t="s">
        <v>2494</v>
      </c>
      <c r="AR69" s="9"/>
      <c r="AS69" s="3"/>
      <c r="AT69" s="3">
        <f t="shared" si="16"/>
        <v>0</v>
      </c>
      <c r="AU69" s="395" t="str">
        <f>IF($AT69=0,"",_xlfn.RANK.EQ($AT69,$AT$34:$AT$84,0))</f>
        <v/>
      </c>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row>
    <row r="70" spans="1:266" ht="12.75" hidden="1" customHeight="1">
      <c r="A70" s="25"/>
      <c r="B70" s="555"/>
      <c r="C70" s="560" t="s">
        <v>2588</v>
      </c>
      <c r="D70" s="159"/>
      <c r="E70" s="159"/>
      <c r="F70" s="158"/>
      <c r="G70" s="156"/>
      <c r="H70" s="156"/>
      <c r="I70" s="156"/>
      <c r="J70" s="156"/>
      <c r="K70" s="156"/>
      <c r="L70" s="521"/>
      <c r="M70" s="521"/>
      <c r="N70" s="521"/>
      <c r="O70" s="521"/>
      <c r="P70" s="521"/>
      <c r="Q70" s="521"/>
      <c r="R70" s="355"/>
      <c r="S70" s="43"/>
      <c r="T70" s="43"/>
      <c r="U70" s="185"/>
      <c r="V70" s="158" t="s">
        <v>2561</v>
      </c>
      <c r="W70" s="850"/>
      <c r="X70" s="851"/>
      <c r="Y70" s="159" t="s">
        <v>2589</v>
      </c>
      <c r="Z70" s="168"/>
      <c r="AA70" s="168"/>
      <c r="AB70" s="168"/>
      <c r="AC70" s="168"/>
      <c r="AD70" s="185" t="s">
        <v>2590</v>
      </c>
      <c r="AE70" s="371" t="s">
        <v>142</v>
      </c>
      <c r="AF70" s="856" t="str">
        <f>IF(AK70=FALSE,IF(W70="","","Chk Box"),IF(W70="",0,W70*250))</f>
        <v/>
      </c>
      <c r="AG70" s="856"/>
      <c r="AH70" s="856"/>
      <c r="AI70" s="181"/>
      <c r="AJ70" s="200"/>
      <c r="AK70" s="187" t="b">
        <v>0</v>
      </c>
      <c r="AL70" s="13"/>
      <c r="AM70" s="556">
        <f t="shared" si="17"/>
        <v>0</v>
      </c>
      <c r="AN70" s="556">
        <f t="shared" si="15"/>
        <v>0</v>
      </c>
      <c r="AO70" s="556">
        <f>IF(AF70="Chk Box",0,IF(AF70&gt;1,W70*4590,0))</f>
        <v>0</v>
      </c>
      <c r="AP70" s="556">
        <f>IF(AF70="Chk Box",0,IF(AF70&gt;1,W70*0.39,0))</f>
        <v>0</v>
      </c>
      <c r="AQ70" s="395" t="s">
        <v>2494</v>
      </c>
      <c r="AR70" s="400"/>
      <c r="AS70" s="400"/>
      <c r="AT70" s="395">
        <f t="shared" si="16"/>
        <v>0</v>
      </c>
      <c r="AU70" s="395" t="str">
        <f>IF($AT70=0,"",_xlfn.RANK.EQ($AT70,$AT$34:$AT$84,0))</f>
        <v/>
      </c>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row>
    <row r="71" spans="1:266" hidden="1">
      <c r="A71" s="25"/>
      <c r="B71" s="555"/>
      <c r="C71" s="560" t="s">
        <v>2591</v>
      </c>
      <c r="D71" s="159"/>
      <c r="E71" s="159"/>
      <c r="F71" s="158"/>
      <c r="G71" s="156"/>
      <c r="H71" s="156"/>
      <c r="I71" s="156"/>
      <c r="J71" s="156"/>
      <c r="K71" s="156"/>
      <c r="L71" s="521"/>
      <c r="M71" s="521"/>
      <c r="N71" s="521"/>
      <c r="O71" s="521"/>
      <c r="P71" s="521"/>
      <c r="Q71" s="521"/>
      <c r="R71" s="355"/>
      <c r="S71" s="43"/>
      <c r="T71" s="43"/>
      <c r="U71" s="185"/>
      <c r="V71" s="158" t="s">
        <v>2561</v>
      </c>
      <c r="W71" s="850"/>
      <c r="X71" s="851"/>
      <c r="Y71" s="159" t="s">
        <v>2589</v>
      </c>
      <c r="Z71" s="168"/>
      <c r="AA71" s="168"/>
      <c r="AB71" s="168"/>
      <c r="AC71" s="168"/>
      <c r="AD71" s="185" t="s">
        <v>2590</v>
      </c>
      <c r="AE71" s="371" t="s">
        <v>142</v>
      </c>
      <c r="AF71" s="856" t="str">
        <f>IF(AK71=FALSE,IF(W71="","","Chk Box"),IF(W71="",0,W71*250))</f>
        <v/>
      </c>
      <c r="AG71" s="856"/>
      <c r="AH71" s="856"/>
      <c r="AI71" s="181"/>
      <c r="AJ71" s="200"/>
      <c r="AK71" s="187" t="b">
        <v>0</v>
      </c>
      <c r="AL71" s="13"/>
      <c r="AM71" s="556">
        <f t="shared" si="17"/>
        <v>0</v>
      </c>
      <c r="AN71" s="556">
        <f t="shared" si="15"/>
        <v>0</v>
      </c>
      <c r="AO71" s="556">
        <f>IF(AF71="Chk Box",0,IF(AF71&gt;1,W71*1193,0))</f>
        <v>0</v>
      </c>
      <c r="AP71" s="556">
        <f>IF(AF71="Chk Box",0,IF(AF71&gt;1,W71*0.144,0))</f>
        <v>0</v>
      </c>
      <c r="AQ71" s="400"/>
      <c r="AR71" s="400"/>
      <c r="AS71" s="400"/>
      <c r="AT71" s="400"/>
      <c r="AU71" s="400"/>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row>
    <row r="72" spans="1:266" hidden="1">
      <c r="A72" s="25"/>
      <c r="B72" s="555"/>
      <c r="C72" s="560" t="s">
        <v>2592</v>
      </c>
      <c r="D72" s="159"/>
      <c r="E72" s="159"/>
      <c r="F72" s="158"/>
      <c r="G72" s="156"/>
      <c r="H72" s="156"/>
      <c r="I72" s="156"/>
      <c r="J72" s="156"/>
      <c r="K72" s="156"/>
      <c r="L72" s="521"/>
      <c r="M72" s="521"/>
      <c r="N72" s="521"/>
      <c r="O72" s="521"/>
      <c r="P72" s="521"/>
      <c r="Q72" s="521"/>
      <c r="R72" s="355"/>
      <c r="S72" s="43"/>
      <c r="T72" s="43"/>
      <c r="U72" s="185"/>
      <c r="V72" s="158" t="s">
        <v>2561</v>
      </c>
      <c r="W72" s="850"/>
      <c r="X72" s="851"/>
      <c r="Y72" s="159" t="s">
        <v>2589</v>
      </c>
      <c r="Z72" s="168"/>
      <c r="AA72" s="168"/>
      <c r="AB72" s="168"/>
      <c r="AC72" s="168"/>
      <c r="AD72" s="185" t="s">
        <v>2593</v>
      </c>
      <c r="AE72" s="371" t="s">
        <v>142</v>
      </c>
      <c r="AF72" s="856" t="str">
        <f>IF(AK72=FALSE,IF(W72="","",IF($AO$1="OR","ID Only","Chk Box")),IF($AO$1="OR","ID Only",IF(W72="",0,W72*170)))</f>
        <v/>
      </c>
      <c r="AG72" s="856"/>
      <c r="AH72" s="856"/>
      <c r="AI72" s="181"/>
      <c r="AJ72" s="200"/>
      <c r="AK72" s="187" t="b">
        <v>0</v>
      </c>
      <c r="AL72" s="13"/>
      <c r="AM72" s="556">
        <f t="shared" si="17"/>
        <v>0</v>
      </c>
      <c r="AN72" s="556">
        <f t="shared" si="15"/>
        <v>0</v>
      </c>
      <c r="AO72" s="556">
        <f>IF(OR(AF72="Chk Box",AF72="ID Only"),0,IF(AF72&gt;1,W72*548,0))</f>
        <v>0</v>
      </c>
      <c r="AP72" s="556">
        <f>IF(AF72="Chk Box",0,IF(AF72&gt;1,W72*0.21,0))</f>
        <v>0</v>
      </c>
      <c r="AQ72" s="400"/>
      <c r="AR72" s="400"/>
      <c r="AS72" s="400"/>
      <c r="AT72" s="400"/>
      <c r="AU72" s="400"/>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row>
    <row r="73" spans="1:266" ht="12.75" hidden="1" customHeight="1">
      <c r="A73" s="25"/>
      <c r="B73" s="555"/>
      <c r="C73" s="560" t="s">
        <v>2594</v>
      </c>
      <c r="D73" s="159"/>
      <c r="E73" s="159"/>
      <c r="F73" s="158"/>
      <c r="G73" s="156"/>
      <c r="H73" s="156"/>
      <c r="I73" s="156"/>
      <c r="J73" s="156"/>
      <c r="K73" s="156"/>
      <c r="L73" s="521"/>
      <c r="M73" s="521"/>
      <c r="N73" s="521"/>
      <c r="O73" s="521"/>
      <c r="P73" s="521"/>
      <c r="Q73" s="521"/>
      <c r="R73" s="355"/>
      <c r="S73" s="43"/>
      <c r="T73" s="43"/>
      <c r="U73" s="185"/>
      <c r="V73" s="158" t="s">
        <v>2547</v>
      </c>
      <c r="W73" s="850"/>
      <c r="X73" s="851"/>
      <c r="Y73" s="159" t="s">
        <v>2583</v>
      </c>
      <c r="Z73" s="168"/>
      <c r="AA73" s="168"/>
      <c r="AB73" s="168"/>
      <c r="AC73" s="168"/>
      <c r="AD73" s="185" t="s">
        <v>2595</v>
      </c>
      <c r="AE73" s="371" t="s">
        <v>142</v>
      </c>
      <c r="AF73" s="856" t="str">
        <f>IF(AK73=FALSE,IF(W73="","","Chk Box"),IF(W73="",0,W73*1500))</f>
        <v/>
      </c>
      <c r="AG73" s="856"/>
      <c r="AH73" s="856"/>
      <c r="AI73" s="181"/>
      <c r="AJ73" s="197"/>
      <c r="AK73" s="187" t="b">
        <v>0</v>
      </c>
      <c r="AL73" s="13"/>
      <c r="AM73" s="556">
        <f t="shared" si="17"/>
        <v>0</v>
      </c>
      <c r="AN73" s="556">
        <f t="shared" si="15"/>
        <v>0</v>
      </c>
      <c r="AO73" s="556">
        <f>IF(AF73="Chk Box",0,IF(AF73&gt;1,W73*7687,0))</f>
        <v>0</v>
      </c>
      <c r="AP73" s="556">
        <f>IF(AF73="Chk Box",0,IF(AF73&gt;1,W73*2.73,0))</f>
        <v>0</v>
      </c>
      <c r="AQ73" s="400"/>
      <c r="AR73" s="400"/>
      <c r="AS73" s="400"/>
      <c r="AT73" s="400"/>
      <c r="AU73" s="400"/>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row>
    <row r="74" spans="1:266" ht="15" hidden="1" customHeight="1">
      <c r="A74" s="25"/>
      <c r="B74" s="186"/>
      <c r="C74" s="167"/>
      <c r="D74" s="167"/>
      <c r="E74" s="167"/>
      <c r="F74" s="167"/>
      <c r="G74" s="167"/>
      <c r="H74" s="167"/>
      <c r="I74" s="167"/>
      <c r="J74" s="167"/>
      <c r="K74" s="167"/>
      <c r="L74" s="167"/>
      <c r="M74" s="167"/>
      <c r="N74" s="167"/>
      <c r="O74" s="167"/>
      <c r="P74" s="167"/>
      <c r="Q74" s="167"/>
      <c r="R74" s="167"/>
      <c r="S74" s="167"/>
      <c r="T74" s="384"/>
      <c r="U74" s="384"/>
      <c r="V74" s="386"/>
      <c r="W74" s="191"/>
      <c r="X74" s="191"/>
      <c r="Y74" s="387"/>
      <c r="Z74" s="191"/>
      <c r="AA74" s="191"/>
      <c r="AB74" s="191"/>
      <c r="AC74" s="191"/>
      <c r="AD74" s="384"/>
      <c r="AE74" s="384"/>
      <c r="AF74" s="188"/>
      <c r="AG74" s="167"/>
      <c r="AH74" s="167"/>
      <c r="AI74" s="558"/>
      <c r="AJ74" s="200"/>
      <c r="AK74" s="9"/>
      <c r="AL74" s="9"/>
      <c r="AQ74" s="9"/>
      <c r="AR74" s="9"/>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row>
    <row r="75" spans="1:266" ht="12.75" hidden="1" customHeight="1">
      <c r="A75" s="25"/>
      <c r="B75" s="25"/>
      <c r="C75" s="157"/>
      <c r="D75" s="157"/>
      <c r="E75" s="157"/>
      <c r="F75" s="157"/>
      <c r="G75" s="157"/>
      <c r="H75" s="157"/>
      <c r="I75" s="157"/>
      <c r="J75" s="157"/>
      <c r="K75" s="157"/>
      <c r="L75" s="157"/>
      <c r="M75" s="157"/>
      <c r="N75" s="157"/>
      <c r="O75" s="157"/>
      <c r="P75" s="157"/>
      <c r="Q75" s="157"/>
      <c r="R75" s="157"/>
      <c r="S75" s="157"/>
      <c r="T75" s="43"/>
      <c r="U75" s="43"/>
      <c r="V75" s="168"/>
      <c r="W75" s="168"/>
      <c r="X75" s="168"/>
      <c r="Y75" s="168"/>
      <c r="Z75" s="168"/>
      <c r="AA75" s="168"/>
      <c r="AB75" s="168"/>
      <c r="AC75" s="168"/>
      <c r="AD75" s="43"/>
      <c r="AE75" s="43"/>
      <c r="AF75" s="43"/>
      <c r="AG75" s="157"/>
      <c r="AH75" s="157"/>
      <c r="AI75" s="43"/>
      <c r="AJ75" s="200"/>
      <c r="AQ75" s="9"/>
      <c r="AR75" s="9"/>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row>
    <row r="76" spans="1:266" ht="15" customHeight="1">
      <c r="A76" s="25"/>
      <c r="B76" s="41" t="s">
        <v>2596</v>
      </c>
      <c r="C76" s="31"/>
      <c r="D76" s="31"/>
      <c r="E76" s="31"/>
      <c r="F76" s="31"/>
      <c r="G76" s="31"/>
      <c r="H76" s="31"/>
      <c r="I76" s="31"/>
      <c r="J76" s="31"/>
      <c r="K76" s="31"/>
      <c r="L76" s="31"/>
      <c r="M76" s="31"/>
      <c r="N76" s="31"/>
      <c r="O76" s="31"/>
      <c r="P76" s="31"/>
      <c r="Q76" s="31"/>
      <c r="R76" s="31"/>
      <c r="S76" s="31"/>
      <c r="T76" s="43"/>
      <c r="U76" s="31"/>
      <c r="V76" s="168"/>
      <c r="W76" s="168"/>
      <c r="X76" s="168"/>
      <c r="Y76" s="168"/>
      <c r="Z76" s="168"/>
      <c r="AA76" s="168"/>
      <c r="AB76" s="168"/>
      <c r="AC76" s="168"/>
      <c r="AD76" s="31"/>
      <c r="AE76" s="31"/>
      <c r="AF76" s="42"/>
      <c r="AG76" s="157"/>
      <c r="AH76" s="157"/>
      <c r="AI76" s="31"/>
      <c r="AJ76" s="200"/>
      <c r="AM76" s="847" t="s">
        <v>2481</v>
      </c>
      <c r="AN76" s="847"/>
      <c r="AO76" s="736" t="s">
        <v>2482</v>
      </c>
      <c r="AP76" s="736"/>
      <c r="AQ76" s="736"/>
      <c r="AR76" s="736"/>
      <c r="AS76" s="736"/>
      <c r="AT76" s="736"/>
      <c r="AU76" s="736"/>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row>
    <row r="77" spans="1:266" ht="12.75" customHeight="1">
      <c r="A77" s="25"/>
      <c r="B77" s="179"/>
      <c r="C77" s="176"/>
      <c r="D77" s="176"/>
      <c r="E77" s="176"/>
      <c r="F77" s="176"/>
      <c r="G77" s="385"/>
      <c r="H77" s="385"/>
      <c r="I77" s="385"/>
      <c r="J77" s="176"/>
      <c r="K77" s="176"/>
      <c r="L77" s="176"/>
      <c r="M77" s="176"/>
      <c r="N77" s="192"/>
      <c r="O77" s="192"/>
      <c r="P77" s="26"/>
      <c r="Q77" s="176"/>
      <c r="R77" s="176"/>
      <c r="S77" s="182"/>
      <c r="T77" s="182"/>
      <c r="U77" s="552"/>
      <c r="V77" s="385"/>
      <c r="W77" s="193"/>
      <c r="X77" s="193"/>
      <c r="Y77" s="193"/>
      <c r="Z77" s="388"/>
      <c r="AA77" s="388"/>
      <c r="AB77" s="388"/>
      <c r="AC77" s="388"/>
      <c r="AD77" s="388"/>
      <c r="AE77" s="552"/>
      <c r="AF77" s="356" t="s">
        <v>2483</v>
      </c>
      <c r="AG77" s="356"/>
      <c r="AH77" s="356"/>
      <c r="AI77" s="27"/>
      <c r="AJ77" s="200"/>
      <c r="AM77" s="10" t="s">
        <v>2484</v>
      </c>
      <c r="AN77" s="10" t="s">
        <v>2485</v>
      </c>
      <c r="AO77" s="10" t="s">
        <v>2486</v>
      </c>
      <c r="AP77" s="10" t="s">
        <v>2487</v>
      </c>
      <c r="AQ77" s="10" t="s">
        <v>2488</v>
      </c>
      <c r="AR77" s="10" t="s">
        <v>2597</v>
      </c>
      <c r="AS77" s="10" t="s">
        <v>2598</v>
      </c>
      <c r="AT77" s="10" t="s">
        <v>2532</v>
      </c>
      <c r="AU77" s="10" t="s">
        <v>2490</v>
      </c>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row>
    <row r="78" spans="1:266">
      <c r="A78" s="25"/>
      <c r="B78" s="555"/>
      <c r="C78" s="159" t="s">
        <v>2770</v>
      </c>
      <c r="D78" s="159"/>
      <c r="E78" s="159"/>
      <c r="F78" s="158"/>
      <c r="G78" s="158"/>
      <c r="H78" s="158"/>
      <c r="I78" s="158"/>
      <c r="J78" s="157"/>
      <c r="K78" s="157"/>
      <c r="L78" s="420"/>
      <c r="M78" s="521"/>
      <c r="N78" s="521"/>
      <c r="O78" s="521"/>
      <c r="P78" s="521"/>
      <c r="Q78" s="157"/>
      <c r="R78" s="157"/>
      <c r="S78" s="43"/>
      <c r="T78" s="43"/>
      <c r="U78" s="185"/>
      <c r="V78" s="158" t="s">
        <v>2547</v>
      </c>
      <c r="W78" s="850"/>
      <c r="X78" s="851"/>
      <c r="Y78" s="159"/>
      <c r="Z78" s="185"/>
      <c r="AA78" s="185"/>
      <c r="AB78" s="185"/>
      <c r="AC78" s="185"/>
      <c r="AD78" s="185" t="s">
        <v>2600</v>
      </c>
      <c r="AE78" s="371" t="s">
        <v>142</v>
      </c>
      <c r="AF78" s="855" t="str">
        <f>IF(AK78=FALSE,IF(W78="","","Chk Box"),IF(W78="",0,W78*200))</f>
        <v/>
      </c>
      <c r="AG78" s="855"/>
      <c r="AH78" s="855"/>
      <c r="AI78" s="181"/>
      <c r="AJ78" s="200"/>
      <c r="AK78" s="187" t="b">
        <v>0</v>
      </c>
      <c r="AL78" s="9"/>
      <c r="AM78" s="556">
        <f t="shared" ref="AM78:AM84" si="18">IFERROR(IF($AQ78="",AO78,IF($AS78="",(VLOOKUP($AU78,StackingEffects,2,FALSE)*AT78),(VLOOKUP($AS78,StackingEffects,2,FALSE)*AR78))),0)</f>
        <v>0</v>
      </c>
      <c r="AN78" s="556">
        <f t="shared" ref="AN78:AN84" si="19">IFERROR(IF($AQ78="",AP78,IF($AS78="",(VLOOKUP($AU78,StackingEffects,2,FALSE)*AP78),(VLOOKUP($AS78,StackingEffects,2,FALSE)*AP78))),0)</f>
        <v>0</v>
      </c>
      <c r="AO78" s="556">
        <f>IF(AF78="Chk Box",0,IF(AF78&gt;1,W78*814.5,0))</f>
        <v>0</v>
      </c>
      <c r="AP78" s="556">
        <f>IF(AF78="Chk Box",0,IF(AF78&gt;1,W78*0.405,0))</f>
        <v>0</v>
      </c>
      <c r="AQ78" s="395" t="s">
        <v>2601</v>
      </c>
      <c r="AR78" s="395">
        <f>IF($AQ78="WATER HEATER",$AO78,0)</f>
        <v>0</v>
      </c>
      <c r="AS78" s="395" t="str">
        <f t="shared" ref="AS78:AS84" si="20">IF($AR78=0,"",_xlfn.RANK.EQ($AR78,$AR$78:$AR$87,0))</f>
        <v/>
      </c>
      <c r="AT78" s="400"/>
      <c r="AU78" s="400"/>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688"/>
      <c r="CB78" s="688"/>
      <c r="CC78" s="688"/>
      <c r="CD78" s="688"/>
      <c r="CE78" s="688"/>
      <c r="CF78" s="688"/>
      <c r="CG78" s="688"/>
      <c r="CH78" s="688"/>
      <c r="CI78" s="688"/>
      <c r="CJ78" s="688"/>
      <c r="CK78" s="688"/>
      <c r="CL78" s="688"/>
      <c r="CM78" s="688"/>
      <c r="CN78" s="688"/>
      <c r="CO78" s="688"/>
      <c r="CP78" s="688"/>
      <c r="CQ78" s="688"/>
      <c r="CR78" s="688"/>
      <c r="CS78" s="688"/>
      <c r="CT78" s="688"/>
      <c r="CU78" s="688"/>
      <c r="CV78" s="688"/>
      <c r="CW78" s="688"/>
      <c r="CX78" s="688"/>
      <c r="CY78" s="688"/>
      <c r="CZ78" s="688"/>
      <c r="DA78" s="688"/>
      <c r="DB78" s="688"/>
      <c r="DC78" s="68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row>
    <row r="79" spans="1:266" ht="12.75" hidden="1" customHeight="1">
      <c r="A79" s="25"/>
      <c r="B79" s="564"/>
      <c r="C79" s="561" t="s">
        <v>2602</v>
      </c>
      <c r="D79" s="157"/>
      <c r="E79" s="157"/>
      <c r="F79" s="158"/>
      <c r="G79" s="156"/>
      <c r="H79" s="156"/>
      <c r="I79" s="156"/>
      <c r="J79" s="156"/>
      <c r="K79" s="156"/>
      <c r="L79" s="420"/>
      <c r="M79" s="521"/>
      <c r="N79" s="521"/>
      <c r="O79" s="521"/>
      <c r="P79" s="521"/>
      <c r="Q79" s="157"/>
      <c r="R79" s="157"/>
      <c r="S79" s="43"/>
      <c r="T79" s="43"/>
      <c r="U79" s="185"/>
      <c r="V79" s="158" t="s">
        <v>2547</v>
      </c>
      <c r="W79" s="850"/>
      <c r="X79" s="851"/>
      <c r="Y79" s="29"/>
      <c r="Z79" s="168"/>
      <c r="AA79" s="168"/>
      <c r="AB79" s="168"/>
      <c r="AC79" s="168"/>
      <c r="AD79" s="185" t="s">
        <v>2603</v>
      </c>
      <c r="AE79" s="371" t="s">
        <v>142</v>
      </c>
      <c r="AF79" s="856" t="str">
        <f>IF(AK79=FALSE,IF(W79="","",IF($AO$1="OR","ID Only","Chk Box")),IF($AO$1="OR","ID Only",IF(W79="",0,W79*100)))</f>
        <v/>
      </c>
      <c r="AG79" s="856"/>
      <c r="AH79" s="856"/>
      <c r="AI79" s="181"/>
      <c r="AJ79" s="200"/>
      <c r="AK79" s="187" t="b">
        <v>0</v>
      </c>
      <c r="AL79" s="9"/>
      <c r="AM79" s="556">
        <f t="shared" si="18"/>
        <v>0</v>
      </c>
      <c r="AN79" s="556">
        <f t="shared" si="19"/>
        <v>0</v>
      </c>
      <c r="AO79" s="556">
        <f>IF(OR(AF79="Chk Box",AF79="ID Only"),0,IF(AF79&gt;1,W79*285,0))</f>
        <v>0</v>
      </c>
      <c r="AP79" s="556">
        <f>IF(AF79="Chk Box",0,IF(AF79&gt;1,W79*0.05,0))</f>
        <v>0</v>
      </c>
      <c r="AQ79" s="395"/>
      <c r="AR79" s="395">
        <f t="shared" ref="AR79:AR87" si="21">IF($AQ79="WATER HEATER",$AO79,0)</f>
        <v>0</v>
      </c>
      <c r="AS79" s="395" t="str">
        <f t="shared" si="20"/>
        <v/>
      </c>
      <c r="AT79" s="400"/>
      <c r="AU79" s="4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687"/>
      <c r="CB79" s="687"/>
      <c r="CC79" s="687"/>
      <c r="CD79" s="687"/>
      <c r="CE79" s="687"/>
      <c r="CF79" s="687"/>
      <c r="CG79" s="687"/>
      <c r="CH79" s="687"/>
      <c r="CI79" s="687"/>
      <c r="CJ79" s="687"/>
      <c r="CK79" s="687"/>
      <c r="CL79" s="687"/>
      <c r="CM79" s="687"/>
      <c r="CN79" s="687"/>
      <c r="CO79" s="687"/>
      <c r="CP79" s="687"/>
      <c r="CQ79" s="687"/>
      <c r="CR79" s="687"/>
      <c r="CS79" s="687"/>
      <c r="CT79" s="687"/>
      <c r="CU79" s="687"/>
      <c r="CV79" s="687"/>
      <c r="CW79" s="687"/>
      <c r="CX79" s="687"/>
      <c r="CY79" s="687"/>
      <c r="CZ79" s="687"/>
      <c r="DA79" s="687"/>
      <c r="DB79" s="687"/>
      <c r="DC79" s="687"/>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row>
    <row r="80" spans="1:266" ht="15" hidden="1" customHeight="1">
      <c r="A80" s="25"/>
      <c r="B80" s="564"/>
      <c r="C80" s="561" t="s">
        <v>2604</v>
      </c>
      <c r="D80" s="157"/>
      <c r="E80" s="157"/>
      <c r="F80" s="158"/>
      <c r="G80" s="156"/>
      <c r="H80" s="156"/>
      <c r="I80" s="156"/>
      <c r="J80" s="156"/>
      <c r="K80" s="156"/>
      <c r="L80" s="420"/>
      <c r="M80" s="521"/>
      <c r="N80" s="521"/>
      <c r="O80" s="521"/>
      <c r="P80" s="521"/>
      <c r="Q80" s="157"/>
      <c r="R80" s="157"/>
      <c r="S80" s="43"/>
      <c r="T80" s="43"/>
      <c r="U80" s="185"/>
      <c r="V80" s="158" t="s">
        <v>2547</v>
      </c>
      <c r="W80" s="850"/>
      <c r="X80" s="851"/>
      <c r="Y80" s="29"/>
      <c r="Z80" s="168"/>
      <c r="AA80" s="168"/>
      <c r="AB80" s="168"/>
      <c r="AC80" s="168"/>
      <c r="AD80" s="185" t="s">
        <v>2605</v>
      </c>
      <c r="AE80" s="371" t="s">
        <v>142</v>
      </c>
      <c r="AF80" s="855" t="str">
        <f>IF(AK80=FALSE,IF(W80="","","Chk Box"),IF(W80="",0,W80*300))</f>
        <v/>
      </c>
      <c r="AG80" s="855"/>
      <c r="AH80" s="855"/>
      <c r="AI80" s="181"/>
      <c r="AJ80" s="197"/>
      <c r="AK80" s="187" t="b">
        <v>0</v>
      </c>
      <c r="AL80" s="9"/>
      <c r="AM80" s="556">
        <f t="shared" si="18"/>
        <v>0</v>
      </c>
      <c r="AN80" s="556">
        <f t="shared" si="19"/>
        <v>0</v>
      </c>
      <c r="AO80" s="556">
        <f>IF(AF80="Chk Box",0,IF(AF80&gt;1,W80*2608,0))</f>
        <v>0</v>
      </c>
      <c r="AP80" s="556">
        <f>IF(AF80="Chk Box",0,IF(AF80&gt;1,W80*0.49,0))</f>
        <v>0</v>
      </c>
      <c r="AQ80" s="395"/>
      <c r="AR80" s="395">
        <f t="shared" si="21"/>
        <v>0</v>
      </c>
      <c r="AS80" s="395" t="str">
        <f t="shared" si="20"/>
        <v/>
      </c>
      <c r="AT80" s="400"/>
      <c r="AU80" s="4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687"/>
      <c r="CB80" s="687"/>
      <c r="CC80" s="687"/>
      <c r="CD80" s="687"/>
      <c r="CE80" s="687"/>
      <c r="CF80" s="687"/>
      <c r="CG80" s="687"/>
      <c r="CH80" s="687"/>
      <c r="CI80" s="687"/>
      <c r="CJ80" s="687"/>
      <c r="CK80" s="687"/>
      <c r="CL80" s="687"/>
      <c r="CM80" s="687"/>
      <c r="CN80" s="687"/>
      <c r="CO80" s="687"/>
      <c r="CP80" s="687"/>
      <c r="CQ80" s="687"/>
      <c r="CR80" s="687"/>
      <c r="CS80" s="687"/>
      <c r="CT80" s="687"/>
      <c r="CU80" s="687"/>
      <c r="CV80" s="687"/>
      <c r="CW80" s="687"/>
      <c r="CX80" s="687"/>
      <c r="CY80" s="687"/>
      <c r="CZ80" s="687"/>
      <c r="DA80" s="687"/>
      <c r="DB80" s="687"/>
      <c r="DC80" s="687"/>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row>
    <row r="81" spans="1:266" ht="12.75" hidden="1" customHeight="1">
      <c r="A81" s="25"/>
      <c r="B81" s="564"/>
      <c r="C81" s="561" t="s">
        <v>2606</v>
      </c>
      <c r="D81" s="157"/>
      <c r="E81" s="157"/>
      <c r="F81" s="158"/>
      <c r="G81" s="156"/>
      <c r="H81" s="156"/>
      <c r="I81" s="156"/>
      <c r="J81" s="156"/>
      <c r="K81" s="156"/>
      <c r="L81" s="420"/>
      <c r="M81" s="521"/>
      <c r="N81" s="521"/>
      <c r="O81" s="521"/>
      <c r="P81" s="521"/>
      <c r="Q81" s="157"/>
      <c r="R81" s="157"/>
      <c r="S81" s="43"/>
      <c r="T81" s="43"/>
      <c r="U81" s="185"/>
      <c r="V81" s="158" t="s">
        <v>2547</v>
      </c>
      <c r="W81" s="850"/>
      <c r="X81" s="851"/>
      <c r="Y81" s="29"/>
      <c r="Z81" s="168"/>
      <c r="AA81" s="168"/>
      <c r="AB81" s="168"/>
      <c r="AC81" s="168"/>
      <c r="AD81" s="185" t="s">
        <v>2600</v>
      </c>
      <c r="AE81" s="371" t="s">
        <v>142</v>
      </c>
      <c r="AF81" s="855" t="str">
        <f>IF(AK81=FALSE,IF(W81="","","Chk Box"),IF(W81="",0,W81*200))</f>
        <v/>
      </c>
      <c r="AG81" s="855"/>
      <c r="AH81" s="855"/>
      <c r="AI81" s="181"/>
      <c r="AJ81" s="200"/>
      <c r="AK81" s="187" t="b">
        <v>0</v>
      </c>
      <c r="AL81" s="9"/>
      <c r="AM81" s="556">
        <f t="shared" si="18"/>
        <v>0</v>
      </c>
      <c r="AN81" s="556">
        <f t="shared" si="19"/>
        <v>0</v>
      </c>
      <c r="AO81" s="556">
        <f>IF(AF81="Chk Box",0,IF(AF81&gt;1,W81*1106,0))</f>
        <v>0</v>
      </c>
      <c r="AP81" s="556">
        <f>IF(AF81="Chk Box",0,IF(AF81&gt;1,W81*0.14,0))</f>
        <v>0</v>
      </c>
      <c r="AQ81" s="395"/>
      <c r="AR81" s="395">
        <f t="shared" si="21"/>
        <v>0</v>
      </c>
      <c r="AS81" s="395" t="str">
        <f t="shared" si="20"/>
        <v/>
      </c>
      <c r="AT81" s="400"/>
      <c r="AU81" s="400"/>
      <c r="AV81" s="100"/>
      <c r="AW81" s="100"/>
      <c r="AX81" s="94"/>
      <c r="AY81" s="94"/>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687"/>
      <c r="CB81" s="687"/>
      <c r="CC81" s="687"/>
      <c r="CD81" s="687"/>
      <c r="CE81" s="687"/>
      <c r="CF81" s="687"/>
      <c r="CG81" s="687"/>
      <c r="CH81" s="687"/>
      <c r="CI81" s="687"/>
      <c r="CJ81" s="687"/>
      <c r="CK81" s="687"/>
      <c r="CL81" s="687"/>
      <c r="CM81" s="687"/>
      <c r="CN81" s="687"/>
      <c r="CO81" s="687"/>
      <c r="CP81" s="687"/>
      <c r="CQ81" s="687"/>
      <c r="CR81" s="687"/>
      <c r="CS81" s="687"/>
      <c r="CT81" s="687"/>
      <c r="CU81" s="687"/>
      <c r="CV81" s="687"/>
      <c r="CW81" s="687"/>
      <c r="CX81" s="687"/>
      <c r="CY81" s="687"/>
      <c r="CZ81" s="687"/>
      <c r="DA81" s="687"/>
      <c r="DB81" s="687"/>
      <c r="DC81" s="687"/>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c r="IV81" s="10"/>
      <c r="IW81" s="10"/>
      <c r="IX81" s="10"/>
      <c r="IY81" s="10"/>
      <c r="IZ81" s="10"/>
      <c r="JA81" s="10"/>
      <c r="JB81" s="10"/>
      <c r="JC81" s="10"/>
      <c r="JD81" s="10"/>
      <c r="JE81" s="10"/>
      <c r="JF81" s="10"/>
    </row>
    <row r="82" spans="1:266" ht="12.75" hidden="1" customHeight="1">
      <c r="A82" s="25"/>
      <c r="B82" s="564"/>
      <c r="C82" s="561" t="s">
        <v>2607</v>
      </c>
      <c r="D82" s="157"/>
      <c r="E82" s="157"/>
      <c r="F82" s="158"/>
      <c r="G82" s="156"/>
      <c r="H82" s="156"/>
      <c r="I82" s="156"/>
      <c r="J82" s="156"/>
      <c r="K82" s="156"/>
      <c r="L82" s="420"/>
      <c r="M82" s="521"/>
      <c r="N82" s="521"/>
      <c r="O82" s="521"/>
      <c r="P82" s="521"/>
      <c r="Q82" s="157"/>
      <c r="R82" s="157"/>
      <c r="S82" s="43"/>
      <c r="T82" s="43"/>
      <c r="U82" s="185"/>
      <c r="V82" s="158" t="s">
        <v>2547</v>
      </c>
      <c r="W82" s="850"/>
      <c r="X82" s="851"/>
      <c r="Y82" s="29"/>
      <c r="Z82" s="168"/>
      <c r="AA82" s="168"/>
      <c r="AB82" s="168"/>
      <c r="AC82" s="168"/>
      <c r="AD82" s="185" t="s">
        <v>2608</v>
      </c>
      <c r="AE82" s="371" t="s">
        <v>142</v>
      </c>
      <c r="AF82" s="855" t="str">
        <f>IF(AK82=FALSE,IF(W82="","","Chk Box"),IF(W82="",0,W82*350))</f>
        <v/>
      </c>
      <c r="AG82" s="855"/>
      <c r="AH82" s="855"/>
      <c r="AI82" s="181"/>
      <c r="AJ82" s="32"/>
      <c r="AK82" s="187" t="b">
        <v>0</v>
      </c>
      <c r="AL82" s="9"/>
      <c r="AM82" s="556">
        <f t="shared" si="18"/>
        <v>0</v>
      </c>
      <c r="AN82" s="556">
        <f t="shared" si="19"/>
        <v>0</v>
      </c>
      <c r="AO82" s="556">
        <f>IF(AF82="Chk Box",0,IF(AF82&gt;1,W82*2493,0))</f>
        <v>0</v>
      </c>
      <c r="AP82" s="556">
        <f>IF(AF82="Chk Box",0,IF(AF82&gt;1,W82*0.31,0))</f>
        <v>0</v>
      </c>
      <c r="AQ82" s="395"/>
      <c r="AR82" s="395">
        <f t="shared" si="21"/>
        <v>0</v>
      </c>
      <c r="AS82" s="395" t="str">
        <f t="shared" si="20"/>
        <v/>
      </c>
      <c r="AT82" s="400"/>
      <c r="AU82" s="400"/>
      <c r="AV82" s="100"/>
      <c r="AW82" s="100"/>
      <c r="AX82" s="94"/>
      <c r="AY82" s="94"/>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687"/>
      <c r="CB82" s="687"/>
      <c r="CC82" s="687"/>
      <c r="CD82" s="687"/>
      <c r="CE82" s="687"/>
      <c r="CF82" s="687"/>
      <c r="CG82" s="687"/>
      <c r="CH82" s="687"/>
      <c r="CI82" s="687"/>
      <c r="CJ82" s="687"/>
      <c r="CK82" s="687"/>
      <c r="CL82" s="687"/>
      <c r="CM82" s="687"/>
      <c r="CN82" s="687"/>
      <c r="CO82" s="687"/>
      <c r="CP82" s="687"/>
      <c r="CQ82" s="687"/>
      <c r="CR82" s="687"/>
      <c r="CS82" s="687"/>
      <c r="CT82" s="687"/>
      <c r="CU82" s="687"/>
      <c r="CV82" s="687"/>
      <c r="CW82" s="687"/>
      <c r="CX82" s="687"/>
      <c r="CY82" s="687"/>
      <c r="CZ82" s="687"/>
      <c r="DA82" s="687"/>
      <c r="DB82" s="687"/>
      <c r="DC82" s="687"/>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c r="IC82" s="10"/>
      <c r="ID82" s="10"/>
      <c r="IE82" s="10"/>
      <c r="IF82" s="10"/>
      <c r="IG82" s="10"/>
      <c r="IH82" s="10"/>
      <c r="II82" s="10"/>
      <c r="IJ82" s="10"/>
      <c r="IK82" s="10"/>
      <c r="IL82" s="10"/>
      <c r="IM82" s="10"/>
      <c r="IN82" s="10"/>
      <c r="IO82" s="10"/>
      <c r="IP82" s="10"/>
      <c r="IQ82" s="10"/>
      <c r="IR82" s="10"/>
      <c r="IS82" s="10"/>
      <c r="IT82" s="10"/>
      <c r="IU82" s="10"/>
      <c r="IV82" s="10"/>
      <c r="IW82" s="10"/>
      <c r="IX82" s="10"/>
      <c r="IY82" s="10"/>
      <c r="IZ82" s="10"/>
      <c r="JA82" s="10"/>
      <c r="JB82" s="10"/>
      <c r="JC82" s="10"/>
      <c r="JD82" s="10"/>
      <c r="JE82" s="10"/>
      <c r="JF82" s="10"/>
    </row>
    <row r="83" spans="1:266" ht="15.75" hidden="1" customHeight="1">
      <c r="A83" s="25"/>
      <c r="B83" s="564"/>
      <c r="C83" s="560" t="s">
        <v>2609</v>
      </c>
      <c r="D83" s="159"/>
      <c r="E83" s="159"/>
      <c r="F83" s="158"/>
      <c r="G83" s="156"/>
      <c r="H83" s="156"/>
      <c r="I83" s="156"/>
      <c r="J83" s="156"/>
      <c r="K83" s="156"/>
      <c r="L83" s="521"/>
      <c r="M83" s="521"/>
      <c r="N83" s="521"/>
      <c r="O83" s="521"/>
      <c r="P83" s="521"/>
      <c r="Q83" s="521"/>
      <c r="R83" s="521"/>
      <c r="S83" s="43"/>
      <c r="T83" s="43"/>
      <c r="U83" s="185"/>
      <c r="V83" s="158" t="s">
        <v>2547</v>
      </c>
      <c r="W83" s="850"/>
      <c r="X83" s="851"/>
      <c r="Y83" s="29"/>
      <c r="Z83" s="168"/>
      <c r="AA83" s="168"/>
      <c r="AB83" s="168"/>
      <c r="AC83" s="168"/>
      <c r="AD83" s="185" t="s">
        <v>2610</v>
      </c>
      <c r="AE83" s="371" t="s">
        <v>142</v>
      </c>
      <c r="AF83" s="855" t="str">
        <f>IF(AK83=FALSE,IF(W83="","","Chk Box"),IF(W83="",0,W83*500))</f>
        <v/>
      </c>
      <c r="AG83" s="855"/>
      <c r="AH83" s="855"/>
      <c r="AI83" s="181"/>
      <c r="AJ83" s="32"/>
      <c r="AK83" s="187" t="b">
        <v>0</v>
      </c>
      <c r="AL83" s="13"/>
      <c r="AM83" s="556">
        <f t="shared" si="18"/>
        <v>0</v>
      </c>
      <c r="AN83" s="556">
        <f t="shared" si="19"/>
        <v>0</v>
      </c>
      <c r="AO83" s="556">
        <f>IF(AF83="Chk Box",0,IF(AF83&gt;1,W83*4385,0))</f>
        <v>0</v>
      </c>
      <c r="AP83" s="556">
        <f>IF(AF83="Chk Box",0,IF(AF83&gt;1,W83*0.55,0))</f>
        <v>0</v>
      </c>
      <c r="AQ83" s="395"/>
      <c r="AR83" s="395">
        <f t="shared" si="21"/>
        <v>0</v>
      </c>
      <c r="AS83" s="395" t="str">
        <f t="shared" si="20"/>
        <v/>
      </c>
      <c r="AT83" s="400"/>
      <c r="AU83" s="400"/>
      <c r="AV83" s="100"/>
      <c r="AW83" s="100"/>
      <c r="AX83" s="94"/>
      <c r="AY83" s="94"/>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687"/>
      <c r="CB83" s="687"/>
      <c r="CC83" s="687"/>
      <c r="CD83" s="687"/>
      <c r="CE83" s="687"/>
      <c r="CF83" s="687"/>
      <c r="CG83" s="687"/>
      <c r="CH83" s="687"/>
      <c r="CI83" s="687"/>
      <c r="CJ83" s="687"/>
      <c r="CK83" s="687"/>
      <c r="CL83" s="687"/>
      <c r="CM83" s="687"/>
      <c r="CN83" s="687"/>
      <c r="CO83" s="687"/>
      <c r="CP83" s="687"/>
      <c r="CQ83" s="687"/>
      <c r="CR83" s="687"/>
      <c r="CS83" s="687"/>
      <c r="CT83" s="687"/>
      <c r="CU83" s="687"/>
      <c r="CV83" s="687"/>
      <c r="CW83" s="687"/>
      <c r="CX83" s="687"/>
      <c r="CY83" s="687"/>
      <c r="CZ83" s="687"/>
      <c r="DA83" s="687"/>
      <c r="DB83" s="687"/>
      <c r="DC83" s="687"/>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row>
    <row r="84" spans="1:266" ht="15.75" hidden="1" customHeight="1">
      <c r="A84" s="25"/>
      <c r="B84" s="564"/>
      <c r="C84" s="560" t="s">
        <v>2611</v>
      </c>
      <c r="D84" s="159"/>
      <c r="E84" s="159"/>
      <c r="F84" s="158"/>
      <c r="G84" s="156"/>
      <c r="H84" s="156"/>
      <c r="I84" s="156"/>
      <c r="J84" s="156"/>
      <c r="K84" s="156"/>
      <c r="L84" s="521"/>
      <c r="M84" s="521"/>
      <c r="N84" s="521"/>
      <c r="O84" s="521"/>
      <c r="P84" s="158" t="s">
        <v>2612</v>
      </c>
      <c r="Q84" s="850"/>
      <c r="R84" s="851"/>
      <c r="S84" s="43"/>
      <c r="T84" s="43"/>
      <c r="U84" s="185"/>
      <c r="V84" s="158" t="s">
        <v>2613</v>
      </c>
      <c r="W84" s="850"/>
      <c r="X84" s="851"/>
      <c r="Y84" s="29"/>
      <c r="Z84" s="168"/>
      <c r="AA84" s="168"/>
      <c r="AB84" s="168"/>
      <c r="AC84" s="168"/>
      <c r="AD84" s="185" t="s">
        <v>2600</v>
      </c>
      <c r="AE84" s="371" t="s">
        <v>142</v>
      </c>
      <c r="AF84" s="855" t="str">
        <f>IF(AK84=FALSE,IF(AND(W84="",Q84=""),"","Chk Box"),IF(AND(Q84="",W84=""),0,(Q84+W84)*200))</f>
        <v/>
      </c>
      <c r="AG84" s="855"/>
      <c r="AH84" s="855"/>
      <c r="AI84" s="181"/>
      <c r="AJ84" s="32"/>
      <c r="AK84" s="187" t="b">
        <v>0</v>
      </c>
      <c r="AL84" s="13"/>
      <c r="AM84" s="556">
        <f t="shared" si="18"/>
        <v>0</v>
      </c>
      <c r="AN84" s="556">
        <f t="shared" si="19"/>
        <v>0</v>
      </c>
      <c r="AO84" s="556">
        <f>IF(AF84="Chk Box",0,IF(AF84&gt;1,(Q84*1111)+(W84*5563),0))</f>
        <v>0</v>
      </c>
      <c r="AP84" s="556">
        <f>IF(AF84="Chk Box",0,IF(AF84&gt;1,(Q84*0.02)+(W84*0.63),0))</f>
        <v>0</v>
      </c>
      <c r="AQ84" s="395" t="s">
        <v>2494</v>
      </c>
      <c r="AR84" s="395">
        <f t="shared" si="21"/>
        <v>0</v>
      </c>
      <c r="AS84" s="395" t="str">
        <f t="shared" si="20"/>
        <v/>
      </c>
      <c r="AT84" s="395">
        <f>IF($AQ84="HVAC",$AO84,0)</f>
        <v>0</v>
      </c>
      <c r="AU84" s="395" t="str">
        <f>IF($AT84=0,"",_xlfn.RANK.EQ($AT84,$AT$34:$AT$84,0))</f>
        <v/>
      </c>
      <c r="AV84" s="100"/>
      <c r="AW84" s="100"/>
      <c r="AX84" s="94"/>
      <c r="AY84" s="94"/>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687"/>
      <c r="CB84" s="687"/>
      <c r="CC84" s="687"/>
      <c r="CD84" s="687"/>
      <c r="CE84" s="687"/>
      <c r="CF84" s="687"/>
      <c r="CG84" s="687"/>
      <c r="CH84" s="687"/>
      <c r="CI84" s="687"/>
      <c r="CJ84" s="687"/>
      <c r="CK84" s="687"/>
      <c r="CL84" s="687"/>
      <c r="CM84" s="687"/>
      <c r="CN84" s="687"/>
      <c r="CO84" s="687"/>
      <c r="CP84" s="687"/>
      <c r="CQ84" s="687"/>
      <c r="CR84" s="687"/>
      <c r="CS84" s="687"/>
      <c r="CT84" s="687"/>
      <c r="CU84" s="687"/>
      <c r="CV84" s="687"/>
      <c r="CW84" s="687"/>
      <c r="CX84" s="687"/>
      <c r="CY84" s="687"/>
      <c r="CZ84" s="687"/>
      <c r="DA84" s="687"/>
      <c r="DB84" s="687"/>
      <c r="DC84" s="687"/>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row>
    <row r="85" spans="1:266" ht="15.75" hidden="1" customHeight="1">
      <c r="A85" s="25"/>
      <c r="B85" s="564"/>
      <c r="C85" s="560"/>
      <c r="D85" s="408" t="s">
        <v>2614</v>
      </c>
      <c r="E85" s="159"/>
      <c r="F85" s="158"/>
      <c r="G85" s="156"/>
      <c r="H85" s="156"/>
      <c r="I85" s="156"/>
      <c r="J85" s="156"/>
      <c r="K85" s="156"/>
      <c r="L85" s="521"/>
      <c r="M85" s="521"/>
      <c r="N85" s="521"/>
      <c r="O85" s="521"/>
      <c r="P85" s="521"/>
      <c r="Q85" s="521"/>
      <c r="R85" s="521"/>
      <c r="S85" s="43"/>
      <c r="T85" s="43"/>
      <c r="U85" s="185"/>
      <c r="V85" s="185"/>
      <c r="W85" s="185"/>
      <c r="X85" s="185"/>
      <c r="Y85" s="185"/>
      <c r="Z85" s="185"/>
      <c r="AA85" s="168"/>
      <c r="AB85" s="168"/>
      <c r="AC85" s="168"/>
      <c r="AD85" s="185"/>
      <c r="AE85" s="185"/>
      <c r="AF85" s="185"/>
      <c r="AG85" s="185"/>
      <c r="AH85" s="185"/>
      <c r="AI85" s="181"/>
      <c r="AJ85" s="32"/>
      <c r="AK85" s="13"/>
      <c r="AL85" s="13"/>
      <c r="AM85" s="556"/>
      <c r="AN85" s="556"/>
      <c r="AO85" s="556"/>
      <c r="AP85" s="556"/>
      <c r="AQ85" s="395"/>
      <c r="AR85" s="395"/>
      <c r="AS85" s="395"/>
      <c r="AT85" s="400"/>
      <c r="AU85" s="400"/>
      <c r="AV85" s="100"/>
      <c r="AW85" s="100"/>
      <c r="AX85" s="94"/>
      <c r="AY85" s="94"/>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687"/>
      <c r="CB85" s="687"/>
      <c r="CC85" s="687"/>
      <c r="CD85" s="687"/>
      <c r="CE85" s="687"/>
      <c r="CF85" s="687"/>
      <c r="CG85" s="687"/>
      <c r="CH85" s="687"/>
      <c r="CI85" s="687"/>
      <c r="CJ85" s="687"/>
      <c r="CK85" s="687"/>
      <c r="CL85" s="687"/>
      <c r="CM85" s="687"/>
      <c r="CN85" s="687"/>
      <c r="CO85" s="687"/>
      <c r="CP85" s="687"/>
      <c r="CQ85" s="687"/>
      <c r="CR85" s="687"/>
      <c r="CS85" s="687"/>
      <c r="CT85" s="687"/>
      <c r="CU85" s="687"/>
      <c r="CV85" s="687"/>
      <c r="CW85" s="687"/>
      <c r="CX85" s="687"/>
      <c r="CY85" s="687"/>
      <c r="CZ85" s="687"/>
      <c r="DA85" s="687"/>
      <c r="DB85" s="687"/>
      <c r="DC85" s="687"/>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row>
    <row r="86" spans="1:266" ht="15.75" hidden="1" customHeight="1">
      <c r="A86" s="25"/>
      <c r="B86" s="564"/>
      <c r="C86" s="560" t="s">
        <v>2615</v>
      </c>
      <c r="D86" s="159"/>
      <c r="E86" s="159"/>
      <c r="F86" s="158"/>
      <c r="G86" s="156"/>
      <c r="H86" s="156"/>
      <c r="I86" s="156"/>
      <c r="J86" s="156"/>
      <c r="K86" s="156"/>
      <c r="L86" s="521"/>
      <c r="M86" s="521"/>
      <c r="N86" s="521"/>
      <c r="O86" s="521"/>
      <c r="P86" s="521"/>
      <c r="Q86" s="521"/>
      <c r="R86" s="521"/>
      <c r="S86" s="43"/>
      <c r="T86" s="43"/>
      <c r="U86" s="185"/>
      <c r="V86" s="158" t="s">
        <v>2561</v>
      </c>
      <c r="W86" s="850"/>
      <c r="X86" s="851"/>
      <c r="Y86" s="29" t="s">
        <v>2583</v>
      </c>
      <c r="Z86" s="168"/>
      <c r="AA86" s="168"/>
      <c r="AB86" s="168"/>
      <c r="AC86" s="168"/>
      <c r="AD86" s="185" t="s">
        <v>2584</v>
      </c>
      <c r="AE86" s="371" t="s">
        <v>142</v>
      </c>
      <c r="AF86" s="855" t="str">
        <f>IF(AK86=FALSE,IF(W86="","","Chk Box"),IF(W86="",0,W86*50))</f>
        <v/>
      </c>
      <c r="AG86" s="855"/>
      <c r="AH86" s="855"/>
      <c r="AI86" s="181"/>
      <c r="AJ86" s="32"/>
      <c r="AK86" s="187" t="b">
        <v>0</v>
      </c>
      <c r="AL86" s="13"/>
      <c r="AM86" s="556">
        <f>IFERROR(IF($AQ86="",AO86,IF($AS86="",(VLOOKUP($AU86,StackingEffects,2,FALSE)*AT86),(VLOOKUP($AS86,StackingEffects,2,FALSE)*AR86))),0)</f>
        <v>0</v>
      </c>
      <c r="AN86" s="556">
        <f>IFERROR(IF($AQ86="",AP86,IF($AS86="",(VLOOKUP($AU86,StackingEffects,2,FALSE)*AP86),(VLOOKUP($AS86,StackingEffects,2,FALSE)*AP86))),0)</f>
        <v>0</v>
      </c>
      <c r="AO86" s="556">
        <f>IF(AF86="Chk Box",0,IF(AF86&gt;1,W86*2738,0))</f>
        <v>0</v>
      </c>
      <c r="AP86" s="556">
        <f>IF(AF86="Chk Box",0,IF(AF86&gt;1,W86*0,0))</f>
        <v>0</v>
      </c>
      <c r="AQ86" s="395"/>
      <c r="AR86" s="395">
        <f t="shared" si="21"/>
        <v>0</v>
      </c>
      <c r="AS86" s="395" t="str">
        <f>IF($AR86=0,"",_xlfn.RANK.EQ($AR86,$AR$78:$AR$87,0))</f>
        <v/>
      </c>
      <c r="AT86" s="400"/>
      <c r="AU86" s="400"/>
      <c r="AV86" s="100"/>
      <c r="AW86" s="100"/>
      <c r="AX86" s="94"/>
      <c r="AY86" s="94"/>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A86" s="687"/>
      <c r="CB86" s="687"/>
      <c r="CC86" s="687"/>
      <c r="CD86" s="687"/>
      <c r="CE86" s="687"/>
      <c r="CF86" s="687"/>
      <c r="CG86" s="687"/>
      <c r="CH86" s="687"/>
      <c r="CI86" s="687"/>
      <c r="CJ86" s="687"/>
      <c r="CK86" s="687"/>
      <c r="CL86" s="687"/>
      <c r="CM86" s="687"/>
      <c r="CN86" s="687"/>
      <c r="CO86" s="687"/>
      <c r="CP86" s="687"/>
      <c r="CQ86" s="687"/>
      <c r="CR86" s="687"/>
      <c r="CS86" s="687"/>
      <c r="CT86" s="687"/>
      <c r="CU86" s="687"/>
      <c r="CV86" s="687"/>
      <c r="CW86" s="687"/>
      <c r="CX86" s="687"/>
      <c r="CY86" s="687"/>
      <c r="CZ86" s="687"/>
      <c r="DA86" s="687"/>
      <c r="DB86" s="687"/>
      <c r="DC86" s="687"/>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row>
    <row r="87" spans="1:266" ht="22.5" hidden="1" customHeight="1">
      <c r="A87" s="25"/>
      <c r="B87" s="564"/>
      <c r="C87" s="560" t="s">
        <v>2616</v>
      </c>
      <c r="D87" s="159"/>
      <c r="E87" s="159"/>
      <c r="F87" s="158"/>
      <c r="G87" s="156"/>
      <c r="H87" s="156"/>
      <c r="I87" s="156"/>
      <c r="J87" s="156"/>
      <c r="K87" s="156"/>
      <c r="L87" s="521"/>
      <c r="M87" s="521"/>
      <c r="N87" s="521"/>
      <c r="O87" s="521"/>
      <c r="P87" s="521"/>
      <c r="Q87" s="521"/>
      <c r="R87" s="521"/>
      <c r="S87" s="43"/>
      <c r="T87" s="43"/>
      <c r="U87" s="185"/>
      <c r="V87" s="158" t="s">
        <v>2561</v>
      </c>
      <c r="W87" s="850"/>
      <c r="X87" s="851"/>
      <c r="Y87" s="29" t="s">
        <v>2583</v>
      </c>
      <c r="Z87" s="168"/>
      <c r="AA87" s="168"/>
      <c r="AB87" s="168"/>
      <c r="AC87" s="168"/>
      <c r="AD87" s="185" t="s">
        <v>2603</v>
      </c>
      <c r="AE87" s="371" t="s">
        <v>142</v>
      </c>
      <c r="AF87" s="855" t="str">
        <f>IF(AK87=FALSE,IF(W87="","","Chk Box"),IF(W87="",0,W87*100))</f>
        <v/>
      </c>
      <c r="AG87" s="855"/>
      <c r="AH87" s="855"/>
      <c r="AI87" s="181"/>
      <c r="AJ87" s="32"/>
      <c r="AK87" s="187" t="b">
        <v>0</v>
      </c>
      <c r="AL87" s="13"/>
      <c r="AM87" s="556">
        <f>IFERROR(IF($AQ87="",AO87,IF($AS87="",(VLOOKUP($AU87,StackingEffects,2,FALSE)*AT87),(VLOOKUP($AS87,StackingEffects,2,FALSE)*AR87))),0)</f>
        <v>0</v>
      </c>
      <c r="AN87" s="556">
        <f>IFERROR(IF($AQ87="",AP87,IF($AS87="",(VLOOKUP($AU87,StackingEffects,2,FALSE)*AP87),(VLOOKUP($AS87,StackingEffects,2,FALSE)*AP87))),0)</f>
        <v>0</v>
      </c>
      <c r="AO87" s="556">
        <f>IF(AF87="Chk Box",0,IF(AF87&gt;1,W87*2352,0))</f>
        <v>0</v>
      </c>
      <c r="AP87" s="556">
        <f>IF(AF87="Chk Box",0,IF(AF87&gt;1,W87*0,0))</f>
        <v>0</v>
      </c>
      <c r="AQ87" s="395"/>
      <c r="AR87" s="395">
        <f t="shared" si="21"/>
        <v>0</v>
      </c>
      <c r="AS87" s="395" t="str">
        <f>IF($AR87=0,"",_xlfn.RANK.EQ($AR87,$AR$78:$AR$87,0))</f>
        <v/>
      </c>
      <c r="AT87" s="400"/>
      <c r="AU87" s="400"/>
      <c r="AV87" s="100"/>
      <c r="AW87" s="100"/>
      <c r="AX87" s="94"/>
      <c r="AY87" s="94"/>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687"/>
      <c r="CB87" s="687"/>
      <c r="CC87" s="687"/>
      <c r="CD87" s="687"/>
      <c r="CE87" s="687"/>
      <c r="CF87" s="687"/>
      <c r="CG87" s="687"/>
      <c r="CH87" s="687"/>
      <c r="CI87" s="687"/>
      <c r="CJ87" s="687"/>
      <c r="CK87" s="687"/>
      <c r="CL87" s="687"/>
      <c r="CM87" s="687"/>
      <c r="CN87" s="687"/>
      <c r="CO87" s="687"/>
      <c r="CP87" s="687"/>
      <c r="CQ87" s="687"/>
      <c r="CR87" s="687"/>
      <c r="CS87" s="687"/>
      <c r="CT87" s="687"/>
      <c r="CU87" s="687"/>
      <c r="CV87" s="687"/>
      <c r="CW87" s="687"/>
      <c r="CX87" s="687"/>
      <c r="CY87" s="687"/>
      <c r="CZ87" s="687"/>
      <c r="DA87" s="687"/>
      <c r="DB87" s="687"/>
      <c r="DC87" s="687"/>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c r="IV87" s="10"/>
      <c r="IW87" s="10"/>
      <c r="IX87" s="10"/>
      <c r="IY87" s="10"/>
      <c r="IZ87" s="10"/>
      <c r="JA87" s="10"/>
      <c r="JB87" s="10"/>
      <c r="JC87" s="10"/>
      <c r="JD87" s="10"/>
      <c r="JE87" s="10"/>
      <c r="JF87" s="10"/>
    </row>
    <row r="88" spans="1:266" ht="12.75" hidden="1" customHeight="1">
      <c r="A88" s="25"/>
      <c r="B88" s="565"/>
      <c r="C88" s="566"/>
      <c r="D88" s="167"/>
      <c r="E88" s="167"/>
      <c r="F88" s="167"/>
      <c r="G88" s="167"/>
      <c r="H88" s="167"/>
      <c r="I88" s="167"/>
      <c r="J88" s="167"/>
      <c r="K88" s="167"/>
      <c r="L88" s="167"/>
      <c r="M88" s="167"/>
      <c r="N88" s="167"/>
      <c r="O88" s="167"/>
      <c r="P88" s="167"/>
      <c r="Q88" s="167"/>
      <c r="R88" s="167"/>
      <c r="S88" s="43"/>
      <c r="T88" s="384"/>
      <c r="U88" s="384"/>
      <c r="V88" s="191"/>
      <c r="W88" s="191"/>
      <c r="X88" s="191"/>
      <c r="Y88" s="191"/>
      <c r="Z88" s="191"/>
      <c r="AA88" s="191"/>
      <c r="AB88" s="191"/>
      <c r="AC88" s="191"/>
      <c r="AD88" s="384"/>
      <c r="AE88" s="384"/>
      <c r="AF88" s="188"/>
      <c r="AG88" s="167"/>
      <c r="AH88" s="167"/>
      <c r="AI88" s="558"/>
      <c r="AJ88" s="32"/>
      <c r="AK88" s="9"/>
      <c r="AL88" s="9"/>
      <c r="AQ88" s="9"/>
      <c r="AR88" s="9"/>
      <c r="AV88" s="100"/>
      <c r="AW88" s="100"/>
      <c r="AX88" s="94"/>
      <c r="AY88" s="94"/>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687"/>
      <c r="CB88" s="687"/>
      <c r="CC88" s="687"/>
      <c r="CD88" s="687"/>
      <c r="CE88" s="687"/>
      <c r="CF88" s="687"/>
      <c r="CG88" s="687"/>
      <c r="CH88" s="687"/>
      <c r="CI88" s="687"/>
      <c r="CJ88" s="687"/>
      <c r="CK88" s="687"/>
      <c r="CL88" s="687"/>
      <c r="CM88" s="687"/>
      <c r="CN88" s="687"/>
      <c r="CO88" s="687"/>
      <c r="CP88" s="687"/>
      <c r="CQ88" s="687"/>
      <c r="CR88" s="687"/>
      <c r="CS88" s="687"/>
      <c r="CT88" s="687"/>
      <c r="CU88" s="687"/>
      <c r="CV88" s="687"/>
      <c r="CW88" s="687"/>
      <c r="CX88" s="687"/>
      <c r="CY88" s="687"/>
      <c r="CZ88" s="687"/>
      <c r="DA88" s="687"/>
      <c r="DB88" s="687"/>
      <c r="DC88" s="687"/>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row>
    <row r="89" spans="1:266" s="2" customFormat="1" ht="12.75" hidden="1" customHeight="1">
      <c r="A89" s="25"/>
      <c r="B89" s="567"/>
      <c r="C89" s="561"/>
      <c r="D89" s="157"/>
      <c r="E89" s="157"/>
      <c r="F89" s="157"/>
      <c r="G89" s="157"/>
      <c r="H89" s="157"/>
      <c r="I89" s="157"/>
      <c r="J89" s="157"/>
      <c r="K89" s="157"/>
      <c r="L89" s="157"/>
      <c r="M89" s="157"/>
      <c r="N89" s="157"/>
      <c r="O89" s="157"/>
      <c r="P89" s="157"/>
      <c r="Q89" s="157"/>
      <c r="R89" s="157"/>
      <c r="S89" s="43"/>
      <c r="T89" s="43"/>
      <c r="U89" s="43"/>
      <c r="V89" s="168"/>
      <c r="W89" s="168"/>
      <c r="X89" s="168"/>
      <c r="Y89" s="168"/>
      <c r="Z89" s="168"/>
      <c r="AA89" s="168"/>
      <c r="AB89" s="168"/>
      <c r="AC89" s="168"/>
      <c r="AD89" s="43"/>
      <c r="AE89" s="43"/>
      <c r="AF89" s="43"/>
      <c r="AG89" s="157"/>
      <c r="AH89" s="157"/>
      <c r="AI89" s="43"/>
      <c r="AJ89" s="32"/>
      <c r="AK89" s="1"/>
      <c r="AL89" s="1"/>
      <c r="AM89" s="1"/>
      <c r="AN89" s="1"/>
      <c r="AO89" s="9"/>
      <c r="AP89" s="9"/>
      <c r="AQ89" s="9"/>
      <c r="AR89" s="9"/>
      <c r="AS89" s="1"/>
      <c r="AT89" s="1"/>
      <c r="AU89" s="1"/>
      <c r="AV89" s="100"/>
      <c r="AW89" s="100"/>
      <c r="AX89" s="96"/>
      <c r="AY89" s="96"/>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687"/>
      <c r="CB89" s="687"/>
      <c r="CC89" s="687"/>
      <c r="CD89" s="687"/>
      <c r="CE89" s="687"/>
      <c r="CF89" s="687"/>
      <c r="CG89" s="687"/>
      <c r="CH89" s="687"/>
      <c r="CI89" s="687"/>
      <c r="CJ89" s="687"/>
      <c r="CK89" s="687"/>
      <c r="CL89" s="687"/>
      <c r="CM89" s="687"/>
      <c r="CN89" s="687"/>
      <c r="CO89" s="687"/>
      <c r="CP89" s="687"/>
      <c r="CQ89" s="687"/>
      <c r="CR89" s="687"/>
      <c r="CS89" s="687"/>
      <c r="CT89" s="687"/>
      <c r="CU89" s="687"/>
      <c r="CV89" s="687"/>
      <c r="CW89" s="687"/>
      <c r="CX89" s="687"/>
      <c r="CY89" s="687"/>
      <c r="CZ89" s="687"/>
      <c r="DA89" s="687"/>
      <c r="DB89" s="687"/>
      <c r="DC89" s="687"/>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row>
    <row r="90" spans="1:266" ht="14.25" hidden="1">
      <c r="A90" s="25"/>
      <c r="B90" s="562" t="s">
        <v>2617</v>
      </c>
      <c r="C90" s="568"/>
      <c r="D90" s="31"/>
      <c r="E90" s="31"/>
      <c r="F90" s="31"/>
      <c r="G90" s="31"/>
      <c r="H90" s="31"/>
      <c r="I90" s="31"/>
      <c r="J90" s="31"/>
      <c r="K90" s="31"/>
      <c r="L90" s="31"/>
      <c r="M90" s="31"/>
      <c r="N90" s="31"/>
      <c r="O90" s="31"/>
      <c r="P90" s="31"/>
      <c r="Q90" s="31"/>
      <c r="R90" s="31"/>
      <c r="S90" s="43"/>
      <c r="T90" s="43"/>
      <c r="U90" s="31"/>
      <c r="V90" s="168"/>
      <c r="W90" s="168"/>
      <c r="X90" s="168"/>
      <c r="Y90" s="168"/>
      <c r="Z90" s="168"/>
      <c r="AA90" s="168"/>
      <c r="AB90" s="168"/>
      <c r="AC90" s="168"/>
      <c r="AD90" s="31"/>
      <c r="AE90" s="31"/>
      <c r="AF90" s="42"/>
      <c r="AG90" s="157"/>
      <c r="AH90" s="157"/>
      <c r="AI90" s="31"/>
      <c r="AJ90" s="25"/>
      <c r="AM90" s="847" t="s">
        <v>2481</v>
      </c>
      <c r="AN90" s="847"/>
      <c r="AO90" s="736" t="s">
        <v>2482</v>
      </c>
      <c r="AP90" s="736"/>
      <c r="AQ90" s="736"/>
      <c r="AR90" s="736"/>
      <c r="AS90" s="736"/>
      <c r="AT90" s="736"/>
      <c r="AU90" s="736"/>
      <c r="AV90" s="99"/>
      <c r="AW90" s="99"/>
      <c r="AX90" s="94"/>
      <c r="AY90" s="94"/>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688"/>
      <c r="CB90" s="688"/>
      <c r="CC90" s="688"/>
      <c r="CD90" s="688"/>
      <c r="CE90" s="688"/>
      <c r="CF90" s="688"/>
      <c r="CG90" s="688"/>
      <c r="CH90" s="688"/>
      <c r="CI90" s="688"/>
      <c r="CJ90" s="688"/>
      <c r="CK90" s="688"/>
      <c r="CL90" s="688"/>
      <c r="CM90" s="688"/>
      <c r="CN90" s="688"/>
      <c r="CO90" s="688"/>
      <c r="CP90" s="688"/>
      <c r="CQ90" s="688"/>
      <c r="CR90" s="688"/>
      <c r="CS90" s="688"/>
      <c r="CT90" s="688"/>
      <c r="CU90" s="688"/>
      <c r="CV90" s="688"/>
      <c r="CW90" s="688"/>
      <c r="CX90" s="688"/>
      <c r="CY90" s="688"/>
      <c r="CZ90" s="688"/>
      <c r="DA90" s="688"/>
      <c r="DB90" s="688"/>
      <c r="DC90" s="68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row>
    <row r="91" spans="1:266" hidden="1">
      <c r="A91" s="25"/>
      <c r="B91" s="569"/>
      <c r="C91" s="570"/>
      <c r="D91" s="176"/>
      <c r="E91" s="176"/>
      <c r="F91" s="176"/>
      <c r="G91" s="385"/>
      <c r="H91" s="385"/>
      <c r="I91" s="385"/>
      <c r="J91" s="176"/>
      <c r="K91" s="176"/>
      <c r="L91" s="176"/>
      <c r="M91" s="176"/>
      <c r="N91" s="192"/>
      <c r="O91" s="192"/>
      <c r="P91" s="26"/>
      <c r="Q91" s="176"/>
      <c r="R91" s="176"/>
      <c r="S91" s="43"/>
      <c r="T91" s="182"/>
      <c r="U91" s="552"/>
      <c r="V91" s="385"/>
      <c r="W91" s="193"/>
      <c r="X91" s="193"/>
      <c r="Y91" s="193"/>
      <c r="Z91" s="388"/>
      <c r="AA91" s="388"/>
      <c r="AB91" s="388"/>
      <c r="AC91" s="388"/>
      <c r="AD91" s="388"/>
      <c r="AE91" s="552"/>
      <c r="AF91" s="356" t="s">
        <v>2483</v>
      </c>
      <c r="AG91" s="356"/>
      <c r="AH91" s="356"/>
      <c r="AI91" s="27"/>
      <c r="AJ91" s="31"/>
      <c r="AM91" s="10" t="s">
        <v>2484</v>
      </c>
      <c r="AN91" s="10" t="s">
        <v>2485</v>
      </c>
      <c r="AO91" s="10" t="s">
        <v>2486</v>
      </c>
      <c r="AP91" s="10" t="s">
        <v>2487</v>
      </c>
      <c r="AQ91" s="10" t="s">
        <v>2488</v>
      </c>
      <c r="AR91" s="10" t="s">
        <v>2618</v>
      </c>
      <c r="AS91" s="10" t="s">
        <v>2619</v>
      </c>
      <c r="AT91" s="10"/>
      <c r="AU91" s="10"/>
      <c r="AV91" s="100"/>
      <c r="AW91" s="100"/>
      <c r="AX91" s="94"/>
      <c r="AY91" s="94"/>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687"/>
      <c r="CB91" s="687"/>
      <c r="CC91" s="687"/>
      <c r="CD91" s="687"/>
      <c r="CE91" s="687"/>
      <c r="CF91" s="687"/>
      <c r="CG91" s="687"/>
      <c r="CH91" s="687"/>
      <c r="CI91" s="687"/>
      <c r="CJ91" s="687"/>
      <c r="CK91" s="687"/>
      <c r="CL91" s="687"/>
      <c r="CM91" s="687"/>
      <c r="CN91" s="687"/>
      <c r="CO91" s="687"/>
      <c r="CP91" s="687"/>
      <c r="CQ91" s="687"/>
      <c r="CR91" s="687"/>
      <c r="CS91" s="687"/>
      <c r="CT91" s="687"/>
      <c r="CU91" s="687"/>
      <c r="CV91" s="687"/>
      <c r="CW91" s="687"/>
      <c r="CX91" s="687"/>
      <c r="CY91" s="687"/>
      <c r="CZ91" s="687"/>
      <c r="DA91" s="687"/>
      <c r="DB91" s="687"/>
      <c r="DC91" s="687"/>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c r="IV91" s="10"/>
      <c r="IW91" s="10"/>
      <c r="IX91" s="10"/>
      <c r="IY91" s="10"/>
      <c r="IZ91" s="10"/>
      <c r="JA91" s="10"/>
      <c r="JB91" s="10"/>
      <c r="JC91" s="10"/>
      <c r="JD91" s="10"/>
      <c r="JE91" s="10"/>
      <c r="JF91" s="10"/>
    </row>
    <row r="92" spans="1:266" ht="12.75" hidden="1" customHeight="1">
      <c r="A92" s="25"/>
      <c r="B92" s="564"/>
      <c r="C92" s="561" t="s">
        <v>2620</v>
      </c>
      <c r="D92" s="159"/>
      <c r="E92" s="159"/>
      <c r="F92" s="158"/>
      <c r="G92" s="156"/>
      <c r="H92" s="156"/>
      <c r="I92" s="156"/>
      <c r="J92" s="156"/>
      <c r="K92" s="156"/>
      <c r="L92" s="521"/>
      <c r="M92" s="521"/>
      <c r="N92" s="521"/>
      <c r="O92" s="521"/>
      <c r="P92" s="521"/>
      <c r="Q92" s="521"/>
      <c r="R92" s="521"/>
      <c r="S92" s="43"/>
      <c r="T92" s="43"/>
      <c r="U92" s="185"/>
      <c r="V92" s="158" t="s">
        <v>2561</v>
      </c>
      <c r="W92" s="850"/>
      <c r="X92" s="851"/>
      <c r="Y92" s="159" t="s">
        <v>2621</v>
      </c>
      <c r="Z92" s="168"/>
      <c r="AA92" s="168"/>
      <c r="AB92" s="168"/>
      <c r="AC92" s="168"/>
      <c r="AD92" s="185" t="s">
        <v>2622</v>
      </c>
      <c r="AE92" s="371" t="s">
        <v>142</v>
      </c>
      <c r="AF92" s="855" t="str">
        <f>IF(AK92=FALSE,IF(W92="","",IF($AO$1="OR","ID Only","Chk Box")),IF($AO$1="OR","ID Only",IF(W92="",0,W92*20)))</f>
        <v/>
      </c>
      <c r="AG92" s="855"/>
      <c r="AH92" s="855"/>
      <c r="AI92" s="181"/>
      <c r="AJ92" s="157"/>
      <c r="AK92" s="187" t="b">
        <v>0</v>
      </c>
      <c r="AL92" s="13"/>
      <c r="AM92" s="556">
        <f t="shared" ref="AM92:AM96" si="22">IFERROR(IF($AQ92="",AO92,IF($AS92="",(VLOOKUP($AU92,StackingEffects,2,FALSE)*AT92),(VLOOKUP($AS92,StackingEffects,2,FALSE)*AR92))),0)</f>
        <v>0</v>
      </c>
      <c r="AN92" s="556">
        <f t="shared" ref="AN92:AN96" si="23">IFERROR(IF($AQ92="",AP92,IF($AS92="",(VLOOKUP($AU92,StackingEffects,2,FALSE)*AP92),(VLOOKUP($AS92,StackingEffects,2,FALSE)*AP92))),0)</f>
        <v>0</v>
      </c>
      <c r="AO92" s="556">
        <f>IF(OR(AF92="Chk Box",AF92="ID Only"),0,IF(AF92&gt;1,W92*114,0))</f>
        <v>0</v>
      </c>
      <c r="AP92" s="556">
        <f>IF(AF92="Chk Box",0,IF(AF92&gt;1,W92*0.112,0))</f>
        <v>0</v>
      </c>
      <c r="AQ92" s="395" t="s">
        <v>2623</v>
      </c>
      <c r="AR92" s="395">
        <f t="shared" ref="AR92:AR96" si="24">IF($AQ92="REFRIGERATION",$AO92,0)</f>
        <v>0</v>
      </c>
      <c r="AS92" s="395" t="str">
        <f>IF($AR92=0,"",_xlfn.RANK.EQ($AR92,$AR$92:$AR$96,0))</f>
        <v/>
      </c>
      <c r="AT92" s="10"/>
      <c r="AU92" s="400"/>
      <c r="AV92" s="100"/>
      <c r="AW92" s="100"/>
      <c r="AX92" s="94"/>
      <c r="AY92" s="94"/>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687"/>
      <c r="CB92" s="687"/>
      <c r="CC92" s="687"/>
      <c r="CD92" s="687"/>
      <c r="CE92" s="687"/>
      <c r="CF92" s="687"/>
      <c r="CG92" s="687"/>
      <c r="CH92" s="687"/>
      <c r="CI92" s="687"/>
      <c r="CJ92" s="687"/>
      <c r="CK92" s="687"/>
      <c r="CL92" s="687"/>
      <c r="CM92" s="687"/>
      <c r="CN92" s="687"/>
      <c r="CO92" s="687"/>
      <c r="CP92" s="687"/>
      <c r="CQ92" s="687"/>
      <c r="CR92" s="687"/>
      <c r="CS92" s="687"/>
      <c r="CT92" s="687"/>
      <c r="CU92" s="687"/>
      <c r="CV92" s="687"/>
      <c r="CW92" s="687"/>
      <c r="CX92" s="687"/>
      <c r="CY92" s="687"/>
      <c r="CZ92" s="687"/>
      <c r="DA92" s="687"/>
      <c r="DB92" s="687"/>
      <c r="DC92" s="687"/>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row>
    <row r="93" spans="1:266" ht="15.75" hidden="1" customHeight="1">
      <c r="A93" s="25"/>
      <c r="B93" s="564"/>
      <c r="C93" s="560" t="s">
        <v>2624</v>
      </c>
      <c r="D93" s="159"/>
      <c r="E93" s="159"/>
      <c r="F93" s="158"/>
      <c r="G93" s="156"/>
      <c r="H93" s="156"/>
      <c r="I93" s="156"/>
      <c r="J93" s="156"/>
      <c r="K93" s="156"/>
      <c r="L93" s="521"/>
      <c r="M93" s="521"/>
      <c r="N93" s="521"/>
      <c r="O93" s="521"/>
      <c r="P93" s="521"/>
      <c r="Q93" s="521"/>
      <c r="R93" s="521"/>
      <c r="S93" s="43"/>
      <c r="T93" s="43"/>
      <c r="U93" s="185"/>
      <c r="V93" s="158" t="s">
        <v>2547</v>
      </c>
      <c r="W93" s="850"/>
      <c r="X93" s="851"/>
      <c r="Y93" s="159" t="s">
        <v>2508</v>
      </c>
      <c r="Z93" s="168"/>
      <c r="AA93" s="168"/>
      <c r="AB93" s="168"/>
      <c r="AC93" s="168"/>
      <c r="AD93" s="185" t="s">
        <v>2625</v>
      </c>
      <c r="AE93" s="371" t="s">
        <v>142</v>
      </c>
      <c r="AF93" s="855" t="str">
        <f>IF(AK93=FALSE,IF(W93="","","Chk Box"),IF(W93="",0,W93*25))</f>
        <v/>
      </c>
      <c r="AG93" s="855"/>
      <c r="AH93" s="855"/>
      <c r="AI93" s="181"/>
      <c r="AJ93" s="157"/>
      <c r="AK93" s="187" t="b">
        <v>0</v>
      </c>
      <c r="AL93" s="13"/>
      <c r="AM93" s="556">
        <f t="shared" si="22"/>
        <v>0</v>
      </c>
      <c r="AN93" s="556">
        <f t="shared" si="23"/>
        <v>0</v>
      </c>
      <c r="AO93" s="556">
        <f>IF(AF93="Chk Box",0,IF(AF93&gt;1,W93*360,0))</f>
        <v>0</v>
      </c>
      <c r="AP93" s="556">
        <f>IF(AF93="Chk Box",0,IF(AF93&gt;1,W93*0.33,0))</f>
        <v>0</v>
      </c>
      <c r="AQ93" s="395" t="s">
        <v>2623</v>
      </c>
      <c r="AR93" s="395">
        <f t="shared" si="24"/>
        <v>0</v>
      </c>
      <c r="AS93" s="395" t="str">
        <f>IF($AR93=0,"",_xlfn.RANK.EQ($AR93,$AR$92:$AR$96,0))</f>
        <v/>
      </c>
      <c r="AT93" s="10"/>
      <c r="AU93" s="400"/>
      <c r="AV93" s="100"/>
      <c r="AW93" s="100"/>
      <c r="AX93" s="94"/>
      <c r="AY93" s="94"/>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687"/>
      <c r="CB93" s="687"/>
      <c r="CC93" s="687"/>
      <c r="CD93" s="687"/>
      <c r="CE93" s="687"/>
      <c r="CF93" s="687"/>
      <c r="CG93" s="687"/>
      <c r="CH93" s="687"/>
      <c r="CI93" s="687"/>
      <c r="CJ93" s="687"/>
      <c r="CK93" s="687"/>
      <c r="CL93" s="687"/>
      <c r="CM93" s="687"/>
      <c r="CN93" s="687"/>
      <c r="CO93" s="687"/>
      <c r="CP93" s="687"/>
      <c r="CQ93" s="687"/>
      <c r="CR93" s="687"/>
      <c r="CS93" s="687"/>
      <c r="CT93" s="687"/>
      <c r="CU93" s="687"/>
      <c r="CV93" s="687"/>
      <c r="CW93" s="687"/>
      <c r="CX93" s="687"/>
      <c r="CY93" s="687"/>
      <c r="CZ93" s="687"/>
      <c r="DA93" s="687"/>
      <c r="DB93" s="687"/>
      <c r="DC93" s="687"/>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row>
    <row r="94" spans="1:266" ht="15.75" hidden="1" customHeight="1">
      <c r="A94" s="25"/>
      <c r="B94" s="564"/>
      <c r="C94" s="560" t="s">
        <v>2626</v>
      </c>
      <c r="D94" s="159"/>
      <c r="E94" s="159"/>
      <c r="F94" s="158"/>
      <c r="G94" s="156"/>
      <c r="H94" s="156"/>
      <c r="I94" s="156"/>
      <c r="J94" s="156"/>
      <c r="K94" s="156"/>
      <c r="L94" s="521"/>
      <c r="M94" s="521"/>
      <c r="N94" s="521"/>
      <c r="O94" s="521"/>
      <c r="P94" s="521"/>
      <c r="Q94" s="521"/>
      <c r="R94" s="521"/>
      <c r="S94" s="43"/>
      <c r="T94" s="43"/>
      <c r="U94" s="185"/>
      <c r="V94" s="158" t="s">
        <v>2547</v>
      </c>
      <c r="W94" s="850"/>
      <c r="X94" s="851"/>
      <c r="Y94" s="159" t="s">
        <v>2508</v>
      </c>
      <c r="Z94" s="168"/>
      <c r="AA94" s="168"/>
      <c r="AB94" s="168"/>
      <c r="AC94" s="168"/>
      <c r="AD94" s="185" t="s">
        <v>2627</v>
      </c>
      <c r="AE94" s="371" t="s">
        <v>142</v>
      </c>
      <c r="AF94" s="855" t="str">
        <f>IF(AK94=FALSE,IF(W94="","","Chk Box"),IF(W94="",0,W94*50))</f>
        <v/>
      </c>
      <c r="AG94" s="855"/>
      <c r="AH94" s="855"/>
      <c r="AI94" s="181"/>
      <c r="AJ94" s="157"/>
      <c r="AK94" s="187" t="b">
        <v>0</v>
      </c>
      <c r="AL94" s="13"/>
      <c r="AM94" s="556">
        <f t="shared" si="22"/>
        <v>0</v>
      </c>
      <c r="AN94" s="556">
        <f t="shared" si="23"/>
        <v>0</v>
      </c>
      <c r="AO94" s="556">
        <f>IF(AF94="Chk Box",0,IF(AF94&gt;1,W94*1829,0))</f>
        <v>0</v>
      </c>
      <c r="AP94" s="556">
        <f>IF(AF94="Chk Box",0,IF(AF94&gt;1,W94*1.67,0))</f>
        <v>0</v>
      </c>
      <c r="AQ94" s="395" t="s">
        <v>2623</v>
      </c>
      <c r="AR94" s="395">
        <f t="shared" si="24"/>
        <v>0</v>
      </c>
      <c r="AS94" s="395" t="str">
        <f>IF($AR94=0,"",_xlfn.RANK.EQ($AR94,$AR$92:$AR$96,0))</f>
        <v/>
      </c>
      <c r="AT94" s="10"/>
      <c r="AU94" s="400"/>
      <c r="AV94" s="100"/>
      <c r="AW94" s="100"/>
      <c r="AX94" s="94"/>
      <c r="AY94" s="94"/>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687"/>
      <c r="CB94" s="687"/>
      <c r="CC94" s="687"/>
      <c r="CD94" s="687"/>
      <c r="CE94" s="687"/>
      <c r="CF94" s="687"/>
      <c r="CG94" s="687"/>
      <c r="CH94" s="687"/>
      <c r="CI94" s="687"/>
      <c r="CJ94" s="687"/>
      <c r="CK94" s="687"/>
      <c r="CL94" s="687"/>
      <c r="CM94" s="687"/>
      <c r="CN94" s="687"/>
      <c r="CO94" s="687"/>
      <c r="CP94" s="687"/>
      <c r="CQ94" s="687"/>
      <c r="CR94" s="687"/>
      <c r="CS94" s="687"/>
      <c r="CT94" s="687"/>
      <c r="CU94" s="687"/>
      <c r="CV94" s="687"/>
      <c r="CW94" s="687"/>
      <c r="CX94" s="687"/>
      <c r="CY94" s="687"/>
      <c r="CZ94" s="687"/>
      <c r="DA94" s="687"/>
      <c r="DB94" s="687"/>
      <c r="DC94" s="687"/>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c r="IV94" s="10"/>
      <c r="IW94" s="10"/>
      <c r="IX94" s="10"/>
      <c r="IY94" s="10"/>
      <c r="IZ94" s="10"/>
      <c r="JA94" s="10"/>
      <c r="JB94" s="10"/>
      <c r="JC94" s="10"/>
      <c r="JD94" s="10"/>
      <c r="JE94" s="10"/>
      <c r="JF94" s="10"/>
    </row>
    <row r="95" spans="1:266" ht="15.75" hidden="1" customHeight="1">
      <c r="A95" s="25"/>
      <c r="B95" s="564"/>
      <c r="C95" s="560" t="s">
        <v>2628</v>
      </c>
      <c r="D95" s="159"/>
      <c r="E95" s="159"/>
      <c r="F95" s="158"/>
      <c r="G95" s="156"/>
      <c r="H95" s="156"/>
      <c r="I95" s="156"/>
      <c r="J95" s="156"/>
      <c r="K95" s="156"/>
      <c r="L95" s="521"/>
      <c r="M95" s="521"/>
      <c r="N95" s="521"/>
      <c r="O95" s="521"/>
      <c r="P95" s="521"/>
      <c r="Q95" s="521"/>
      <c r="R95" s="521"/>
      <c r="S95" s="43"/>
      <c r="T95" s="43"/>
      <c r="U95" s="185"/>
      <c r="V95" s="158" t="s">
        <v>2547</v>
      </c>
      <c r="W95" s="850"/>
      <c r="X95" s="851"/>
      <c r="Y95" s="159" t="s">
        <v>2508</v>
      </c>
      <c r="Z95" s="168"/>
      <c r="AA95" s="168"/>
      <c r="AB95" s="168"/>
      <c r="AC95" s="168"/>
      <c r="AD95" s="185" t="s">
        <v>2629</v>
      </c>
      <c r="AE95" s="371" t="s">
        <v>142</v>
      </c>
      <c r="AF95" s="855" t="str">
        <f>IF(AK95=FALSE,IF(W95="","","Chk Box"),IF(W95="",0,W95*100))</f>
        <v/>
      </c>
      <c r="AG95" s="855"/>
      <c r="AH95" s="855"/>
      <c r="AI95" s="181"/>
      <c r="AJ95" s="157"/>
      <c r="AK95" s="187" t="b">
        <v>0</v>
      </c>
      <c r="AL95" s="13"/>
      <c r="AM95" s="556">
        <f t="shared" si="22"/>
        <v>0</v>
      </c>
      <c r="AN95" s="556">
        <f t="shared" si="23"/>
        <v>0</v>
      </c>
      <c r="AO95" s="556">
        <f>IF(AF95="Chk Box",0,IF(AF95&gt;1,W95*2531,0))</f>
        <v>0</v>
      </c>
      <c r="AP95" s="556">
        <f>IF(AF95="Chk Box",0,IF(AF95&gt;1,W95*2.31,0))</f>
        <v>0</v>
      </c>
      <c r="AQ95" s="395" t="s">
        <v>2623</v>
      </c>
      <c r="AR95" s="395">
        <f t="shared" si="24"/>
        <v>0</v>
      </c>
      <c r="AS95" s="395" t="str">
        <f>IF($AR95=0,"",_xlfn.RANK.EQ($AR95,$AR$92:$AR$96,0))</f>
        <v/>
      </c>
      <c r="AT95" s="10"/>
      <c r="AU95" s="400"/>
      <c r="AV95" s="94"/>
      <c r="AW95" s="94"/>
      <c r="AX95" s="94"/>
      <c r="AY95" s="94"/>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687"/>
      <c r="CB95" s="687"/>
      <c r="CC95" s="687"/>
      <c r="CD95" s="687"/>
      <c r="CE95" s="687"/>
      <c r="CF95" s="687"/>
      <c r="CG95" s="687"/>
      <c r="CH95" s="687"/>
      <c r="CI95" s="687"/>
      <c r="CJ95" s="687"/>
      <c r="CK95" s="687"/>
      <c r="CL95" s="687"/>
      <c r="CM95" s="687"/>
      <c r="CN95" s="687"/>
      <c r="CO95" s="687"/>
      <c r="CP95" s="687"/>
      <c r="CQ95" s="687"/>
      <c r="CR95" s="687"/>
      <c r="CS95" s="687"/>
      <c r="CT95" s="687"/>
      <c r="CU95" s="687"/>
      <c r="CV95" s="687"/>
      <c r="CW95" s="687"/>
      <c r="CX95" s="687"/>
      <c r="CY95" s="687"/>
      <c r="CZ95" s="687"/>
      <c r="DA95" s="687"/>
      <c r="DB95" s="687"/>
      <c r="DC95" s="687"/>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c r="IV95" s="10"/>
      <c r="IW95" s="10"/>
      <c r="IX95" s="10"/>
      <c r="IY95" s="10"/>
      <c r="IZ95" s="10"/>
      <c r="JA95" s="10"/>
      <c r="JB95" s="10"/>
      <c r="JC95" s="10"/>
      <c r="JD95" s="10"/>
      <c r="JE95" s="10"/>
      <c r="JF95" s="10"/>
    </row>
    <row r="96" spans="1:266" ht="15.75" hidden="1" customHeight="1">
      <c r="A96" s="25"/>
      <c r="B96" s="564"/>
      <c r="C96" s="561" t="s">
        <v>2630</v>
      </c>
      <c r="D96" s="159"/>
      <c r="E96" s="159"/>
      <c r="F96" s="158"/>
      <c r="G96" s="156"/>
      <c r="H96" s="156"/>
      <c r="I96" s="156"/>
      <c r="J96" s="156"/>
      <c r="K96" s="156"/>
      <c r="L96" s="521"/>
      <c r="M96" s="521"/>
      <c r="N96" s="521"/>
      <c r="O96" s="521"/>
      <c r="P96" s="521"/>
      <c r="Q96" s="521"/>
      <c r="R96" s="521"/>
      <c r="S96" s="43"/>
      <c r="T96" s="43"/>
      <c r="U96" s="185"/>
      <c r="V96" s="158" t="s">
        <v>2561</v>
      </c>
      <c r="W96" s="850"/>
      <c r="X96" s="851"/>
      <c r="Y96" s="159" t="s">
        <v>2562</v>
      </c>
      <c r="Z96" s="168"/>
      <c r="AA96" s="168"/>
      <c r="AB96" s="168"/>
      <c r="AC96" s="168"/>
      <c r="AD96" s="185" t="s">
        <v>2574</v>
      </c>
      <c r="AE96" s="371" t="s">
        <v>142</v>
      </c>
      <c r="AF96" s="856" t="str">
        <f>IF(AK96=FALSE,IF(W96="","",IF($AO$1="OR","ID Only","Chk Box")),IF($AO$1="OR","ID Only",IF(W96="",0,W96*30)))</f>
        <v/>
      </c>
      <c r="AG96" s="856"/>
      <c r="AH96" s="856"/>
      <c r="AI96" s="181"/>
      <c r="AJ96" s="157"/>
      <c r="AK96" s="187" t="b">
        <v>0</v>
      </c>
      <c r="AL96" s="13"/>
      <c r="AM96" s="556">
        <f t="shared" si="22"/>
        <v>0</v>
      </c>
      <c r="AN96" s="556">
        <f t="shared" si="23"/>
        <v>0</v>
      </c>
      <c r="AO96" s="556">
        <f>IF(OR(AF96="Chk Box",AF96="ID Only"),0,IF(AF96&gt;1,W96*110,0))</f>
        <v>0</v>
      </c>
      <c r="AP96" s="556">
        <f>IF(AF96="Chk Box",0,IF(AF96&gt;1,W96*0.05,0))</f>
        <v>0</v>
      </c>
      <c r="AQ96" s="395" t="s">
        <v>2623</v>
      </c>
      <c r="AR96" s="395">
        <f t="shared" si="24"/>
        <v>0</v>
      </c>
      <c r="AS96" s="395" t="str">
        <f>IF($AR96=0,"",_xlfn.RANK.EQ($AR96,$AR$92:$AR$96,0))</f>
        <v/>
      </c>
      <c r="AT96" s="10"/>
      <c r="AU96" s="400"/>
      <c r="AV96" s="94"/>
      <c r="AW96" s="94"/>
      <c r="AX96" s="94"/>
      <c r="AY96" s="94"/>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687"/>
      <c r="CB96" s="687"/>
      <c r="CC96" s="687"/>
      <c r="CD96" s="687"/>
      <c r="CE96" s="687"/>
      <c r="CF96" s="687"/>
      <c r="CG96" s="687"/>
      <c r="CH96" s="687"/>
      <c r="CI96" s="687"/>
      <c r="CJ96" s="687"/>
      <c r="CK96" s="687"/>
      <c r="CL96" s="687"/>
      <c r="CM96" s="687"/>
      <c r="CN96" s="687"/>
      <c r="CO96" s="687"/>
      <c r="CP96" s="687"/>
      <c r="CQ96" s="687"/>
      <c r="CR96" s="687"/>
      <c r="CS96" s="687"/>
      <c r="CT96" s="687"/>
      <c r="CU96" s="687"/>
      <c r="CV96" s="687"/>
      <c r="CW96" s="687"/>
      <c r="CX96" s="687"/>
      <c r="CY96" s="687"/>
      <c r="CZ96" s="687"/>
      <c r="DA96" s="687"/>
      <c r="DB96" s="687"/>
      <c r="DC96" s="687"/>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row>
    <row r="97" spans="1:266" ht="15.75" hidden="1" customHeight="1">
      <c r="A97" s="25"/>
      <c r="B97" s="565"/>
      <c r="C97" s="566"/>
      <c r="D97" s="167"/>
      <c r="E97" s="167"/>
      <c r="F97" s="167"/>
      <c r="G97" s="167"/>
      <c r="H97" s="167"/>
      <c r="I97" s="167"/>
      <c r="J97" s="167"/>
      <c r="K97" s="167"/>
      <c r="L97" s="167"/>
      <c r="M97" s="167"/>
      <c r="N97" s="167"/>
      <c r="O97" s="167"/>
      <c r="P97" s="167"/>
      <c r="Q97" s="167"/>
      <c r="R97" s="167"/>
      <c r="S97" s="43"/>
      <c r="T97" s="384"/>
      <c r="U97" s="384"/>
      <c r="V97" s="191"/>
      <c r="W97" s="191"/>
      <c r="X97" s="191"/>
      <c r="Y97" s="191"/>
      <c r="Z97" s="191"/>
      <c r="AA97" s="191"/>
      <c r="AB97" s="191"/>
      <c r="AC97" s="191"/>
      <c r="AD97" s="384"/>
      <c r="AE97" s="384"/>
      <c r="AF97" s="188"/>
      <c r="AG97" s="167"/>
      <c r="AH97" s="167"/>
      <c r="AI97" s="558"/>
      <c r="AJ97" s="157"/>
      <c r="AK97" s="9"/>
      <c r="AL97" s="9"/>
      <c r="AM97" s="295"/>
      <c r="AQ97" s="9"/>
      <c r="AR97" s="9"/>
      <c r="AV97" s="94"/>
      <c r="AW97" s="94"/>
      <c r="AX97" s="94"/>
      <c r="AY97" s="94"/>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687"/>
      <c r="CB97" s="687"/>
      <c r="CC97" s="687"/>
      <c r="CD97" s="687"/>
      <c r="CE97" s="687"/>
      <c r="CF97" s="687"/>
      <c r="CG97" s="687"/>
      <c r="CH97" s="687"/>
      <c r="CI97" s="687"/>
      <c r="CJ97" s="687"/>
      <c r="CK97" s="687"/>
      <c r="CL97" s="687"/>
      <c r="CM97" s="687"/>
      <c r="CN97" s="687"/>
      <c r="CO97" s="687"/>
      <c r="CP97" s="687"/>
      <c r="CQ97" s="687"/>
      <c r="CR97" s="687"/>
      <c r="CS97" s="687"/>
      <c r="CT97" s="687"/>
      <c r="CU97" s="687"/>
      <c r="CV97" s="687"/>
      <c r="CW97" s="687"/>
      <c r="CX97" s="687"/>
      <c r="CY97" s="687"/>
      <c r="CZ97" s="687"/>
      <c r="DA97" s="687"/>
      <c r="DB97" s="687"/>
      <c r="DC97" s="687"/>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c r="IP97" s="10"/>
      <c r="IQ97" s="10"/>
      <c r="IR97" s="10"/>
      <c r="IS97" s="10"/>
      <c r="IT97" s="10"/>
      <c r="IU97" s="10"/>
      <c r="IV97" s="10"/>
      <c r="IW97" s="10"/>
      <c r="IX97" s="10"/>
      <c r="IY97" s="10"/>
      <c r="IZ97" s="10"/>
      <c r="JA97" s="10"/>
      <c r="JB97" s="10"/>
      <c r="JC97" s="10"/>
      <c r="JD97" s="10"/>
      <c r="JE97" s="10"/>
      <c r="JF97" s="10"/>
    </row>
    <row r="98" spans="1:266" ht="15.75" hidden="1" customHeight="1">
      <c r="A98" s="25"/>
      <c r="B98" s="567"/>
      <c r="C98" s="561"/>
      <c r="D98" s="157"/>
      <c r="E98" s="157"/>
      <c r="F98" s="157"/>
      <c r="G98" s="157"/>
      <c r="H98" s="157"/>
      <c r="I98" s="157"/>
      <c r="J98" s="157"/>
      <c r="K98" s="157"/>
      <c r="L98" s="157"/>
      <c r="M98" s="157"/>
      <c r="N98" s="157"/>
      <c r="O98" s="157"/>
      <c r="P98" s="157"/>
      <c r="Q98" s="157"/>
      <c r="R98" s="157"/>
      <c r="S98" s="43"/>
      <c r="T98" s="43"/>
      <c r="U98" s="43"/>
      <c r="V98" s="168"/>
      <c r="W98" s="168"/>
      <c r="X98" s="168"/>
      <c r="Y98" s="168"/>
      <c r="Z98" s="168"/>
      <c r="AA98" s="168"/>
      <c r="AB98" s="168"/>
      <c r="AC98" s="168"/>
      <c r="AD98" s="43"/>
      <c r="AE98" s="43"/>
      <c r="AF98" s="43"/>
      <c r="AG98" s="157"/>
      <c r="AH98" s="157"/>
      <c r="AI98" s="43"/>
      <c r="AJ98" s="157"/>
      <c r="AK98" s="9"/>
      <c r="AL98" s="9"/>
      <c r="AM98" s="10"/>
      <c r="AN98" s="10"/>
      <c r="AO98" s="10"/>
      <c r="AP98" s="10"/>
      <c r="AQ98" s="10"/>
      <c r="AR98" s="10"/>
      <c r="AS98" s="10"/>
      <c r="AT98" s="10"/>
      <c r="AU98" s="10"/>
      <c r="AV98" s="94"/>
      <c r="AW98" s="94"/>
      <c r="AX98" s="94"/>
      <c r="AY98" s="94"/>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687"/>
      <c r="CB98" s="687"/>
      <c r="CC98" s="687"/>
      <c r="CD98" s="687"/>
      <c r="CE98" s="687"/>
      <c r="CF98" s="687"/>
      <c r="CG98" s="687"/>
      <c r="CH98" s="687"/>
      <c r="CI98" s="687"/>
      <c r="CJ98" s="687"/>
      <c r="CK98" s="687"/>
      <c r="CL98" s="687"/>
      <c r="CM98" s="687"/>
      <c r="CN98" s="687"/>
      <c r="CO98" s="687"/>
      <c r="CP98" s="687"/>
      <c r="CQ98" s="687"/>
      <c r="CR98" s="687"/>
      <c r="CS98" s="687"/>
      <c r="CT98" s="687"/>
      <c r="CU98" s="687"/>
      <c r="CV98" s="687"/>
      <c r="CW98" s="687"/>
      <c r="CX98" s="687"/>
      <c r="CY98" s="687"/>
      <c r="CZ98" s="687"/>
      <c r="DA98" s="687"/>
      <c r="DB98" s="687"/>
      <c r="DC98" s="687"/>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c r="IV98" s="10"/>
      <c r="IW98" s="10"/>
      <c r="IX98" s="10"/>
      <c r="IY98" s="10"/>
      <c r="IZ98" s="10"/>
      <c r="JA98" s="10"/>
      <c r="JB98" s="10"/>
      <c r="JC98" s="10"/>
      <c r="JD98" s="10"/>
      <c r="JE98" s="10"/>
      <c r="JF98" s="10"/>
    </row>
    <row r="99" spans="1:266" ht="15.75" hidden="1" customHeight="1">
      <c r="A99" s="25"/>
      <c r="B99" s="562" t="s">
        <v>2631</v>
      </c>
      <c r="C99" s="567"/>
      <c r="D99" s="549"/>
      <c r="E99" s="549"/>
      <c r="F99" s="549"/>
      <c r="G99" s="549"/>
      <c r="H99" s="549"/>
      <c r="I99" s="549"/>
      <c r="J99" s="549"/>
      <c r="K99" s="549"/>
      <c r="L99" s="549"/>
      <c r="M99" s="549"/>
      <c r="N99" s="549"/>
      <c r="O99" s="549"/>
      <c r="P99" s="549"/>
      <c r="Q99" s="549"/>
      <c r="R99" s="549"/>
      <c r="S99" s="43"/>
      <c r="T99" s="43"/>
      <c r="U99" s="549"/>
      <c r="V99" s="168"/>
      <c r="W99" s="168"/>
      <c r="X99" s="168"/>
      <c r="Y99" s="168"/>
      <c r="Z99" s="168"/>
      <c r="AA99" s="168"/>
      <c r="AB99" s="168"/>
      <c r="AC99" s="168"/>
      <c r="AD99" s="549"/>
      <c r="AE99" s="549"/>
      <c r="AF99" s="189"/>
      <c r="AG99" s="157"/>
      <c r="AH99" s="157"/>
      <c r="AI99" s="549"/>
      <c r="AJ99" s="157"/>
      <c r="AM99" s="847" t="s">
        <v>2481</v>
      </c>
      <c r="AN99" s="847"/>
      <c r="AO99" s="736" t="s">
        <v>2482</v>
      </c>
      <c r="AP99" s="736"/>
      <c r="AQ99" s="736"/>
      <c r="AR99" s="736"/>
      <c r="AS99" s="736"/>
      <c r="AT99" s="736"/>
      <c r="AU99" s="736"/>
      <c r="AV99" s="94"/>
      <c r="AW99" s="94"/>
      <c r="AX99" s="94"/>
      <c r="AY99" s="94"/>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687"/>
      <c r="CB99" s="687"/>
      <c r="CC99" s="687"/>
      <c r="CD99" s="687"/>
      <c r="CE99" s="687"/>
      <c r="CF99" s="687"/>
      <c r="CG99" s="687"/>
      <c r="CH99" s="687"/>
      <c r="CI99" s="687"/>
      <c r="CJ99" s="687"/>
      <c r="CK99" s="687"/>
      <c r="CL99" s="687"/>
      <c r="CM99" s="687"/>
      <c r="CN99" s="687"/>
      <c r="CO99" s="687"/>
      <c r="CP99" s="687"/>
      <c r="CQ99" s="687"/>
      <c r="CR99" s="687"/>
      <c r="CS99" s="687"/>
      <c r="CT99" s="687"/>
      <c r="CU99" s="687"/>
      <c r="CV99" s="687"/>
      <c r="CW99" s="687"/>
      <c r="CX99" s="687"/>
      <c r="CY99" s="687"/>
      <c r="CZ99" s="687"/>
      <c r="DA99" s="687"/>
      <c r="DB99" s="687"/>
      <c r="DC99" s="687"/>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row>
    <row r="100" spans="1:266" ht="15.75" hidden="1" customHeight="1">
      <c r="A100" s="25"/>
      <c r="B100" s="569"/>
      <c r="C100" s="570"/>
      <c r="D100" s="176"/>
      <c r="E100" s="176"/>
      <c r="F100" s="176"/>
      <c r="G100" s="385"/>
      <c r="H100" s="385"/>
      <c r="I100" s="385"/>
      <c r="J100" s="176"/>
      <c r="K100" s="176"/>
      <c r="L100" s="176"/>
      <c r="M100" s="176"/>
      <c r="N100" s="192"/>
      <c r="O100" s="192"/>
      <c r="P100" s="26"/>
      <c r="Q100" s="176"/>
      <c r="R100" s="176"/>
      <c r="S100" s="43"/>
      <c r="T100" s="182"/>
      <c r="U100" s="552"/>
      <c r="V100" s="385"/>
      <c r="W100" s="193"/>
      <c r="X100" s="193"/>
      <c r="Y100" s="193"/>
      <c r="Z100" s="388"/>
      <c r="AA100" s="388"/>
      <c r="AB100" s="388"/>
      <c r="AC100" s="388"/>
      <c r="AD100" s="388"/>
      <c r="AE100" s="552"/>
      <c r="AF100" s="356" t="s">
        <v>2483</v>
      </c>
      <c r="AG100" s="356"/>
      <c r="AH100" s="356"/>
      <c r="AI100" s="27"/>
      <c r="AJ100" s="157"/>
      <c r="AM100" s="10" t="s">
        <v>2484</v>
      </c>
      <c r="AN100" s="10" t="s">
        <v>2485</v>
      </c>
      <c r="AO100" s="10" t="s">
        <v>2486</v>
      </c>
      <c r="AP100" s="10" t="s">
        <v>2487</v>
      </c>
      <c r="AQ100" s="10" t="s">
        <v>2488</v>
      </c>
      <c r="AR100" s="10" t="s">
        <v>2632</v>
      </c>
      <c r="AS100" s="10" t="s">
        <v>2633</v>
      </c>
      <c r="AT100" s="10"/>
      <c r="AU100" s="10"/>
      <c r="AV100" s="94"/>
      <c r="AW100" s="94"/>
      <c r="AX100" s="94"/>
      <c r="AY100" s="94"/>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687"/>
      <c r="CB100" s="687"/>
      <c r="CC100" s="687"/>
      <c r="CD100" s="687"/>
      <c r="CE100" s="687"/>
      <c r="CF100" s="687"/>
      <c r="CG100" s="687"/>
      <c r="CH100" s="687"/>
      <c r="CI100" s="687"/>
      <c r="CJ100" s="687"/>
      <c r="CK100" s="687"/>
      <c r="CL100" s="687"/>
      <c r="CM100" s="687"/>
      <c r="CN100" s="687"/>
      <c r="CO100" s="687"/>
      <c r="CP100" s="687"/>
      <c r="CQ100" s="687"/>
      <c r="CR100" s="687"/>
      <c r="CS100" s="687"/>
      <c r="CT100" s="687"/>
      <c r="CU100" s="687"/>
      <c r="CV100" s="687"/>
      <c r="CW100" s="687"/>
      <c r="CX100" s="687"/>
      <c r="CY100" s="687"/>
      <c r="CZ100" s="687"/>
      <c r="DA100" s="687"/>
      <c r="DB100" s="687"/>
      <c r="DC100" s="687"/>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c r="IV100" s="10"/>
      <c r="IW100" s="10"/>
      <c r="IX100" s="10"/>
      <c r="IY100" s="10"/>
      <c r="IZ100" s="10"/>
      <c r="JA100" s="10"/>
      <c r="JB100" s="10"/>
      <c r="JC100" s="10"/>
      <c r="JD100" s="10"/>
      <c r="JE100" s="10"/>
      <c r="JF100" s="10"/>
    </row>
    <row r="101" spans="1:266" ht="15.75" hidden="1" customHeight="1">
      <c r="A101" s="25"/>
      <c r="B101" s="564"/>
      <c r="C101" s="560" t="s">
        <v>2634</v>
      </c>
      <c r="D101" s="159"/>
      <c r="E101" s="159"/>
      <c r="F101" s="158"/>
      <c r="G101" s="158"/>
      <c r="H101" s="158"/>
      <c r="I101" s="158"/>
      <c r="J101" s="157"/>
      <c r="K101" s="157"/>
      <c r="L101" s="420"/>
      <c r="M101" s="521"/>
      <c r="N101" s="521"/>
      <c r="O101" s="521"/>
      <c r="P101" s="521"/>
      <c r="Q101" s="157"/>
      <c r="R101" s="157"/>
      <c r="S101" s="43"/>
      <c r="T101" s="43"/>
      <c r="U101" s="185"/>
      <c r="V101" s="158" t="s">
        <v>2547</v>
      </c>
      <c r="W101" s="850"/>
      <c r="X101" s="851"/>
      <c r="Y101" s="159" t="s">
        <v>2589</v>
      </c>
      <c r="Z101" s="185"/>
      <c r="AA101" s="185"/>
      <c r="AB101" s="185"/>
      <c r="AC101" s="185"/>
      <c r="AD101" s="185" t="s">
        <v>2635</v>
      </c>
      <c r="AE101" s="371" t="s">
        <v>142</v>
      </c>
      <c r="AF101" s="855" t="str">
        <f>IF(AK101=FALSE,IF(W101="","","Chk Box"),IF(W101="",0,W101*200))</f>
        <v/>
      </c>
      <c r="AG101" s="855"/>
      <c r="AH101" s="855"/>
      <c r="AI101" s="181"/>
      <c r="AJ101" s="157"/>
      <c r="AK101" s="187" t="b">
        <v>0</v>
      </c>
      <c r="AL101" s="9"/>
      <c r="AM101" s="556">
        <f t="shared" ref="AM101:AM105" si="25">IFERROR(IF($AQ101="",AO101,IF($AS101="",(VLOOKUP($AU101,StackingEffects,2,FALSE)*AT101),(VLOOKUP($AS101,StackingEffects,2,FALSE)*AR101))),0)</f>
        <v>0</v>
      </c>
      <c r="AN101" s="556">
        <f t="shared" ref="AN101:AN105" si="26">IFERROR(IF($AQ101="",AP101,IF($AS101="",(VLOOKUP($AU101,StackingEffects,2,FALSE)*AP101),(VLOOKUP($AS101,StackingEffects,2,FALSE)*AP101))),0)</f>
        <v>0</v>
      </c>
      <c r="AO101" s="556">
        <f>IF(AF101="Chk Box",0,IF(AF101&gt;1,W101*949,0))</f>
        <v>0</v>
      </c>
      <c r="AP101" s="556">
        <f>IF(AF101="Chk Box",0,IF(AF101&gt;1,W101*0.16,0))</f>
        <v>0</v>
      </c>
      <c r="AQ101" s="395" t="s">
        <v>2636</v>
      </c>
      <c r="AR101" s="395">
        <f>IF($AQ101="COMPRESSED AIR",$AO101,0)</f>
        <v>0</v>
      </c>
      <c r="AS101" s="395" t="str">
        <f>IF($AR101=0,"",_xlfn.RANK.EQ($AR101,$AR$101:$AR$105,0))</f>
        <v/>
      </c>
      <c r="AT101" s="10"/>
      <c r="AV101" s="94"/>
      <c r="AW101" s="94"/>
      <c r="AX101" s="94"/>
      <c r="AY101" s="94"/>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688"/>
      <c r="CB101" s="688"/>
      <c r="CC101" s="688"/>
      <c r="CD101" s="688"/>
      <c r="CE101" s="688"/>
      <c r="CF101" s="688"/>
      <c r="CG101" s="688"/>
      <c r="CH101" s="688"/>
      <c r="CI101" s="688"/>
      <c r="CJ101" s="688"/>
      <c r="CK101" s="688"/>
      <c r="CL101" s="688"/>
      <c r="CM101" s="688"/>
      <c r="CN101" s="688"/>
      <c r="CO101" s="688"/>
      <c r="CP101" s="688"/>
      <c r="CQ101" s="688"/>
      <c r="CR101" s="688"/>
      <c r="CS101" s="688"/>
      <c r="CT101" s="688"/>
      <c r="CU101" s="688"/>
      <c r="CV101" s="688"/>
      <c r="CW101" s="688"/>
      <c r="CX101" s="688"/>
      <c r="CY101" s="688"/>
      <c r="CZ101" s="688"/>
      <c r="DA101" s="688"/>
      <c r="DB101" s="688"/>
      <c r="DC101" s="68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row>
    <row r="102" spans="1:266" ht="15.75" hidden="1" customHeight="1">
      <c r="A102" s="25"/>
      <c r="B102" s="564"/>
      <c r="C102" s="561" t="s">
        <v>2637</v>
      </c>
      <c r="D102" s="157"/>
      <c r="E102" s="157"/>
      <c r="F102" s="158"/>
      <c r="G102" s="156"/>
      <c r="H102" s="156"/>
      <c r="I102" s="156"/>
      <c r="J102" s="156"/>
      <c r="K102" s="156"/>
      <c r="L102" s="420"/>
      <c r="M102" s="521"/>
      <c r="N102" s="521"/>
      <c r="O102" s="521"/>
      <c r="P102" s="521"/>
      <c r="Q102" s="157"/>
      <c r="R102" s="157"/>
      <c r="S102" s="43"/>
      <c r="T102" s="43"/>
      <c r="U102" s="185"/>
      <c r="V102" s="158" t="s">
        <v>2547</v>
      </c>
      <c r="W102" s="850"/>
      <c r="X102" s="851"/>
      <c r="Y102" s="29" t="s">
        <v>2638</v>
      </c>
      <c r="Z102" s="168"/>
      <c r="AA102" s="168"/>
      <c r="AB102" s="168"/>
      <c r="AC102" s="168"/>
      <c r="AD102" s="185" t="s">
        <v>2600</v>
      </c>
      <c r="AE102" s="371" t="s">
        <v>142</v>
      </c>
      <c r="AF102" s="855" t="str">
        <f>IF(AK102=FALSE,IF(W102="","","Chk Box"),IF(W102="",0,W102*200))</f>
        <v/>
      </c>
      <c r="AG102" s="855"/>
      <c r="AH102" s="855"/>
      <c r="AI102" s="181"/>
      <c r="AJ102" s="157"/>
      <c r="AK102" s="187" t="b">
        <v>0</v>
      </c>
      <c r="AL102" s="9"/>
      <c r="AM102" s="556">
        <f t="shared" si="25"/>
        <v>0</v>
      </c>
      <c r="AN102" s="556">
        <f t="shared" si="26"/>
        <v>0</v>
      </c>
      <c r="AO102" s="556">
        <f>IF(AF102="Chk Box",0,IF(AF102&gt;1,W102*1970,0))</f>
        <v>0</v>
      </c>
      <c r="AP102" s="556">
        <f>IF(AF102="Chk Box",0,IF(AF102&gt;1,W102*0.3,0))</f>
        <v>0</v>
      </c>
      <c r="AQ102" s="395" t="s">
        <v>2636</v>
      </c>
      <c r="AR102" s="395">
        <f t="shared" ref="AR102:AR105" si="27">IF($AQ102="COMPRESSED AIR",$AO102,0)</f>
        <v>0</v>
      </c>
      <c r="AS102" s="395" t="str">
        <f t="shared" ref="AS102:AS105" si="28">IF($AR102=0,"",_xlfn.RANK.EQ($AR102,$AR$101:$AR$105,0))</f>
        <v/>
      </c>
      <c r="AT102" s="10"/>
      <c r="AV102" s="94"/>
      <c r="AW102" s="94"/>
      <c r="AX102" s="94"/>
      <c r="AY102" s="94"/>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687"/>
      <c r="CB102" s="687"/>
      <c r="CC102" s="687"/>
      <c r="CD102" s="687"/>
      <c r="CE102" s="687"/>
      <c r="CF102" s="687"/>
      <c r="CG102" s="687"/>
      <c r="CH102" s="687"/>
      <c r="CI102" s="687"/>
      <c r="CJ102" s="687"/>
      <c r="CK102" s="687"/>
      <c r="CL102" s="687"/>
      <c r="CM102" s="687"/>
      <c r="CN102" s="687"/>
      <c r="CO102" s="687"/>
      <c r="CP102" s="687"/>
      <c r="CQ102" s="687"/>
      <c r="CR102" s="687"/>
      <c r="CS102" s="687"/>
      <c r="CT102" s="687"/>
      <c r="CU102" s="687"/>
      <c r="CV102" s="687"/>
      <c r="CW102" s="687"/>
      <c r="CX102" s="687"/>
      <c r="CY102" s="687"/>
      <c r="CZ102" s="687"/>
      <c r="DA102" s="687"/>
      <c r="DB102" s="687"/>
      <c r="DC102" s="687"/>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c r="HX102" s="10"/>
      <c r="HY102" s="10"/>
      <c r="HZ102" s="10"/>
      <c r="IA102" s="10"/>
      <c r="IB102" s="10"/>
      <c r="IC102" s="10"/>
      <c r="ID102" s="10"/>
      <c r="IE102" s="10"/>
      <c r="IF102" s="10"/>
      <c r="IG102" s="10"/>
      <c r="IH102" s="10"/>
      <c r="II102" s="10"/>
      <c r="IJ102" s="10"/>
      <c r="IK102" s="10"/>
      <c r="IL102" s="10"/>
      <c r="IM102" s="10"/>
      <c r="IN102" s="10"/>
      <c r="IO102" s="10"/>
      <c r="IP102" s="10"/>
      <c r="IQ102" s="10"/>
      <c r="IR102" s="10"/>
      <c r="IS102" s="10"/>
      <c r="IT102" s="10"/>
      <c r="IU102" s="10"/>
      <c r="IV102" s="10"/>
      <c r="IW102" s="10"/>
      <c r="IX102" s="10"/>
      <c r="IY102" s="10"/>
      <c r="IZ102" s="10"/>
      <c r="JA102" s="10"/>
      <c r="JB102" s="10"/>
      <c r="JC102" s="10"/>
      <c r="JD102" s="10"/>
      <c r="JE102" s="10"/>
      <c r="JF102" s="10"/>
    </row>
    <row r="103" spans="1:266" ht="15.75" hidden="1" customHeight="1">
      <c r="A103" s="25"/>
      <c r="B103" s="564"/>
      <c r="C103" s="560" t="s">
        <v>2639</v>
      </c>
      <c r="D103" s="159"/>
      <c r="E103" s="159"/>
      <c r="F103" s="158"/>
      <c r="G103" s="156"/>
      <c r="H103" s="156"/>
      <c r="I103" s="156"/>
      <c r="J103" s="156"/>
      <c r="K103" s="156"/>
      <c r="L103" s="521"/>
      <c r="M103" s="521"/>
      <c r="N103" s="521"/>
      <c r="O103" s="521"/>
      <c r="P103" s="521"/>
      <c r="Q103" s="521"/>
      <c r="R103" s="521"/>
      <c r="S103" s="43"/>
      <c r="T103" s="43"/>
      <c r="U103" s="185"/>
      <c r="V103" s="158" t="s">
        <v>2547</v>
      </c>
      <c r="W103" s="850"/>
      <c r="X103" s="851"/>
      <c r="Y103" s="29" t="s">
        <v>2589</v>
      </c>
      <c r="Z103" s="168"/>
      <c r="AA103" s="168"/>
      <c r="AB103" s="168"/>
      <c r="AC103" s="168"/>
      <c r="AD103" s="185" t="s">
        <v>2640</v>
      </c>
      <c r="AE103" s="371" t="s">
        <v>142</v>
      </c>
      <c r="AF103" s="855" t="str">
        <f>IF(AK103=FALSE,IF(W103="","","Chk Box"),IF(W103="",0,W103*10))</f>
        <v/>
      </c>
      <c r="AG103" s="855"/>
      <c r="AH103" s="855"/>
      <c r="AI103" s="181"/>
      <c r="AJ103" s="157"/>
      <c r="AK103" s="187" t="b">
        <v>0</v>
      </c>
      <c r="AL103" s="13"/>
      <c r="AM103" s="556">
        <f t="shared" si="25"/>
        <v>0</v>
      </c>
      <c r="AN103" s="556">
        <f t="shared" si="26"/>
        <v>0</v>
      </c>
      <c r="AO103" s="556">
        <f>IF(AF103="Chk Box",0,IF(AF103&gt;1,W103*44,0))</f>
        <v>0</v>
      </c>
      <c r="AP103" s="556">
        <f>IF(AF103="Chk Box",0,IF(AF103&gt;1,W103*0.01,0))</f>
        <v>0</v>
      </c>
      <c r="AQ103" s="395" t="s">
        <v>2636</v>
      </c>
      <c r="AR103" s="395">
        <f t="shared" si="27"/>
        <v>0</v>
      </c>
      <c r="AS103" s="395" t="str">
        <f t="shared" si="28"/>
        <v/>
      </c>
      <c r="AT103" s="10"/>
      <c r="AV103" s="94"/>
      <c r="AW103" s="94"/>
      <c r="AX103" s="94"/>
      <c r="AY103" s="94"/>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687"/>
      <c r="CB103" s="687"/>
      <c r="CC103" s="687"/>
      <c r="CD103" s="687"/>
      <c r="CE103" s="687"/>
      <c r="CF103" s="687"/>
      <c r="CG103" s="687"/>
      <c r="CH103" s="687"/>
      <c r="CI103" s="687"/>
      <c r="CJ103" s="687"/>
      <c r="CK103" s="687"/>
      <c r="CL103" s="687"/>
      <c r="CM103" s="687"/>
      <c r="CN103" s="687"/>
      <c r="CO103" s="687"/>
      <c r="CP103" s="687"/>
      <c r="CQ103" s="687"/>
      <c r="CR103" s="687"/>
      <c r="CS103" s="687"/>
      <c r="CT103" s="687"/>
      <c r="CU103" s="687"/>
      <c r="CV103" s="687"/>
      <c r="CW103" s="687"/>
      <c r="CX103" s="687"/>
      <c r="CY103" s="687"/>
      <c r="CZ103" s="687"/>
      <c r="DA103" s="687"/>
      <c r="DB103" s="687"/>
      <c r="DC103" s="687"/>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row>
    <row r="104" spans="1:266" ht="17.25" hidden="1" customHeight="1">
      <c r="A104" s="25"/>
      <c r="B104" s="564"/>
      <c r="C104" s="561" t="s">
        <v>2641</v>
      </c>
      <c r="D104" s="157"/>
      <c r="E104" s="159"/>
      <c r="F104" s="158"/>
      <c r="G104" s="156"/>
      <c r="H104" s="156"/>
      <c r="I104" s="156"/>
      <c r="J104" s="156"/>
      <c r="K104" s="156"/>
      <c r="L104" s="521"/>
      <c r="M104" s="521"/>
      <c r="N104" s="521"/>
      <c r="O104" s="521"/>
      <c r="P104" s="521"/>
      <c r="Q104" s="521"/>
      <c r="R104" s="521"/>
      <c r="S104" s="43"/>
      <c r="T104" s="43"/>
      <c r="U104" s="185"/>
      <c r="V104" s="158" t="s">
        <v>2547</v>
      </c>
      <c r="W104" s="850"/>
      <c r="X104" s="851"/>
      <c r="Y104" s="159" t="s">
        <v>2642</v>
      </c>
      <c r="Z104" s="168"/>
      <c r="AA104" s="168"/>
      <c r="AB104" s="168"/>
      <c r="AC104" s="168"/>
      <c r="AD104" s="185" t="s">
        <v>2643</v>
      </c>
      <c r="AE104" s="371" t="s">
        <v>142</v>
      </c>
      <c r="AF104" s="856" t="str">
        <f>IF(AK104=FALSE,IF(W104="","",IF($AO$1="OR","ID Only","Chk Box")),IF($AO$1="OR","ID Only",IF(W104="",0,W104*3)))</f>
        <v/>
      </c>
      <c r="AG104" s="856"/>
      <c r="AH104" s="856"/>
      <c r="AI104" s="181"/>
      <c r="AJ104" s="157"/>
      <c r="AK104" s="187" t="b">
        <v>0</v>
      </c>
      <c r="AL104" s="13"/>
      <c r="AM104" s="556">
        <f t="shared" si="25"/>
        <v>0</v>
      </c>
      <c r="AN104" s="556">
        <f t="shared" si="26"/>
        <v>0</v>
      </c>
      <c r="AO104" s="556">
        <f>IF(OR(AF104="Chk Box",AF104="ID Only"),0,IF(AF104&gt;1,W104*10.62,0))</f>
        <v>0</v>
      </c>
      <c r="AP104" s="556">
        <f>IF(AF104="Chk Box",0,IF(AF104&gt;1,W104*0.00177,0))</f>
        <v>0</v>
      </c>
      <c r="AQ104" s="395" t="s">
        <v>2636</v>
      </c>
      <c r="AR104" s="395">
        <f t="shared" si="27"/>
        <v>0</v>
      </c>
      <c r="AS104" s="395" t="str">
        <f t="shared" si="28"/>
        <v/>
      </c>
      <c r="AT104" s="10"/>
      <c r="AV104" s="94"/>
      <c r="AW104" s="94"/>
      <c r="AX104" s="94"/>
      <c r="AY104" s="94"/>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687"/>
      <c r="CB104" s="687"/>
      <c r="CC104" s="687"/>
      <c r="CD104" s="687"/>
      <c r="CE104" s="687"/>
      <c r="CF104" s="687"/>
      <c r="CG104" s="687"/>
      <c r="CH104" s="687"/>
      <c r="CI104" s="687"/>
      <c r="CJ104" s="687"/>
      <c r="CK104" s="687"/>
      <c r="CL104" s="687"/>
      <c r="CM104" s="687"/>
      <c r="CN104" s="687"/>
      <c r="CO104" s="687"/>
      <c r="CP104" s="687"/>
      <c r="CQ104" s="687"/>
      <c r="CR104" s="687"/>
      <c r="CS104" s="687"/>
      <c r="CT104" s="687"/>
      <c r="CU104" s="687"/>
      <c r="CV104" s="687"/>
      <c r="CW104" s="687"/>
      <c r="CX104" s="687"/>
      <c r="CY104" s="687"/>
      <c r="CZ104" s="687"/>
      <c r="DA104" s="687"/>
      <c r="DB104" s="687"/>
      <c r="DC104" s="687"/>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c r="HU104" s="10"/>
      <c r="HV104" s="10"/>
      <c r="HW104" s="10"/>
      <c r="HX104" s="10"/>
      <c r="HY104" s="10"/>
      <c r="HZ104" s="10"/>
      <c r="IA104" s="10"/>
      <c r="IB104" s="10"/>
      <c r="IC104" s="10"/>
      <c r="ID104" s="10"/>
      <c r="IE104" s="10"/>
      <c r="IF104" s="10"/>
      <c r="IG104" s="10"/>
      <c r="IH104" s="10"/>
      <c r="II104" s="10"/>
      <c r="IJ104" s="10"/>
      <c r="IK104" s="10"/>
      <c r="IL104" s="10"/>
      <c r="IM104" s="10"/>
      <c r="IN104" s="10"/>
      <c r="IO104" s="10"/>
      <c r="IP104" s="10"/>
      <c r="IQ104" s="10"/>
      <c r="IR104" s="10"/>
      <c r="IS104" s="10"/>
      <c r="IT104" s="10"/>
      <c r="IU104" s="10"/>
      <c r="IV104" s="10"/>
      <c r="IW104" s="10"/>
      <c r="IX104" s="10"/>
      <c r="IY104" s="10"/>
      <c r="IZ104" s="10"/>
      <c r="JA104" s="10"/>
      <c r="JB104" s="10"/>
      <c r="JC104" s="10"/>
      <c r="JD104" s="10"/>
      <c r="JE104" s="10"/>
      <c r="JF104" s="10"/>
    </row>
    <row r="105" spans="1:266" ht="17.25" hidden="1" customHeight="1">
      <c r="A105" s="25"/>
      <c r="B105" s="564"/>
      <c r="C105" s="560" t="s">
        <v>2644</v>
      </c>
      <c r="D105" s="159"/>
      <c r="E105" s="159"/>
      <c r="F105" s="158"/>
      <c r="G105" s="156"/>
      <c r="H105" s="156"/>
      <c r="I105" s="156"/>
      <c r="J105" s="156"/>
      <c r="K105" s="156"/>
      <c r="L105" s="521"/>
      <c r="M105" s="521"/>
      <c r="N105" s="521"/>
      <c r="O105" s="521"/>
      <c r="P105" s="521"/>
      <c r="Q105" s="521"/>
      <c r="R105" s="521"/>
      <c r="S105" s="43"/>
      <c r="T105" s="43"/>
      <c r="U105" s="185"/>
      <c r="V105" s="158" t="s">
        <v>2547</v>
      </c>
      <c r="W105" s="850"/>
      <c r="X105" s="851"/>
      <c r="Y105" s="29" t="s">
        <v>2645</v>
      </c>
      <c r="Z105" s="168"/>
      <c r="AA105" s="168"/>
      <c r="AB105" s="168"/>
      <c r="AC105" s="168"/>
      <c r="AD105" s="185" t="s">
        <v>2646</v>
      </c>
      <c r="AE105" s="371" t="s">
        <v>142</v>
      </c>
      <c r="AF105" s="855" t="str">
        <f>IF(AK105=FALSE,IF(W105="","","Chk Box"),IF(W105="",0,W105*80))</f>
        <v/>
      </c>
      <c r="AG105" s="855"/>
      <c r="AH105" s="855"/>
      <c r="AI105" s="181"/>
      <c r="AJ105" s="157"/>
      <c r="AK105" s="187" t="b">
        <v>0</v>
      </c>
      <c r="AL105" s="13"/>
      <c r="AM105" s="556">
        <f t="shared" si="25"/>
        <v>0</v>
      </c>
      <c r="AN105" s="556">
        <f t="shared" si="26"/>
        <v>0</v>
      </c>
      <c r="AO105" s="556">
        <f>IF(AF105="Chk Box",0,IF(AF105&gt;1,W105*2223,0))</f>
        <v>0</v>
      </c>
      <c r="AP105" s="556">
        <f>IF(AF105="Chk Box",0,IF(AF105&gt;1,W105*0.19,0))</f>
        <v>0</v>
      </c>
      <c r="AQ105" s="395" t="s">
        <v>2636</v>
      </c>
      <c r="AR105" s="395">
        <f t="shared" si="27"/>
        <v>0</v>
      </c>
      <c r="AS105" s="395" t="str">
        <f t="shared" si="28"/>
        <v/>
      </c>
      <c r="AT105" s="10"/>
      <c r="AV105" s="94"/>
      <c r="AW105" s="94"/>
      <c r="AX105" s="94"/>
      <c r="AY105" s="94"/>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687"/>
      <c r="CB105" s="687"/>
      <c r="CC105" s="687"/>
      <c r="CD105" s="687"/>
      <c r="CE105" s="687"/>
      <c r="CF105" s="687"/>
      <c r="CG105" s="687"/>
      <c r="CH105" s="687"/>
      <c r="CI105" s="687"/>
      <c r="CJ105" s="687"/>
      <c r="CK105" s="687"/>
      <c r="CL105" s="687"/>
      <c r="CM105" s="687"/>
      <c r="CN105" s="687"/>
      <c r="CO105" s="687"/>
      <c r="CP105" s="687"/>
      <c r="CQ105" s="687"/>
      <c r="CR105" s="687"/>
      <c r="CS105" s="687"/>
      <c r="CT105" s="687"/>
      <c r="CU105" s="687"/>
      <c r="CV105" s="687"/>
      <c r="CW105" s="687"/>
      <c r="CX105" s="687"/>
      <c r="CY105" s="687"/>
      <c r="CZ105" s="687"/>
      <c r="DA105" s="687"/>
      <c r="DB105" s="687"/>
      <c r="DC105" s="687"/>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c r="HL105" s="10"/>
      <c r="HM105" s="10"/>
      <c r="HN105" s="10"/>
      <c r="HO105" s="10"/>
      <c r="HP105" s="10"/>
      <c r="HQ105" s="10"/>
      <c r="HR105" s="10"/>
      <c r="HS105" s="10"/>
      <c r="HT105" s="10"/>
      <c r="HU105" s="10"/>
      <c r="HV105" s="10"/>
      <c r="HW105" s="10"/>
      <c r="HX105" s="10"/>
      <c r="HY105" s="10"/>
      <c r="HZ105" s="10"/>
      <c r="IA105" s="10"/>
      <c r="IB105" s="10"/>
      <c r="IC105" s="10"/>
      <c r="ID105" s="10"/>
      <c r="IE105" s="10"/>
      <c r="IF105" s="10"/>
      <c r="IG105" s="10"/>
      <c r="IH105" s="10"/>
      <c r="II105" s="10"/>
      <c r="IJ105" s="10"/>
      <c r="IK105" s="10"/>
      <c r="IL105" s="10"/>
      <c r="IM105" s="10"/>
      <c r="IN105" s="10"/>
      <c r="IO105" s="10"/>
      <c r="IP105" s="10"/>
      <c r="IQ105" s="10"/>
      <c r="IR105" s="10"/>
      <c r="IS105" s="10"/>
      <c r="IT105" s="10"/>
      <c r="IU105" s="10"/>
      <c r="IV105" s="10"/>
      <c r="IW105" s="10"/>
      <c r="IX105" s="10"/>
      <c r="IY105" s="10"/>
      <c r="IZ105" s="10"/>
      <c r="JA105" s="10"/>
      <c r="JB105" s="10"/>
      <c r="JC105" s="10"/>
      <c r="JD105" s="10"/>
      <c r="JE105" s="10"/>
      <c r="JF105" s="10"/>
    </row>
    <row r="106" spans="1:266" ht="15.75" hidden="1" customHeight="1">
      <c r="A106" s="25"/>
      <c r="B106" s="564"/>
      <c r="C106" s="560"/>
      <c r="D106" s="159"/>
      <c r="E106" s="159"/>
      <c r="F106" s="158"/>
      <c r="G106" s="156"/>
      <c r="H106" s="156"/>
      <c r="I106" s="156"/>
      <c r="J106" s="156"/>
      <c r="K106" s="156"/>
      <c r="L106" s="521"/>
      <c r="M106" s="521"/>
      <c r="N106" s="521"/>
      <c r="O106" s="521"/>
      <c r="P106" s="521"/>
      <c r="Q106" s="521"/>
      <c r="R106" s="521"/>
      <c r="S106" s="43"/>
      <c r="T106" s="43"/>
      <c r="U106" s="43"/>
      <c r="V106" s="43"/>
      <c r="W106" s="43"/>
      <c r="X106" s="43"/>
      <c r="Y106" s="43"/>
      <c r="Z106" s="43"/>
      <c r="AA106" s="43"/>
      <c r="AB106" s="43"/>
      <c r="AC106" s="43"/>
      <c r="AD106" s="43"/>
      <c r="AE106" s="43"/>
      <c r="AF106" s="43"/>
      <c r="AG106" s="43"/>
      <c r="AH106" s="43"/>
      <c r="AI106" s="181"/>
      <c r="AJ106" s="157"/>
      <c r="AK106" s="10"/>
      <c r="AL106" s="10"/>
      <c r="AM106" s="10"/>
      <c r="AN106" s="10"/>
      <c r="AO106" s="10"/>
      <c r="AP106" s="10"/>
      <c r="AQ106" s="10"/>
      <c r="AR106" s="10"/>
      <c r="AS106" s="10"/>
      <c r="AT106" s="10"/>
      <c r="AV106" s="94"/>
      <c r="AW106" s="94"/>
      <c r="AX106" s="94"/>
      <c r="AY106" s="94"/>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687"/>
      <c r="CB106" s="687"/>
      <c r="CC106" s="687"/>
      <c r="CD106" s="687"/>
      <c r="CE106" s="687"/>
      <c r="CF106" s="687"/>
      <c r="CG106" s="687"/>
      <c r="CH106" s="687"/>
      <c r="CI106" s="687"/>
      <c r="CJ106" s="687"/>
      <c r="CK106" s="687"/>
      <c r="CL106" s="687"/>
      <c r="CM106" s="687"/>
      <c r="CN106" s="687"/>
      <c r="CO106" s="687"/>
      <c r="CP106" s="687"/>
      <c r="CQ106" s="687"/>
      <c r="CR106" s="687"/>
      <c r="CS106" s="687"/>
      <c r="CT106" s="687"/>
      <c r="CU106" s="687"/>
      <c r="CV106" s="687"/>
      <c r="CW106" s="687"/>
      <c r="CX106" s="687"/>
      <c r="CY106" s="687"/>
      <c r="CZ106" s="687"/>
      <c r="DA106" s="687"/>
      <c r="DB106" s="687"/>
      <c r="DC106" s="687"/>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row>
    <row r="107" spans="1:266" hidden="1">
      <c r="A107" s="25"/>
      <c r="B107" s="565"/>
      <c r="C107" s="571"/>
      <c r="D107" s="578"/>
      <c r="E107" s="578"/>
      <c r="F107" s="578"/>
      <c r="G107" s="578"/>
      <c r="H107" s="578"/>
      <c r="I107" s="578"/>
      <c r="J107" s="578"/>
      <c r="K107" s="578"/>
      <c r="L107" s="578"/>
      <c r="M107" s="578"/>
      <c r="N107" s="578"/>
      <c r="O107" s="578"/>
      <c r="P107" s="578"/>
      <c r="Q107" s="578"/>
      <c r="R107" s="578"/>
      <c r="S107" s="43"/>
      <c r="T107" s="384"/>
      <c r="U107" s="578"/>
      <c r="V107" s="191"/>
      <c r="W107" s="191"/>
      <c r="X107" s="191"/>
      <c r="Y107" s="191"/>
      <c r="Z107" s="191"/>
      <c r="AA107" s="191"/>
      <c r="AB107" s="191"/>
      <c r="AC107" s="191"/>
      <c r="AD107" s="578"/>
      <c r="AE107" s="578"/>
      <c r="AF107" s="389"/>
      <c r="AG107" s="167"/>
      <c r="AH107" s="167"/>
      <c r="AI107" s="579"/>
      <c r="AJ107" s="31"/>
      <c r="AM107" s="295"/>
      <c r="AN107" s="295"/>
      <c r="AO107" s="397"/>
      <c r="AP107" s="397"/>
      <c r="AQ107" s="397"/>
      <c r="AR107" s="397"/>
      <c r="AS107" s="397"/>
      <c r="AT107" s="295"/>
      <c r="AV107" s="94"/>
      <c r="AW107" s="94"/>
      <c r="AX107" s="94"/>
      <c r="AY107" s="94"/>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100"/>
      <c r="BV107" s="100"/>
      <c r="BW107" s="100"/>
      <c r="BX107" s="100"/>
      <c r="BY107" s="100"/>
      <c r="BZ107" s="100"/>
      <c r="CA107" s="687"/>
      <c r="CB107" s="687"/>
      <c r="CC107" s="687"/>
      <c r="CD107" s="687"/>
      <c r="CE107" s="687"/>
      <c r="CF107" s="687"/>
      <c r="CG107" s="687"/>
      <c r="CH107" s="687"/>
      <c r="CI107" s="687"/>
      <c r="CJ107" s="687"/>
      <c r="CK107" s="687"/>
      <c r="CL107" s="687"/>
      <c r="CM107" s="687"/>
      <c r="CN107" s="687"/>
      <c r="CO107" s="687"/>
      <c r="CP107" s="687"/>
      <c r="CQ107" s="687"/>
      <c r="CR107" s="687"/>
      <c r="CS107" s="687"/>
      <c r="CT107" s="687"/>
      <c r="CU107" s="687"/>
      <c r="CV107" s="687"/>
      <c r="CW107" s="687"/>
      <c r="CX107" s="687"/>
      <c r="CY107" s="687"/>
      <c r="CZ107" s="687"/>
      <c r="DA107" s="687"/>
      <c r="DB107" s="687"/>
      <c r="DC107" s="687"/>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row>
    <row r="108" spans="1:266" hidden="1">
      <c r="A108" s="25"/>
      <c r="B108" s="567"/>
      <c r="C108" s="567"/>
      <c r="D108" s="549"/>
      <c r="E108" s="549"/>
      <c r="F108" s="549"/>
      <c r="G108" s="549"/>
      <c r="H108" s="549"/>
      <c r="I108" s="549"/>
      <c r="J108" s="549"/>
      <c r="K108" s="549"/>
      <c r="L108" s="549"/>
      <c r="M108" s="549"/>
      <c r="N108" s="549"/>
      <c r="O108" s="549"/>
      <c r="P108" s="549"/>
      <c r="Q108" s="549"/>
      <c r="R108" s="549"/>
      <c r="S108" s="43"/>
      <c r="T108" s="43"/>
      <c r="U108" s="549"/>
      <c r="V108" s="168"/>
      <c r="W108" s="168"/>
      <c r="X108" s="168"/>
      <c r="Y108" s="168"/>
      <c r="Z108" s="168"/>
      <c r="AA108" s="168"/>
      <c r="AB108" s="168"/>
      <c r="AC108" s="168"/>
      <c r="AD108" s="549"/>
      <c r="AE108" s="549"/>
      <c r="AF108" s="189"/>
      <c r="AG108" s="157"/>
      <c r="AH108" s="157"/>
      <c r="AI108" s="549"/>
      <c r="AJ108" s="25"/>
      <c r="AM108" s="295"/>
      <c r="AN108" s="295"/>
      <c r="AO108" s="397"/>
      <c r="AP108" s="397"/>
      <c r="AQ108" s="397"/>
      <c r="AR108" s="397"/>
      <c r="AS108" s="295"/>
      <c r="AT108" s="295"/>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row>
    <row r="109" spans="1:266" ht="14.25" hidden="1">
      <c r="A109" s="25"/>
      <c r="B109" s="562" t="s">
        <v>2647</v>
      </c>
      <c r="C109" s="568"/>
      <c r="D109" s="31"/>
      <c r="E109" s="31"/>
      <c r="F109" s="31"/>
      <c r="G109" s="31"/>
      <c r="H109" s="31"/>
      <c r="I109" s="31"/>
      <c r="J109" s="31"/>
      <c r="K109" s="31"/>
      <c r="L109" s="31"/>
      <c r="M109" s="31"/>
      <c r="N109" s="31"/>
      <c r="O109" s="31"/>
      <c r="P109" s="31"/>
      <c r="Q109" s="31"/>
      <c r="R109" s="31"/>
      <c r="S109" s="43"/>
      <c r="T109" s="43"/>
      <c r="U109" s="31"/>
      <c r="V109" s="168"/>
      <c r="W109" s="168"/>
      <c r="X109" s="168"/>
      <c r="Y109" s="168"/>
      <c r="Z109" s="168"/>
      <c r="AA109" s="168"/>
      <c r="AB109" s="168"/>
      <c r="AC109" s="168"/>
      <c r="AD109" s="31"/>
      <c r="AE109" s="31"/>
      <c r="AF109" s="42"/>
      <c r="AG109" s="157"/>
      <c r="AH109" s="157"/>
      <c r="AI109" s="31"/>
      <c r="AJ109" s="31"/>
      <c r="AK109" s="9"/>
      <c r="AL109" s="9"/>
      <c r="AM109" s="847" t="s">
        <v>2481</v>
      </c>
      <c r="AN109" s="847"/>
      <c r="AO109" s="736" t="s">
        <v>2482</v>
      </c>
      <c r="AP109" s="736"/>
      <c r="AQ109" s="736"/>
      <c r="AR109" s="736"/>
      <c r="AS109" s="736"/>
      <c r="AT109" s="736"/>
      <c r="AU109" s="736"/>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row>
    <row r="110" spans="1:266" s="14" customFormat="1" ht="12.75" hidden="1" customHeight="1">
      <c r="A110" s="25"/>
      <c r="B110" s="550"/>
      <c r="C110" s="176"/>
      <c r="D110" s="176"/>
      <c r="E110" s="176"/>
      <c r="F110" s="551"/>
      <c r="G110" s="551"/>
      <c r="H110" s="551"/>
      <c r="I110" s="552"/>
      <c r="J110" s="553"/>
      <c r="K110" s="553"/>
      <c r="L110" s="553"/>
      <c r="M110" s="192"/>
      <c r="N110" s="192"/>
      <c r="O110" s="192"/>
      <c r="P110" s="192"/>
      <c r="Q110" s="182"/>
      <c r="R110" s="182"/>
      <c r="S110" s="43"/>
      <c r="T110" s="182"/>
      <c r="U110" s="552"/>
      <c r="V110" s="193"/>
      <c r="W110" s="193"/>
      <c r="X110" s="193"/>
      <c r="Y110" s="193"/>
      <c r="Z110" s="193"/>
      <c r="AA110" s="193"/>
      <c r="AB110" s="193"/>
      <c r="AC110" s="193"/>
      <c r="AD110" s="176"/>
      <c r="AE110" s="552"/>
      <c r="AF110" s="356" t="s">
        <v>2483</v>
      </c>
      <c r="AG110" s="356"/>
      <c r="AH110" s="356"/>
      <c r="AI110" s="27"/>
      <c r="AJ110" s="554"/>
      <c r="AK110" s="9"/>
      <c r="AL110" s="9"/>
      <c r="AM110" s="10" t="s">
        <v>2484</v>
      </c>
      <c r="AN110" s="10" t="s">
        <v>2485</v>
      </c>
      <c r="AO110" s="10" t="s">
        <v>2486</v>
      </c>
      <c r="AP110" s="10" t="s">
        <v>2487</v>
      </c>
      <c r="AQ110" s="10" t="s">
        <v>2488</v>
      </c>
      <c r="AR110" s="10"/>
      <c r="AS110" s="10"/>
      <c r="AT110" s="10"/>
      <c r="AU110" s="10"/>
      <c r="AV110" s="94"/>
      <c r="AW110" s="94"/>
      <c r="AX110" s="94"/>
      <c r="AY110" s="94"/>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689"/>
      <c r="CB110" s="689"/>
      <c r="CC110" s="689"/>
      <c r="CD110" s="689"/>
      <c r="CE110" s="689"/>
      <c r="CF110" s="689"/>
      <c r="CG110" s="689"/>
      <c r="CH110" s="689"/>
      <c r="CI110" s="689"/>
      <c r="CJ110" s="689"/>
      <c r="CK110" s="689"/>
      <c r="CL110" s="689"/>
      <c r="CM110" s="689"/>
      <c r="CN110" s="689"/>
      <c r="CO110" s="689"/>
      <c r="CP110" s="689"/>
      <c r="CQ110" s="689"/>
      <c r="CR110" s="689"/>
      <c r="CS110" s="689"/>
      <c r="CT110" s="689"/>
      <c r="CU110" s="689"/>
      <c r="CV110" s="689"/>
      <c r="CW110" s="689"/>
      <c r="CX110" s="689"/>
      <c r="CY110" s="689"/>
      <c r="CZ110" s="689"/>
      <c r="DA110" s="689"/>
      <c r="DB110" s="689"/>
      <c r="DC110" s="689"/>
    </row>
    <row r="111" spans="1:266" ht="14.1" customHeight="1">
      <c r="A111" s="25"/>
      <c r="B111" s="555"/>
      <c r="C111" s="157" t="s">
        <v>3335</v>
      </c>
      <c r="D111" s="157"/>
      <c r="E111" s="157"/>
      <c r="F111" s="333"/>
      <c r="G111" s="157"/>
      <c r="H111" s="370"/>
      <c r="I111" s="157"/>
      <c r="J111" s="333"/>
      <c r="K111" s="333"/>
      <c r="L111" s="333"/>
      <c r="M111" s="605" t="str">
        <f>IF($AK$111=TRUE,"Select Heating System:","")</f>
        <v/>
      </c>
      <c r="N111" s="864"/>
      <c r="O111" s="864"/>
      <c r="P111" s="864"/>
      <c r="Q111" s="864"/>
      <c r="R111" s="864"/>
      <c r="S111" s="43"/>
      <c r="T111" s="43"/>
      <c r="U111" s="185"/>
      <c r="V111" s="158" t="s">
        <v>3319</v>
      </c>
      <c r="W111" s="850"/>
      <c r="X111" s="851"/>
      <c r="Y111" s="159" t="s">
        <v>2508</v>
      </c>
      <c r="Z111" s="168"/>
      <c r="AA111" s="168"/>
      <c r="AB111" s="168"/>
      <c r="AC111" s="168"/>
      <c r="AD111" s="185" t="s">
        <v>2649</v>
      </c>
      <c r="AE111" s="371" t="s">
        <v>142</v>
      </c>
      <c r="AF111" s="855" t="str">
        <f>IF(AK111=FALSE,IF(W111="","","Chk Box"),IF(AND(AK111=TRUE,W111&gt;0,AK112=FALSE,AL112=FALSE),"Heat System",IF(AND(AK111=TRUE,W111=""),0,W111*2)))</f>
        <v/>
      </c>
      <c r="AG111" s="855"/>
      <c r="AH111" s="855"/>
      <c r="AI111" s="181"/>
      <c r="AJ111" s="180"/>
      <c r="AK111" s="187" t="b">
        <v>0</v>
      </c>
      <c r="AL111" s="9"/>
      <c r="AM111" s="556">
        <f>IFERROR(IF($AQ111="",AO111,IF($AS111="",(VLOOKUP($AU111,StackingEffects,2,FALSE)*AT111),(VLOOKUP($AS111,StackingEffects,2,FALSE)*AR111))),0)</f>
        <v>0</v>
      </c>
      <c r="AN111" s="556">
        <f>IFERROR(IF($AQ111="",AP111,IF($AS111="",(VLOOKUP($AU111,StackingEffects,2,FALSE)*AP111),(VLOOKUP($AS111,StackingEffects,2,FALSE)*AP111))),0)</f>
        <v>0</v>
      </c>
      <c r="AO111" s="556">
        <f>IF(AF111="Chk Box",0,IF(AF111&gt;1,IF(AK112=TRUE,W111*8,IF(AL112=TRUE,W111*39,0))))</f>
        <v>0</v>
      </c>
      <c r="AP111" s="556">
        <f>IF(AF111="Chk Box",0,IF(AF111&gt;1,W111*0,0))</f>
        <v>0</v>
      </c>
      <c r="AQ111" s="400"/>
      <c r="AR111" s="400"/>
      <c r="AS111" s="10"/>
      <c r="AT111" s="10"/>
      <c r="AU111" s="10"/>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row>
    <row r="112" spans="1:266" ht="14.1" customHeight="1">
      <c r="A112" s="25"/>
      <c r="B112" s="555"/>
      <c r="C112" s="157"/>
      <c r="D112" s="157"/>
      <c r="E112" s="157"/>
      <c r="F112" s="333"/>
      <c r="G112" s="157"/>
      <c r="H112" s="370"/>
      <c r="I112" s="157"/>
      <c r="J112" s="333"/>
      <c r="K112" s="333"/>
      <c r="L112" s="333"/>
      <c r="M112" s="605" t="str">
        <f>IF($AK$111=TRUE,"Select Heating System:","")</f>
        <v/>
      </c>
      <c r="N112" s="864"/>
      <c r="O112" s="864"/>
      <c r="P112" s="864"/>
      <c r="Q112" s="864"/>
      <c r="R112" s="864"/>
      <c r="S112" s="43"/>
      <c r="T112" s="43"/>
      <c r="U112" s="185"/>
      <c r="V112" s="158" t="s">
        <v>3320</v>
      </c>
      <c r="W112" s="850"/>
      <c r="X112" s="851"/>
      <c r="Y112" s="159" t="s">
        <v>2508</v>
      </c>
      <c r="Z112" s="168"/>
      <c r="AA112" s="168"/>
      <c r="AB112" s="168"/>
      <c r="AC112" s="168"/>
      <c r="AD112" s="185" t="s">
        <v>2649</v>
      </c>
      <c r="AE112" s="371" t="s">
        <v>142</v>
      </c>
      <c r="AF112" s="855" t="str">
        <f>IF(AK111=FALSE,IF(W112="","","Chk Box"),IF(AND(AK111=TRUE,W112&gt;0,AK113=FALSE,AL113=FALSE),"Heat System",IF(AND(AK111=TRUE,W112=""),0,W112*2)))</f>
        <v/>
      </c>
      <c r="AG112" s="855"/>
      <c r="AH112" s="855"/>
      <c r="AI112" s="181"/>
      <c r="AJ112" s="180"/>
      <c r="AK112" s="187" t="b">
        <f>IF($N111="Electric Heat Pump",TRUE,FALSE)</f>
        <v>0</v>
      </c>
      <c r="AL112" s="187" t="b">
        <f>IF($N111="Electric Resistance",TRUE,FALSE)</f>
        <v>0</v>
      </c>
      <c r="AM112" s="556">
        <f>IFERROR(IF($AQ112="",AO112,IF($AS112="",(VLOOKUP($AU112,StackingEffects,2,FALSE)*AT112),(VLOOKUP($AS112,StackingEffects,2,FALSE)*AR112))),0)</f>
        <v>0</v>
      </c>
      <c r="AN112" s="556">
        <f>IFERROR(IF($AQ112="",AP112,IF($AS112="",(VLOOKUP($AU112,StackingEffects,2,FALSE)*AP112),(VLOOKUP($AS112,StackingEffects,2,FALSE)*AP112))),0)</f>
        <v>0</v>
      </c>
      <c r="AO112" s="556">
        <f>IF(AO1="OR",0,IF(AF112="Chk Box",0,IF(AF112&gt;1,IF(AK113=TRUE,W112*21,IF(AL113=TRUE,W112*104,0)))))</f>
        <v>0</v>
      </c>
      <c r="AP112" s="556">
        <f>IF(AF112="Chk Box",0,IF(AF112&gt;1,W112*0,0))</f>
        <v>0</v>
      </c>
      <c r="AQ112" s="400"/>
      <c r="AR112" s="400"/>
      <c r="AS112" s="671"/>
      <c r="AT112" s="671"/>
      <c r="AU112" s="671"/>
      <c r="AV112" s="94"/>
      <c r="AW112" s="94"/>
      <c r="AX112" s="94"/>
      <c r="AY112" s="94"/>
      <c r="AZ112" s="94"/>
      <c r="BA112" s="94"/>
      <c r="BB112" s="94"/>
      <c r="BC112" s="94"/>
      <c r="BD112" s="94"/>
      <c r="BE112" s="94"/>
      <c r="BF112" s="94"/>
      <c r="BG112" s="94"/>
      <c r="BH112" s="94"/>
      <c r="BI112" s="94"/>
      <c r="BJ112" s="94"/>
      <c r="BK112" s="94"/>
      <c r="BL112" s="94"/>
      <c r="BM112" s="94"/>
      <c r="BN112" s="94"/>
      <c r="BO112" s="94"/>
      <c r="BP112" s="94"/>
      <c r="BQ112" s="94"/>
      <c r="BR112" s="94"/>
      <c r="BS112" s="94"/>
      <c r="BT112" s="94"/>
      <c r="BU112" s="94"/>
      <c r="BV112" s="94"/>
      <c r="BW112" s="94"/>
      <c r="BX112" s="94"/>
      <c r="BY112" s="94"/>
      <c r="BZ112" s="94"/>
    </row>
    <row r="113" spans="1:266" ht="16.899999999999999" customHeight="1">
      <c r="A113" s="25"/>
      <c r="B113" s="186"/>
      <c r="C113" s="167"/>
      <c r="D113" s="167"/>
      <c r="E113" s="167"/>
      <c r="F113" s="557"/>
      <c r="G113" s="167"/>
      <c r="H113" s="167"/>
      <c r="I113" s="167"/>
      <c r="J113" s="167"/>
      <c r="K113" s="167"/>
      <c r="L113" s="167"/>
      <c r="M113" s="167"/>
      <c r="N113" s="167"/>
      <c r="O113" s="167"/>
      <c r="P113" s="167"/>
      <c r="Q113" s="167"/>
      <c r="R113" s="167"/>
      <c r="S113" s="167"/>
      <c r="T113" s="384"/>
      <c r="U113" s="384"/>
      <c r="V113" s="191"/>
      <c r="W113" s="191"/>
      <c r="X113" s="191"/>
      <c r="Y113" s="191"/>
      <c r="Z113" s="191"/>
      <c r="AA113" s="191"/>
      <c r="AB113" s="191"/>
      <c r="AC113" s="191"/>
      <c r="AD113" s="384"/>
      <c r="AE113" s="384"/>
      <c r="AF113" s="384"/>
      <c r="AG113" s="167"/>
      <c r="AH113" s="167"/>
      <c r="AI113" s="558"/>
      <c r="AJ113" s="554"/>
      <c r="AK113" s="187" t="b">
        <f>IF($N112="Electric Heat Pump",TRUE,FALSE)</f>
        <v>0</v>
      </c>
      <c r="AL113" s="187" t="b">
        <f>IF($N112="Electric Resistance",TRUE,FALSE)</f>
        <v>0</v>
      </c>
      <c r="AN113" s="8"/>
      <c r="AO113" s="279"/>
      <c r="AP113" s="279"/>
      <c r="AQ113" s="279"/>
      <c r="AR113" s="279"/>
      <c r="AS113" s="8"/>
      <c r="AT113" s="8"/>
      <c r="AU113" s="8"/>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row>
    <row r="114" spans="1:266" ht="12.75" customHeight="1">
      <c r="A114" s="25"/>
      <c r="B114" s="26"/>
      <c r="C114" s="26"/>
      <c r="D114" s="580"/>
      <c r="E114" s="580"/>
      <c r="F114" s="580"/>
      <c r="G114" s="580"/>
      <c r="H114" s="580"/>
      <c r="I114" s="580"/>
      <c r="J114" s="580"/>
      <c r="K114" s="580"/>
      <c r="L114" s="580"/>
      <c r="M114" s="580"/>
      <c r="N114" s="580"/>
      <c r="O114" s="580"/>
      <c r="P114" s="580"/>
      <c r="Q114" s="580"/>
      <c r="R114" s="580"/>
      <c r="S114" s="580"/>
      <c r="T114" s="182"/>
      <c r="U114" s="580"/>
      <c r="V114" s="193"/>
      <c r="W114" s="193"/>
      <c r="X114" s="193"/>
      <c r="Y114" s="193"/>
      <c r="Z114" s="193"/>
      <c r="AA114" s="193"/>
      <c r="AB114" s="193"/>
      <c r="AC114" s="193"/>
      <c r="AD114" s="580"/>
      <c r="AE114" s="580"/>
      <c r="AF114" s="572"/>
      <c r="AG114" s="176"/>
      <c r="AH114" s="176"/>
      <c r="AI114" s="580"/>
      <c r="AJ114" s="157"/>
      <c r="AQ114" s="9"/>
      <c r="AR114" s="9"/>
      <c r="AV114" s="94"/>
      <c r="AW114" s="94"/>
      <c r="AX114" s="94"/>
      <c r="AY114" s="94"/>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687"/>
      <c r="CB114" s="687"/>
      <c r="CC114" s="687"/>
      <c r="CD114" s="687"/>
      <c r="CE114" s="687"/>
      <c r="CF114" s="687"/>
      <c r="CG114" s="687"/>
      <c r="CH114" s="687"/>
      <c r="CI114" s="687"/>
      <c r="CJ114" s="687"/>
      <c r="CK114" s="687"/>
      <c r="CL114" s="687"/>
      <c r="CM114" s="687"/>
      <c r="CN114" s="687"/>
      <c r="CO114" s="687"/>
      <c r="CP114" s="687"/>
      <c r="CQ114" s="687"/>
      <c r="CR114" s="687"/>
      <c r="CS114" s="687"/>
      <c r="CT114" s="687"/>
      <c r="CU114" s="687"/>
      <c r="CV114" s="687"/>
      <c r="CW114" s="687"/>
      <c r="CX114" s="687"/>
      <c r="CY114" s="687"/>
      <c r="CZ114" s="687"/>
      <c r="DA114" s="687"/>
      <c r="DB114" s="687"/>
      <c r="DC114" s="687"/>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c r="HU114" s="10"/>
      <c r="HV114" s="10"/>
      <c r="HW114" s="10"/>
      <c r="HX114" s="10"/>
      <c r="HY114" s="10"/>
      <c r="HZ114" s="10"/>
      <c r="IA114" s="10"/>
      <c r="IB114" s="10"/>
      <c r="IC114" s="10"/>
      <c r="ID114" s="10"/>
      <c r="IE114" s="10"/>
      <c r="IF114" s="10"/>
      <c r="IG114" s="10"/>
      <c r="IH114" s="10"/>
      <c r="II114" s="10"/>
      <c r="IJ114" s="10"/>
      <c r="IK114" s="10"/>
      <c r="IL114" s="10"/>
      <c r="IM114" s="10"/>
      <c r="IN114" s="10"/>
      <c r="IO114" s="10"/>
      <c r="IP114" s="10"/>
      <c r="IQ114" s="10"/>
      <c r="IR114" s="10"/>
      <c r="IS114" s="10"/>
      <c r="IT114" s="10"/>
      <c r="IU114" s="10"/>
      <c r="IV114" s="10"/>
      <c r="IW114" s="10"/>
      <c r="IX114" s="10"/>
      <c r="IY114" s="10"/>
      <c r="IZ114" s="10"/>
      <c r="JA114" s="10"/>
      <c r="JB114" s="10"/>
      <c r="JC114" s="10"/>
      <c r="JD114" s="10"/>
      <c r="JE114" s="10"/>
      <c r="JF114" s="10"/>
    </row>
    <row r="115" spans="1:266" ht="14.1" customHeight="1">
      <c r="A115" s="25"/>
      <c r="B115" s="610" t="s">
        <v>2748</v>
      </c>
      <c r="C115" s="25"/>
      <c r="D115" s="549"/>
      <c r="E115" s="549"/>
      <c r="F115" s="549"/>
      <c r="G115" s="549"/>
      <c r="H115" s="549"/>
      <c r="I115" s="549"/>
      <c r="J115" s="549"/>
      <c r="K115" s="549"/>
      <c r="L115" s="549"/>
      <c r="M115" s="549"/>
      <c r="N115" s="549"/>
      <c r="O115" s="549"/>
      <c r="P115" s="549"/>
      <c r="Q115" s="549"/>
      <c r="R115" s="549"/>
      <c r="S115" s="549"/>
      <c r="T115" s="43"/>
      <c r="U115" s="28"/>
      <c r="V115" s="168"/>
      <c r="W115" s="168"/>
      <c r="X115" s="168"/>
      <c r="Y115" s="168"/>
      <c r="Z115" s="168"/>
      <c r="AA115" s="168"/>
      <c r="AB115" s="168"/>
      <c r="AC115" s="168"/>
      <c r="AD115" s="28" t="s">
        <v>2650</v>
      </c>
      <c r="AE115" s="371" t="s">
        <v>142</v>
      </c>
      <c r="AF115" s="849" t="str">
        <f>IF(AK115=FALSE,"",SUM(AF34:AF41,AF49:AF57,AF62,AF67:AF73,AF78:AF87,AF92:AF96,AF101:AF106,AF111,AF112))</f>
        <v/>
      </c>
      <c r="AG115" s="849"/>
      <c r="AH115" s="849"/>
      <c r="AI115" s="549"/>
      <c r="AJ115" s="157"/>
      <c r="AK115" s="187" t="b">
        <f>IF(OR(AK34=TRUE,AK35=TRUE,AK36=TRUE,AK38=TRUE,AK40=TRUE,AK41=TRUE,AK49=TRUE,AK50=TRUE,AK51=TRUE,AK52=TRUE,AK53=TRUE,AK54=TRUE,AK55=TRUE,AK56=TRUE,AK57=TRUE,AK62=TRUE,AK67=TRUE,AK68=TRUE,AK69=TRUE,AK70=TRUE,AK71=TRUE,AK72=TRUE,AK73=TRUE,AK78=TRUE,AK79=TRUE,AK80=TRUE,AK81=TRUE,AK82=TRUE,AK83=TRUE,AK84=TRUE,AK86=TRUE,AK87=TRUE,AK92=TRUE,AK93=TRUE,AK94=TRUE,AK95=TRUE,AK96=TRUE, AK101=TRUE,AK102=TRUE,AK103=TRUE,AK104=TRUE,AK105=TRUE,AK111=TRUE),TRUE,FALSE)</f>
        <v>0</v>
      </c>
      <c r="AM115" s="556">
        <f>SUM(AM34:AM113)</f>
        <v>0</v>
      </c>
      <c r="AN115" s="556">
        <f>SUM(AN34:AN106)</f>
        <v>0</v>
      </c>
      <c r="AO115" s="556">
        <f>SUM(AO34:AO114)</f>
        <v>0</v>
      </c>
      <c r="AP115" s="556">
        <f>SUM(AP34:AP114)</f>
        <v>0</v>
      </c>
      <c r="AQ115" s="400"/>
      <c r="AR115" s="400"/>
      <c r="AS115" s="400"/>
      <c r="AT115" s="400"/>
      <c r="AU115" s="400"/>
      <c r="AV115" s="94"/>
      <c r="AW115" s="94"/>
      <c r="AX115" s="94"/>
      <c r="AY115" s="94"/>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687"/>
      <c r="CB115" s="687"/>
      <c r="CC115" s="687"/>
      <c r="CD115" s="687"/>
      <c r="CE115" s="687"/>
      <c r="CF115" s="687"/>
      <c r="CG115" s="687"/>
      <c r="CH115" s="687"/>
      <c r="CI115" s="687"/>
      <c r="CJ115" s="687"/>
      <c r="CK115" s="687"/>
      <c r="CL115" s="687"/>
      <c r="CM115" s="687"/>
      <c r="CN115" s="687"/>
      <c r="CO115" s="687"/>
      <c r="CP115" s="687"/>
      <c r="CQ115" s="687"/>
      <c r="CR115" s="687"/>
      <c r="CS115" s="687"/>
      <c r="CT115" s="687"/>
      <c r="CU115" s="687"/>
      <c r="CV115" s="687"/>
      <c r="CW115" s="687"/>
      <c r="CX115" s="687"/>
      <c r="CY115" s="687"/>
      <c r="CZ115" s="687"/>
      <c r="DA115" s="687"/>
      <c r="DB115" s="687"/>
      <c r="DC115" s="687"/>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c r="HX115" s="10"/>
      <c r="HY115" s="10"/>
      <c r="HZ115" s="10"/>
      <c r="IA115" s="10"/>
      <c r="IB115" s="10"/>
      <c r="IC115" s="10"/>
      <c r="ID115" s="10"/>
      <c r="IE115" s="10"/>
      <c r="IF115" s="10"/>
      <c r="IG115" s="10"/>
      <c r="IH115" s="10"/>
      <c r="II115" s="10"/>
      <c r="IJ115" s="10"/>
      <c r="IK115" s="10"/>
      <c r="IL115" s="10"/>
      <c r="IM115" s="10"/>
      <c r="IN115" s="10"/>
      <c r="IO115" s="10"/>
      <c r="IP115" s="10"/>
      <c r="IQ115" s="10"/>
      <c r="IR115" s="10"/>
      <c r="IS115" s="10"/>
      <c r="IT115" s="10"/>
      <c r="IU115" s="10"/>
      <c r="IV115" s="10"/>
      <c r="IW115" s="10"/>
      <c r="IX115" s="10"/>
      <c r="IY115" s="10"/>
      <c r="IZ115" s="10"/>
      <c r="JA115" s="10"/>
      <c r="JB115" s="10"/>
      <c r="JC115" s="10"/>
      <c r="JD115" s="10"/>
      <c r="JE115" s="10"/>
      <c r="JF115" s="10"/>
    </row>
    <row r="116" spans="1:266" ht="14.1" customHeight="1">
      <c r="A116" s="25"/>
      <c r="B116" s="779"/>
      <c r="C116" s="779"/>
      <c r="D116" s="779"/>
      <c r="E116" s="779"/>
      <c r="F116" s="779"/>
      <c r="G116" s="779"/>
      <c r="H116" s="779"/>
      <c r="I116" s="779"/>
      <c r="J116" s="779"/>
      <c r="K116" s="779"/>
      <c r="L116" s="779"/>
      <c r="M116" s="779"/>
      <c r="N116" s="779"/>
      <c r="O116" s="779"/>
      <c r="P116" s="779"/>
      <c r="Q116" s="779"/>
      <c r="R116" s="779"/>
      <c r="S116" s="779"/>
      <c r="T116" s="779"/>
      <c r="U116" s="779"/>
      <c r="V116" s="779"/>
      <c r="W116" s="779"/>
      <c r="X116" s="779"/>
      <c r="Y116" s="779"/>
      <c r="Z116" s="779"/>
      <c r="AA116" s="779"/>
      <c r="AB116" s="779"/>
      <c r="AC116" s="779"/>
      <c r="AD116" s="779"/>
      <c r="AE116" s="779"/>
      <c r="AF116" s="779"/>
      <c r="AG116" s="779"/>
      <c r="AH116" s="779"/>
      <c r="AI116" s="779"/>
      <c r="AJ116" s="157"/>
      <c r="AV116" s="94"/>
      <c r="AW116" s="94"/>
      <c r="AX116" s="94"/>
      <c r="AY116" s="94"/>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c r="BV116" s="100"/>
      <c r="BW116" s="100"/>
      <c r="BX116" s="100"/>
      <c r="BY116" s="100"/>
      <c r="BZ116" s="100"/>
      <c r="CA116" s="687"/>
      <c r="CB116" s="687"/>
      <c r="CC116" s="687"/>
      <c r="CD116" s="687"/>
      <c r="CE116" s="687"/>
      <c r="CF116" s="687"/>
      <c r="CG116" s="687"/>
      <c r="CH116" s="687"/>
      <c r="CI116" s="687"/>
      <c r="CJ116" s="687"/>
      <c r="CK116" s="687"/>
      <c r="CL116" s="687"/>
      <c r="CM116" s="687"/>
      <c r="CN116" s="687"/>
      <c r="CO116" s="687"/>
      <c r="CP116" s="687"/>
      <c r="CQ116" s="687"/>
      <c r="CR116" s="687"/>
      <c r="CS116" s="687"/>
      <c r="CT116" s="687"/>
      <c r="CU116" s="687"/>
      <c r="CV116" s="687"/>
      <c r="CW116" s="687"/>
      <c r="CX116" s="687"/>
      <c r="CY116" s="687"/>
      <c r="CZ116" s="687"/>
      <c r="DA116" s="687"/>
      <c r="DB116" s="687"/>
      <c r="DC116" s="687"/>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c r="IV116" s="10"/>
      <c r="IW116" s="10"/>
      <c r="IX116" s="10"/>
      <c r="IY116" s="10"/>
      <c r="IZ116" s="10"/>
      <c r="JA116" s="10"/>
      <c r="JB116" s="10"/>
      <c r="JC116" s="10"/>
      <c r="JD116" s="10"/>
      <c r="JE116" s="10"/>
      <c r="JF116" s="10"/>
    </row>
    <row r="117" spans="1:266" ht="14.1" customHeight="1">
      <c r="A117" s="25"/>
      <c r="B117" s="779"/>
      <c r="C117" s="779"/>
      <c r="D117" s="779"/>
      <c r="E117" s="779"/>
      <c r="F117" s="779"/>
      <c r="G117" s="779"/>
      <c r="H117" s="779"/>
      <c r="I117" s="779"/>
      <c r="J117" s="779"/>
      <c r="K117" s="779"/>
      <c r="L117" s="779"/>
      <c r="M117" s="779"/>
      <c r="N117" s="779"/>
      <c r="O117" s="779"/>
      <c r="P117" s="779"/>
      <c r="Q117" s="779"/>
      <c r="R117" s="779"/>
      <c r="S117" s="779"/>
      <c r="T117" s="779"/>
      <c r="U117" s="779"/>
      <c r="V117" s="779"/>
      <c r="W117" s="779"/>
      <c r="X117" s="779"/>
      <c r="Y117" s="779"/>
      <c r="Z117" s="779"/>
      <c r="AA117" s="779"/>
      <c r="AB117" s="779"/>
      <c r="AC117" s="779"/>
      <c r="AD117" s="779"/>
      <c r="AE117" s="779"/>
      <c r="AF117" s="779"/>
      <c r="AG117" s="779"/>
      <c r="AH117" s="779"/>
      <c r="AI117" s="779"/>
      <c r="AJ117" s="157"/>
      <c r="AV117" s="94"/>
      <c r="AW117" s="94"/>
      <c r="AX117" s="94"/>
      <c r="AY117" s="94"/>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100"/>
      <c r="BW117" s="100"/>
      <c r="BX117" s="100"/>
      <c r="BY117" s="100"/>
      <c r="BZ117" s="100"/>
      <c r="CA117" s="687"/>
      <c r="CB117" s="687"/>
      <c r="CC117" s="687"/>
      <c r="CD117" s="687"/>
      <c r="CE117" s="687"/>
      <c r="CF117" s="687"/>
      <c r="CG117" s="687"/>
      <c r="CH117" s="687"/>
      <c r="CI117" s="687"/>
      <c r="CJ117" s="687"/>
      <c r="CK117" s="687"/>
      <c r="CL117" s="687"/>
      <c r="CM117" s="687"/>
      <c r="CN117" s="687"/>
      <c r="CO117" s="687"/>
      <c r="CP117" s="687"/>
      <c r="CQ117" s="687"/>
      <c r="CR117" s="687"/>
      <c r="CS117" s="687"/>
      <c r="CT117" s="687"/>
      <c r="CU117" s="687"/>
      <c r="CV117" s="687"/>
      <c r="CW117" s="687"/>
      <c r="CX117" s="687"/>
      <c r="CY117" s="687"/>
      <c r="CZ117" s="687"/>
      <c r="DA117" s="687"/>
      <c r="DB117" s="687"/>
      <c r="DC117" s="687"/>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row>
    <row r="118" spans="1:266" ht="14.1" customHeight="1">
      <c r="A118" s="25"/>
      <c r="B118" s="33" t="str">
        <f>Version</f>
        <v>MF (11/23)</v>
      </c>
      <c r="C118" s="43"/>
      <c r="D118" s="43"/>
      <c r="E118" s="43"/>
      <c r="F118" s="43"/>
      <c r="G118" s="43"/>
      <c r="H118" s="43"/>
      <c r="I118" s="43"/>
      <c r="J118" s="43"/>
      <c r="K118" s="43"/>
      <c r="L118" s="43"/>
      <c r="M118" s="43"/>
      <c r="N118" s="43"/>
      <c r="O118" s="43"/>
      <c r="P118" s="43"/>
      <c r="Q118" s="43"/>
      <c r="R118" s="43"/>
      <c r="S118" s="43"/>
      <c r="T118" s="43"/>
      <c r="U118" s="43"/>
      <c r="V118" s="168"/>
      <c r="W118" s="168"/>
      <c r="X118" s="168"/>
      <c r="Y118" s="168"/>
      <c r="Z118" s="168"/>
      <c r="AA118" s="168"/>
      <c r="AB118" s="168"/>
      <c r="AC118" s="168"/>
      <c r="AD118" s="43"/>
      <c r="AE118" s="43"/>
      <c r="AF118" s="43"/>
      <c r="AG118" s="157"/>
      <c r="AH118" s="157"/>
      <c r="AI118" s="43"/>
      <c r="AJ118" s="157"/>
      <c r="AV118" s="94"/>
      <c r="AW118" s="94"/>
      <c r="AX118" s="94"/>
      <c r="AY118" s="94"/>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c r="CA118" s="687"/>
      <c r="CB118" s="687"/>
      <c r="CC118" s="687"/>
      <c r="CD118" s="687"/>
      <c r="CE118" s="687"/>
      <c r="CF118" s="687"/>
      <c r="CG118" s="687"/>
      <c r="CH118" s="687"/>
      <c r="CI118" s="687"/>
      <c r="CJ118" s="687"/>
      <c r="CK118" s="687"/>
      <c r="CL118" s="687"/>
      <c r="CM118" s="687"/>
      <c r="CN118" s="687"/>
      <c r="CO118" s="687"/>
      <c r="CP118" s="687"/>
      <c r="CQ118" s="687"/>
      <c r="CR118" s="687"/>
      <c r="CS118" s="687"/>
      <c r="CT118" s="687"/>
      <c r="CU118" s="687"/>
      <c r="CV118" s="687"/>
      <c r="CW118" s="687"/>
      <c r="CX118" s="687"/>
      <c r="CY118" s="687"/>
      <c r="CZ118" s="687"/>
      <c r="DA118" s="687"/>
      <c r="DB118" s="687"/>
      <c r="DC118" s="687"/>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c r="HU118" s="10"/>
      <c r="HV118" s="10"/>
      <c r="HW118" s="10"/>
      <c r="HX118" s="10"/>
      <c r="HY118" s="10"/>
      <c r="HZ118" s="10"/>
      <c r="IA118" s="10"/>
      <c r="IB118" s="10"/>
      <c r="IC118" s="10"/>
      <c r="ID118" s="10"/>
      <c r="IE118" s="10"/>
      <c r="IF118" s="10"/>
      <c r="IG118" s="10"/>
      <c r="IH118" s="10"/>
      <c r="II118" s="10"/>
      <c r="IJ118" s="10"/>
      <c r="IK118" s="10"/>
      <c r="IL118" s="10"/>
      <c r="IM118" s="10"/>
      <c r="IN118" s="10"/>
      <c r="IO118" s="10"/>
      <c r="IP118" s="10"/>
      <c r="IQ118" s="10"/>
      <c r="IR118" s="10"/>
      <c r="IS118" s="10"/>
      <c r="IT118" s="10"/>
      <c r="IU118" s="10"/>
      <c r="IV118" s="10"/>
      <c r="IW118" s="10"/>
      <c r="IX118" s="10"/>
      <c r="IY118" s="10"/>
      <c r="IZ118" s="10"/>
      <c r="JA118" s="10"/>
      <c r="JB118" s="10"/>
      <c r="JC118" s="10"/>
      <c r="JD118" s="10"/>
      <c r="JE118" s="10"/>
      <c r="JF118" s="10"/>
    </row>
    <row r="119" spans="1:266" s="5" customFormat="1" ht="12.75" customHeight="1">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399"/>
      <c r="AP119" s="399"/>
      <c r="AQ119" s="94"/>
      <c r="AR119" s="94"/>
      <c r="AS119" s="94"/>
      <c r="AT119" s="94"/>
      <c r="AU119" s="94"/>
      <c r="AV119" s="98"/>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684"/>
      <c r="CB119" s="684"/>
      <c r="CC119" s="684"/>
      <c r="CD119" s="684"/>
      <c r="CE119" s="684"/>
      <c r="CF119" s="684"/>
      <c r="CG119" s="684"/>
      <c r="CH119" s="684"/>
      <c r="CI119" s="684"/>
      <c r="CJ119" s="684"/>
      <c r="CK119" s="684"/>
      <c r="CL119" s="684"/>
      <c r="CM119" s="684"/>
      <c r="CN119" s="684"/>
      <c r="CO119" s="684"/>
      <c r="CP119" s="684"/>
      <c r="CQ119" s="684"/>
      <c r="CR119" s="684"/>
      <c r="CS119" s="684"/>
      <c r="CT119" s="684"/>
      <c r="CU119" s="684"/>
      <c r="CV119" s="684"/>
      <c r="CW119" s="684"/>
      <c r="CX119" s="684"/>
      <c r="CY119" s="684"/>
      <c r="CZ119" s="684"/>
      <c r="DA119" s="684"/>
      <c r="DB119" s="684"/>
      <c r="DC119" s="684"/>
    </row>
    <row r="120" spans="1:266" s="5" customFormat="1" ht="12.75" customHeight="1">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399"/>
      <c r="AP120" s="399"/>
      <c r="AQ120" s="94"/>
      <c r="AR120" s="94"/>
      <c r="AS120" s="94"/>
      <c r="AT120" s="94"/>
      <c r="AU120" s="94"/>
      <c r="AV120" s="98"/>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684"/>
      <c r="CB120" s="684"/>
      <c r="CC120" s="684"/>
      <c r="CD120" s="684"/>
      <c r="CE120" s="684"/>
      <c r="CF120" s="684"/>
      <c r="CG120" s="684"/>
      <c r="CH120" s="684"/>
      <c r="CI120" s="684"/>
      <c r="CJ120" s="684"/>
      <c r="CK120" s="684"/>
      <c r="CL120" s="684"/>
      <c r="CM120" s="684"/>
      <c r="CN120" s="684"/>
      <c r="CO120" s="684"/>
      <c r="CP120" s="684"/>
      <c r="CQ120" s="684"/>
      <c r="CR120" s="684"/>
      <c r="CS120" s="684"/>
      <c r="CT120" s="684"/>
      <c r="CU120" s="684"/>
      <c r="CV120" s="684"/>
      <c r="CW120" s="684"/>
      <c r="CX120" s="684"/>
      <c r="CY120" s="684"/>
      <c r="CZ120" s="684"/>
      <c r="DA120" s="684"/>
      <c r="DB120" s="684"/>
      <c r="DC120" s="684"/>
    </row>
    <row r="121" spans="1:266" s="5" customFormat="1" ht="12.75" customHeight="1">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399"/>
      <c r="AP121" s="399"/>
      <c r="AQ121" s="94"/>
      <c r="AR121" s="94"/>
      <c r="AS121" s="94"/>
      <c r="AT121" s="94"/>
      <c r="AU121" s="94"/>
      <c r="AV121" s="98"/>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684"/>
      <c r="CB121" s="684"/>
      <c r="CC121" s="684"/>
      <c r="CD121" s="684"/>
      <c r="CE121" s="684"/>
      <c r="CF121" s="684"/>
      <c r="CG121" s="684"/>
      <c r="CH121" s="684"/>
      <c r="CI121" s="684"/>
      <c r="CJ121" s="684"/>
      <c r="CK121" s="684"/>
      <c r="CL121" s="684"/>
      <c r="CM121" s="684"/>
      <c r="CN121" s="684"/>
      <c r="CO121" s="684"/>
      <c r="CP121" s="684"/>
      <c r="CQ121" s="684"/>
      <c r="CR121" s="684"/>
      <c r="CS121" s="684"/>
      <c r="CT121" s="684"/>
      <c r="CU121" s="684"/>
      <c r="CV121" s="684"/>
      <c r="CW121" s="684"/>
      <c r="CX121" s="684"/>
      <c r="CY121" s="684"/>
      <c r="CZ121" s="684"/>
      <c r="DA121" s="684"/>
      <c r="DB121" s="684"/>
      <c r="DC121" s="684"/>
    </row>
    <row r="122" spans="1:266" s="5" customFormat="1" ht="12.75" customHeight="1">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399"/>
      <c r="AP122" s="399"/>
      <c r="AQ122" s="94"/>
      <c r="AR122" s="94"/>
      <c r="AS122" s="94"/>
      <c r="AT122" s="94"/>
      <c r="AU122" s="94"/>
      <c r="AV122" s="98"/>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A122" s="684"/>
      <c r="CB122" s="684"/>
      <c r="CC122" s="684"/>
      <c r="CD122" s="684"/>
      <c r="CE122" s="684"/>
      <c r="CF122" s="684"/>
      <c r="CG122" s="684"/>
      <c r="CH122" s="684"/>
      <c r="CI122" s="684"/>
      <c r="CJ122" s="684"/>
      <c r="CK122" s="684"/>
      <c r="CL122" s="684"/>
      <c r="CM122" s="684"/>
      <c r="CN122" s="684"/>
      <c r="CO122" s="684"/>
      <c r="CP122" s="684"/>
      <c r="CQ122" s="684"/>
      <c r="CR122" s="684"/>
      <c r="CS122" s="684"/>
      <c r="CT122" s="684"/>
      <c r="CU122" s="684"/>
      <c r="CV122" s="684"/>
      <c r="CW122" s="684"/>
      <c r="CX122" s="684"/>
      <c r="CY122" s="684"/>
      <c r="CZ122" s="684"/>
      <c r="DA122" s="684"/>
      <c r="DB122" s="684"/>
      <c r="DC122" s="684"/>
    </row>
    <row r="123" spans="1:266" s="5" customFormat="1" ht="12.75" customHeight="1">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399"/>
      <c r="AP123" s="399"/>
      <c r="AQ123" s="94"/>
      <c r="AR123" s="94"/>
      <c r="AS123" s="94"/>
      <c r="AT123" s="94"/>
      <c r="AU123" s="94"/>
      <c r="AV123" s="98"/>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684"/>
      <c r="CB123" s="684"/>
      <c r="CC123" s="684"/>
      <c r="CD123" s="684"/>
      <c r="CE123" s="684"/>
      <c r="CF123" s="684"/>
      <c r="CG123" s="684"/>
      <c r="CH123" s="684"/>
      <c r="CI123" s="684"/>
      <c r="CJ123" s="684"/>
      <c r="CK123" s="684"/>
      <c r="CL123" s="684"/>
      <c r="CM123" s="684"/>
      <c r="CN123" s="684"/>
      <c r="CO123" s="684"/>
      <c r="CP123" s="684"/>
      <c r="CQ123" s="684"/>
      <c r="CR123" s="684"/>
      <c r="CS123" s="684"/>
      <c r="CT123" s="684"/>
      <c r="CU123" s="684"/>
      <c r="CV123" s="684"/>
      <c r="CW123" s="684"/>
      <c r="CX123" s="684"/>
      <c r="CY123" s="684"/>
      <c r="CZ123" s="684"/>
      <c r="DA123" s="684"/>
      <c r="DB123" s="684"/>
      <c r="DC123" s="684"/>
    </row>
    <row r="124" spans="1:266" s="5" customFormat="1" ht="12.75" customHeight="1">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399"/>
      <c r="AP124" s="399"/>
      <c r="AQ124" s="94"/>
      <c r="AR124" s="94"/>
      <c r="AS124" s="94"/>
      <c r="AT124" s="94"/>
      <c r="AU124" s="94"/>
      <c r="AV124" s="98"/>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684"/>
      <c r="CB124" s="684"/>
      <c r="CC124" s="684"/>
      <c r="CD124" s="684"/>
      <c r="CE124" s="684"/>
      <c r="CF124" s="684"/>
      <c r="CG124" s="684"/>
      <c r="CH124" s="684"/>
      <c r="CI124" s="684"/>
      <c r="CJ124" s="684"/>
      <c r="CK124" s="684"/>
      <c r="CL124" s="684"/>
      <c r="CM124" s="684"/>
      <c r="CN124" s="684"/>
      <c r="CO124" s="684"/>
      <c r="CP124" s="684"/>
      <c r="CQ124" s="684"/>
      <c r="CR124" s="684"/>
      <c r="CS124" s="684"/>
      <c r="CT124" s="684"/>
      <c r="CU124" s="684"/>
      <c r="CV124" s="684"/>
      <c r="CW124" s="684"/>
      <c r="CX124" s="684"/>
      <c r="CY124" s="684"/>
      <c r="CZ124" s="684"/>
      <c r="DA124" s="684"/>
      <c r="DB124" s="684"/>
      <c r="DC124" s="684"/>
    </row>
    <row r="125" spans="1:266" s="5" customFormat="1" ht="12.75"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399"/>
      <c r="AP125" s="399"/>
      <c r="AQ125" s="94"/>
      <c r="AR125" s="94"/>
      <c r="AS125" s="94"/>
      <c r="AT125" s="94"/>
      <c r="AU125" s="94"/>
      <c r="AV125" s="98"/>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684"/>
      <c r="CB125" s="684"/>
      <c r="CC125" s="684"/>
      <c r="CD125" s="684"/>
      <c r="CE125" s="684"/>
      <c r="CF125" s="684"/>
      <c r="CG125" s="684"/>
      <c r="CH125" s="684"/>
      <c r="CI125" s="684"/>
      <c r="CJ125" s="684"/>
      <c r="CK125" s="684"/>
      <c r="CL125" s="684"/>
      <c r="CM125" s="684"/>
      <c r="CN125" s="684"/>
      <c r="CO125" s="684"/>
      <c r="CP125" s="684"/>
      <c r="CQ125" s="684"/>
      <c r="CR125" s="684"/>
      <c r="CS125" s="684"/>
      <c r="CT125" s="684"/>
      <c r="CU125" s="684"/>
      <c r="CV125" s="684"/>
      <c r="CW125" s="684"/>
      <c r="CX125" s="684"/>
      <c r="CY125" s="684"/>
      <c r="CZ125" s="684"/>
      <c r="DA125" s="684"/>
      <c r="DB125" s="684"/>
      <c r="DC125" s="684"/>
    </row>
    <row r="126" spans="1:266" s="5" customFormat="1" ht="12.75" customHeight="1">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399"/>
      <c r="AP126" s="399"/>
      <c r="AQ126" s="94"/>
      <c r="AR126" s="94"/>
      <c r="AS126" s="94"/>
      <c r="AT126" s="94"/>
      <c r="AU126" s="94"/>
      <c r="AV126" s="98"/>
      <c r="AW126" s="94"/>
      <c r="AX126" s="94"/>
      <c r="AY126" s="94"/>
      <c r="AZ126" s="94"/>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684"/>
      <c r="CB126" s="684"/>
      <c r="CC126" s="684"/>
      <c r="CD126" s="684"/>
      <c r="CE126" s="684"/>
      <c r="CF126" s="684"/>
      <c r="CG126" s="684"/>
      <c r="CH126" s="684"/>
      <c r="CI126" s="684"/>
      <c r="CJ126" s="684"/>
      <c r="CK126" s="684"/>
      <c r="CL126" s="684"/>
      <c r="CM126" s="684"/>
      <c r="CN126" s="684"/>
      <c r="CO126" s="684"/>
      <c r="CP126" s="684"/>
      <c r="CQ126" s="684"/>
      <c r="CR126" s="684"/>
      <c r="CS126" s="684"/>
      <c r="CT126" s="684"/>
      <c r="CU126" s="684"/>
      <c r="CV126" s="684"/>
      <c r="CW126" s="684"/>
      <c r="CX126" s="684"/>
      <c r="CY126" s="684"/>
      <c r="CZ126" s="684"/>
      <c r="DA126" s="684"/>
      <c r="DB126" s="684"/>
      <c r="DC126" s="684"/>
    </row>
    <row r="127" spans="1:266" s="5" customFormat="1" ht="12.75" customHeight="1">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399"/>
      <c r="AP127" s="399"/>
      <c r="AQ127" s="94"/>
      <c r="AR127" s="94"/>
      <c r="AS127" s="94"/>
      <c r="AT127" s="94"/>
      <c r="AU127" s="94"/>
      <c r="AV127" s="98"/>
      <c r="AW127" s="94"/>
      <c r="AX127" s="94"/>
      <c r="AY127" s="94"/>
      <c r="AZ127" s="94"/>
      <c r="BA127" s="94"/>
      <c r="BB127" s="94"/>
      <c r="BC127" s="94"/>
      <c r="BD127" s="94"/>
      <c r="BE127" s="94"/>
      <c r="BF127" s="94"/>
      <c r="BG127" s="94"/>
      <c r="BH127" s="94"/>
      <c r="BI127" s="94"/>
      <c r="BJ127" s="94"/>
      <c r="BK127" s="94"/>
      <c r="BL127" s="94"/>
      <c r="BM127" s="94"/>
      <c r="BN127" s="94"/>
      <c r="BO127" s="94"/>
      <c r="BP127" s="94"/>
      <c r="BQ127" s="94"/>
      <c r="BR127" s="94"/>
      <c r="BS127" s="94"/>
      <c r="BT127" s="94"/>
      <c r="BU127" s="94"/>
      <c r="BV127" s="94"/>
      <c r="BW127" s="94"/>
      <c r="BX127" s="94"/>
      <c r="BY127" s="94"/>
      <c r="BZ127" s="94"/>
      <c r="CA127" s="684"/>
      <c r="CB127" s="684"/>
      <c r="CC127" s="684"/>
      <c r="CD127" s="684"/>
      <c r="CE127" s="684"/>
      <c r="CF127" s="684"/>
      <c r="CG127" s="684"/>
      <c r="CH127" s="684"/>
      <c r="CI127" s="684"/>
      <c r="CJ127" s="684"/>
      <c r="CK127" s="684"/>
      <c r="CL127" s="684"/>
      <c r="CM127" s="684"/>
      <c r="CN127" s="684"/>
      <c r="CO127" s="684"/>
      <c r="CP127" s="684"/>
      <c r="CQ127" s="684"/>
      <c r="CR127" s="684"/>
      <c r="CS127" s="684"/>
      <c r="CT127" s="684"/>
      <c r="CU127" s="684"/>
      <c r="CV127" s="684"/>
      <c r="CW127" s="684"/>
      <c r="CX127" s="684"/>
      <c r="CY127" s="684"/>
      <c r="CZ127" s="684"/>
      <c r="DA127" s="684"/>
      <c r="DB127" s="684"/>
      <c r="DC127" s="684"/>
    </row>
    <row r="128" spans="1:266" s="5" customFormat="1" ht="12.75"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399"/>
      <c r="AP128" s="399"/>
      <c r="AQ128" s="94"/>
      <c r="AR128" s="94"/>
      <c r="AS128" s="94"/>
      <c r="AT128" s="94"/>
      <c r="AU128" s="94"/>
      <c r="AV128" s="98"/>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A128" s="684"/>
      <c r="CB128" s="684"/>
      <c r="CC128" s="684"/>
      <c r="CD128" s="684"/>
      <c r="CE128" s="684"/>
      <c r="CF128" s="684"/>
      <c r="CG128" s="684"/>
      <c r="CH128" s="684"/>
      <c r="CI128" s="684"/>
      <c r="CJ128" s="684"/>
      <c r="CK128" s="684"/>
      <c r="CL128" s="684"/>
      <c r="CM128" s="684"/>
      <c r="CN128" s="684"/>
      <c r="CO128" s="684"/>
      <c r="CP128" s="684"/>
      <c r="CQ128" s="684"/>
      <c r="CR128" s="684"/>
      <c r="CS128" s="684"/>
      <c r="CT128" s="684"/>
      <c r="CU128" s="684"/>
      <c r="CV128" s="684"/>
      <c r="CW128" s="684"/>
      <c r="CX128" s="684"/>
      <c r="CY128" s="684"/>
      <c r="CZ128" s="684"/>
      <c r="DA128" s="684"/>
      <c r="DB128" s="684"/>
      <c r="DC128" s="684"/>
    </row>
    <row r="129" spans="1:107" s="5" customFormat="1" ht="12.75" customHeight="1">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399"/>
      <c r="AP129" s="399"/>
      <c r="AQ129" s="94"/>
      <c r="AR129" s="94"/>
      <c r="AS129" s="94"/>
      <c r="AT129" s="94"/>
      <c r="AU129" s="94"/>
      <c r="AV129" s="98"/>
      <c r="AW129" s="94"/>
      <c r="AX129" s="94"/>
      <c r="AY129" s="94"/>
      <c r="AZ129" s="94"/>
      <c r="BA129" s="94"/>
      <c r="BB129" s="94"/>
      <c r="BC129" s="94"/>
      <c r="BD129" s="94"/>
      <c r="BE129" s="94"/>
      <c r="BF129" s="94"/>
      <c r="BG129" s="94"/>
      <c r="BH129" s="94"/>
      <c r="BI129" s="94"/>
      <c r="BJ129" s="94"/>
      <c r="BK129" s="94"/>
      <c r="BL129" s="94"/>
      <c r="BM129" s="94"/>
      <c r="BN129" s="94"/>
      <c r="BO129" s="94"/>
      <c r="BP129" s="94"/>
      <c r="BQ129" s="94"/>
      <c r="BR129" s="94"/>
      <c r="BS129" s="94"/>
      <c r="BT129" s="94"/>
      <c r="BU129" s="94"/>
      <c r="BV129" s="94"/>
      <c r="BW129" s="94"/>
      <c r="BX129" s="94"/>
      <c r="BY129" s="94"/>
      <c r="BZ129" s="94"/>
      <c r="CA129" s="684"/>
      <c r="CB129" s="684"/>
      <c r="CC129" s="684"/>
      <c r="CD129" s="684"/>
      <c r="CE129" s="684"/>
      <c r="CF129" s="684"/>
      <c r="CG129" s="684"/>
      <c r="CH129" s="684"/>
      <c r="CI129" s="684"/>
      <c r="CJ129" s="684"/>
      <c r="CK129" s="684"/>
      <c r="CL129" s="684"/>
      <c r="CM129" s="684"/>
      <c r="CN129" s="684"/>
      <c r="CO129" s="684"/>
      <c r="CP129" s="684"/>
      <c r="CQ129" s="684"/>
      <c r="CR129" s="684"/>
      <c r="CS129" s="684"/>
      <c r="CT129" s="684"/>
      <c r="CU129" s="684"/>
      <c r="CV129" s="684"/>
      <c r="CW129" s="684"/>
      <c r="CX129" s="684"/>
      <c r="CY129" s="684"/>
      <c r="CZ129" s="684"/>
      <c r="DA129" s="684"/>
      <c r="DB129" s="684"/>
      <c r="DC129" s="684"/>
    </row>
    <row r="130" spans="1:107" s="5" customFormat="1" ht="12.75" customHeight="1">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399"/>
      <c r="AP130" s="399"/>
      <c r="AQ130" s="94"/>
      <c r="AR130" s="94"/>
      <c r="AS130" s="94"/>
      <c r="AT130" s="94"/>
      <c r="AU130" s="94"/>
      <c r="AV130" s="98"/>
      <c r="AW130" s="94"/>
      <c r="AX130" s="94"/>
      <c r="AY130" s="94"/>
      <c r="AZ130" s="94"/>
      <c r="BA130" s="94"/>
      <c r="BB130" s="94"/>
      <c r="BC130" s="94"/>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684"/>
      <c r="CB130" s="684"/>
      <c r="CC130" s="684"/>
      <c r="CD130" s="684"/>
      <c r="CE130" s="684"/>
      <c r="CF130" s="684"/>
      <c r="CG130" s="684"/>
      <c r="CH130" s="684"/>
      <c r="CI130" s="684"/>
      <c r="CJ130" s="684"/>
      <c r="CK130" s="684"/>
      <c r="CL130" s="684"/>
      <c r="CM130" s="684"/>
      <c r="CN130" s="684"/>
      <c r="CO130" s="684"/>
      <c r="CP130" s="684"/>
      <c r="CQ130" s="684"/>
      <c r="CR130" s="684"/>
      <c r="CS130" s="684"/>
      <c r="CT130" s="684"/>
      <c r="CU130" s="684"/>
      <c r="CV130" s="684"/>
      <c r="CW130" s="684"/>
      <c r="CX130" s="684"/>
      <c r="CY130" s="684"/>
      <c r="CZ130" s="684"/>
      <c r="DA130" s="684"/>
      <c r="DB130" s="684"/>
      <c r="DC130" s="684"/>
    </row>
    <row r="131" spans="1:107" s="5" customFormat="1" ht="12.75"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399"/>
      <c r="AP131" s="399"/>
      <c r="AQ131" s="94"/>
      <c r="AR131" s="94"/>
      <c r="AS131" s="94"/>
      <c r="AT131" s="94"/>
      <c r="AU131" s="94"/>
      <c r="AV131" s="98"/>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684"/>
      <c r="CB131" s="684"/>
      <c r="CC131" s="684"/>
      <c r="CD131" s="684"/>
      <c r="CE131" s="684"/>
      <c r="CF131" s="684"/>
      <c r="CG131" s="684"/>
      <c r="CH131" s="684"/>
      <c r="CI131" s="684"/>
      <c r="CJ131" s="684"/>
      <c r="CK131" s="684"/>
      <c r="CL131" s="684"/>
      <c r="CM131" s="684"/>
      <c r="CN131" s="684"/>
      <c r="CO131" s="684"/>
      <c r="CP131" s="684"/>
      <c r="CQ131" s="684"/>
      <c r="CR131" s="684"/>
      <c r="CS131" s="684"/>
      <c r="CT131" s="684"/>
      <c r="CU131" s="684"/>
      <c r="CV131" s="684"/>
      <c r="CW131" s="684"/>
      <c r="CX131" s="684"/>
      <c r="CY131" s="684"/>
      <c r="CZ131" s="684"/>
      <c r="DA131" s="684"/>
      <c r="DB131" s="684"/>
      <c r="DC131" s="684"/>
    </row>
    <row r="132" spans="1:107" s="5" customFormat="1" ht="12.75" customHeight="1">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399"/>
      <c r="AP132" s="399"/>
      <c r="AQ132" s="94"/>
      <c r="AR132" s="94"/>
      <c r="AS132" s="94"/>
      <c r="AT132" s="94"/>
      <c r="AU132" s="94"/>
      <c r="AV132" s="98"/>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684"/>
      <c r="CB132" s="684"/>
      <c r="CC132" s="684"/>
      <c r="CD132" s="684"/>
      <c r="CE132" s="684"/>
      <c r="CF132" s="684"/>
      <c r="CG132" s="684"/>
      <c r="CH132" s="684"/>
      <c r="CI132" s="684"/>
      <c r="CJ132" s="684"/>
      <c r="CK132" s="684"/>
      <c r="CL132" s="684"/>
      <c r="CM132" s="684"/>
      <c r="CN132" s="684"/>
      <c r="CO132" s="684"/>
      <c r="CP132" s="684"/>
      <c r="CQ132" s="684"/>
      <c r="CR132" s="684"/>
      <c r="CS132" s="684"/>
      <c r="CT132" s="684"/>
      <c r="CU132" s="684"/>
      <c r="CV132" s="684"/>
      <c r="CW132" s="684"/>
      <c r="CX132" s="684"/>
      <c r="CY132" s="684"/>
      <c r="CZ132" s="684"/>
      <c r="DA132" s="684"/>
      <c r="DB132" s="684"/>
      <c r="DC132" s="684"/>
    </row>
    <row r="133" spans="1:107" s="5" customFormat="1" ht="12.75" customHeight="1">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399"/>
      <c r="AP133" s="399"/>
      <c r="AQ133" s="94"/>
      <c r="AR133" s="94"/>
      <c r="AS133" s="94"/>
      <c r="AT133" s="94"/>
      <c r="AU133" s="94"/>
      <c r="AV133" s="98"/>
      <c r="AW133" s="94"/>
      <c r="AX133" s="94"/>
      <c r="AY133" s="94"/>
      <c r="AZ133" s="94"/>
      <c r="BA133" s="94"/>
      <c r="BB133" s="94"/>
      <c r="BC133" s="94"/>
      <c r="BD133" s="94"/>
      <c r="BE133" s="94"/>
      <c r="BF133" s="94"/>
      <c r="BG133" s="94"/>
      <c r="BH133" s="94"/>
      <c r="BI133" s="94"/>
      <c r="BJ133" s="94"/>
      <c r="BK133" s="94"/>
      <c r="BL133" s="94"/>
      <c r="BM133" s="94"/>
      <c r="BN133" s="94"/>
      <c r="BO133" s="94"/>
      <c r="BP133" s="94"/>
      <c r="BQ133" s="94"/>
      <c r="BR133" s="94"/>
      <c r="BS133" s="94"/>
      <c r="BT133" s="94"/>
      <c r="BU133" s="94"/>
      <c r="BV133" s="94"/>
      <c r="BW133" s="94"/>
      <c r="BX133" s="94"/>
      <c r="BY133" s="94"/>
      <c r="BZ133" s="94"/>
      <c r="CA133" s="684"/>
      <c r="CB133" s="684"/>
      <c r="CC133" s="684"/>
      <c r="CD133" s="684"/>
      <c r="CE133" s="684"/>
      <c r="CF133" s="684"/>
      <c r="CG133" s="684"/>
      <c r="CH133" s="684"/>
      <c r="CI133" s="684"/>
      <c r="CJ133" s="684"/>
      <c r="CK133" s="684"/>
      <c r="CL133" s="684"/>
      <c r="CM133" s="684"/>
      <c r="CN133" s="684"/>
      <c r="CO133" s="684"/>
      <c r="CP133" s="684"/>
      <c r="CQ133" s="684"/>
      <c r="CR133" s="684"/>
      <c r="CS133" s="684"/>
      <c r="CT133" s="684"/>
      <c r="CU133" s="684"/>
      <c r="CV133" s="684"/>
      <c r="CW133" s="684"/>
      <c r="CX133" s="684"/>
      <c r="CY133" s="684"/>
      <c r="CZ133" s="684"/>
      <c r="DA133" s="684"/>
      <c r="DB133" s="684"/>
      <c r="DC133" s="684"/>
    </row>
    <row r="134" spans="1:107" s="5" customFormat="1" ht="12.75" customHeight="1">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399"/>
      <c r="AP134" s="399"/>
      <c r="AQ134" s="94"/>
      <c r="AR134" s="94"/>
      <c r="AS134" s="94"/>
      <c r="AT134" s="94"/>
      <c r="AU134" s="94"/>
      <c r="AV134" s="98"/>
      <c r="AW134" s="94"/>
      <c r="AX134" s="94"/>
      <c r="AY134" s="94"/>
      <c r="AZ134" s="94"/>
      <c r="BA134" s="94"/>
      <c r="BB134" s="94"/>
      <c r="BC134" s="94"/>
      <c r="BD134" s="94"/>
      <c r="BE134" s="94"/>
      <c r="BF134" s="94"/>
      <c r="BG134" s="94"/>
      <c r="BH134" s="94"/>
      <c r="BI134" s="94"/>
      <c r="BJ134" s="94"/>
      <c r="BK134" s="94"/>
      <c r="BL134" s="94"/>
      <c r="BM134" s="94"/>
      <c r="BN134" s="94"/>
      <c r="BO134" s="94"/>
      <c r="BP134" s="94"/>
      <c r="BQ134" s="94"/>
      <c r="BR134" s="94"/>
      <c r="BS134" s="94"/>
      <c r="BT134" s="94"/>
      <c r="BU134" s="94"/>
      <c r="BV134" s="94"/>
      <c r="BW134" s="94"/>
      <c r="BX134" s="94"/>
      <c r="BY134" s="94"/>
      <c r="BZ134" s="94"/>
      <c r="CA134" s="684"/>
      <c r="CB134" s="684"/>
      <c r="CC134" s="684"/>
      <c r="CD134" s="684"/>
      <c r="CE134" s="684"/>
      <c r="CF134" s="684"/>
      <c r="CG134" s="684"/>
      <c r="CH134" s="684"/>
      <c r="CI134" s="684"/>
      <c r="CJ134" s="684"/>
      <c r="CK134" s="684"/>
      <c r="CL134" s="684"/>
      <c r="CM134" s="684"/>
      <c r="CN134" s="684"/>
      <c r="CO134" s="684"/>
      <c r="CP134" s="684"/>
      <c r="CQ134" s="684"/>
      <c r="CR134" s="684"/>
      <c r="CS134" s="684"/>
      <c r="CT134" s="684"/>
      <c r="CU134" s="684"/>
      <c r="CV134" s="684"/>
      <c r="CW134" s="684"/>
      <c r="CX134" s="684"/>
      <c r="CY134" s="684"/>
      <c r="CZ134" s="684"/>
      <c r="DA134" s="684"/>
      <c r="DB134" s="684"/>
      <c r="DC134" s="684"/>
    </row>
    <row r="135" spans="1:107" s="5" customFormat="1" ht="12.75" customHeight="1">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399"/>
      <c r="AP135" s="399"/>
      <c r="AQ135" s="94"/>
      <c r="AR135" s="94"/>
      <c r="AS135" s="94"/>
      <c r="AT135" s="94"/>
      <c r="AU135" s="94"/>
      <c r="AV135" s="98"/>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684"/>
      <c r="CB135" s="684"/>
      <c r="CC135" s="684"/>
      <c r="CD135" s="684"/>
      <c r="CE135" s="684"/>
      <c r="CF135" s="684"/>
      <c r="CG135" s="684"/>
      <c r="CH135" s="684"/>
      <c r="CI135" s="684"/>
      <c r="CJ135" s="684"/>
      <c r="CK135" s="684"/>
      <c r="CL135" s="684"/>
      <c r="CM135" s="684"/>
      <c r="CN135" s="684"/>
      <c r="CO135" s="684"/>
      <c r="CP135" s="684"/>
      <c r="CQ135" s="684"/>
      <c r="CR135" s="684"/>
      <c r="CS135" s="684"/>
      <c r="CT135" s="684"/>
      <c r="CU135" s="684"/>
      <c r="CV135" s="684"/>
      <c r="CW135" s="684"/>
      <c r="CX135" s="684"/>
      <c r="CY135" s="684"/>
      <c r="CZ135" s="684"/>
      <c r="DA135" s="684"/>
      <c r="DB135" s="684"/>
      <c r="DC135" s="684"/>
    </row>
    <row r="136" spans="1:107" s="5" customFormat="1" ht="12.75" customHeight="1">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399"/>
      <c r="AP136" s="399"/>
      <c r="AQ136" s="94"/>
      <c r="AR136" s="94"/>
      <c r="AS136" s="94"/>
      <c r="AT136" s="94"/>
      <c r="AU136" s="94"/>
      <c r="AV136" s="98"/>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684"/>
      <c r="CB136" s="684"/>
      <c r="CC136" s="684"/>
      <c r="CD136" s="684"/>
      <c r="CE136" s="684"/>
      <c r="CF136" s="684"/>
      <c r="CG136" s="684"/>
      <c r="CH136" s="684"/>
      <c r="CI136" s="684"/>
      <c r="CJ136" s="684"/>
      <c r="CK136" s="684"/>
      <c r="CL136" s="684"/>
      <c r="CM136" s="684"/>
      <c r="CN136" s="684"/>
      <c r="CO136" s="684"/>
      <c r="CP136" s="684"/>
      <c r="CQ136" s="684"/>
      <c r="CR136" s="684"/>
      <c r="CS136" s="684"/>
      <c r="CT136" s="684"/>
      <c r="CU136" s="684"/>
      <c r="CV136" s="684"/>
      <c r="CW136" s="684"/>
      <c r="CX136" s="684"/>
      <c r="CY136" s="684"/>
      <c r="CZ136" s="684"/>
      <c r="DA136" s="684"/>
      <c r="DB136" s="684"/>
      <c r="DC136" s="684"/>
    </row>
    <row r="137" spans="1:107" s="5" customFormat="1" ht="12.75" customHeight="1">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399"/>
      <c r="AP137" s="399"/>
      <c r="AQ137" s="94"/>
      <c r="AR137" s="94"/>
      <c r="AS137" s="94"/>
      <c r="AT137" s="94"/>
      <c r="AU137" s="94"/>
      <c r="AV137" s="98"/>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684"/>
      <c r="CB137" s="684"/>
      <c r="CC137" s="684"/>
      <c r="CD137" s="684"/>
      <c r="CE137" s="684"/>
      <c r="CF137" s="684"/>
      <c r="CG137" s="684"/>
      <c r="CH137" s="684"/>
      <c r="CI137" s="684"/>
      <c r="CJ137" s="684"/>
      <c r="CK137" s="684"/>
      <c r="CL137" s="684"/>
      <c r="CM137" s="684"/>
      <c r="CN137" s="684"/>
      <c r="CO137" s="684"/>
      <c r="CP137" s="684"/>
      <c r="CQ137" s="684"/>
      <c r="CR137" s="684"/>
      <c r="CS137" s="684"/>
      <c r="CT137" s="684"/>
      <c r="CU137" s="684"/>
      <c r="CV137" s="684"/>
      <c r="CW137" s="684"/>
      <c r="CX137" s="684"/>
      <c r="CY137" s="684"/>
      <c r="CZ137" s="684"/>
      <c r="DA137" s="684"/>
      <c r="DB137" s="684"/>
      <c r="DC137" s="684"/>
    </row>
    <row r="138" spans="1:107" s="5" customFormat="1" ht="12.75" customHeight="1">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399"/>
      <c r="AP138" s="399"/>
      <c r="AQ138" s="94"/>
      <c r="AR138" s="94"/>
      <c r="AS138" s="94"/>
      <c r="AT138" s="94"/>
      <c r="AU138" s="94"/>
      <c r="AV138" s="98"/>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684"/>
      <c r="CB138" s="684"/>
      <c r="CC138" s="684"/>
      <c r="CD138" s="684"/>
      <c r="CE138" s="684"/>
      <c r="CF138" s="684"/>
      <c r="CG138" s="684"/>
      <c r="CH138" s="684"/>
      <c r="CI138" s="684"/>
      <c r="CJ138" s="684"/>
      <c r="CK138" s="684"/>
      <c r="CL138" s="684"/>
      <c r="CM138" s="684"/>
      <c r="CN138" s="684"/>
      <c r="CO138" s="684"/>
      <c r="CP138" s="684"/>
      <c r="CQ138" s="684"/>
      <c r="CR138" s="684"/>
      <c r="CS138" s="684"/>
      <c r="CT138" s="684"/>
      <c r="CU138" s="684"/>
      <c r="CV138" s="684"/>
      <c r="CW138" s="684"/>
      <c r="CX138" s="684"/>
      <c r="CY138" s="684"/>
      <c r="CZ138" s="684"/>
      <c r="DA138" s="684"/>
      <c r="DB138" s="684"/>
      <c r="DC138" s="684"/>
    </row>
    <row r="139" spans="1:107" s="5" customFormat="1" ht="12.75" customHeight="1">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399"/>
      <c r="AP139" s="399"/>
      <c r="AQ139" s="94"/>
      <c r="AR139" s="94"/>
      <c r="AS139" s="94"/>
      <c r="AT139" s="94"/>
      <c r="AU139" s="94"/>
      <c r="AV139" s="98"/>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684"/>
      <c r="CB139" s="684"/>
      <c r="CC139" s="684"/>
      <c r="CD139" s="684"/>
      <c r="CE139" s="684"/>
      <c r="CF139" s="684"/>
      <c r="CG139" s="684"/>
      <c r="CH139" s="684"/>
      <c r="CI139" s="684"/>
      <c r="CJ139" s="684"/>
      <c r="CK139" s="684"/>
      <c r="CL139" s="684"/>
      <c r="CM139" s="684"/>
      <c r="CN139" s="684"/>
      <c r="CO139" s="684"/>
      <c r="CP139" s="684"/>
      <c r="CQ139" s="684"/>
      <c r="CR139" s="684"/>
      <c r="CS139" s="684"/>
      <c r="CT139" s="684"/>
      <c r="CU139" s="684"/>
      <c r="CV139" s="684"/>
      <c r="CW139" s="684"/>
      <c r="CX139" s="684"/>
      <c r="CY139" s="684"/>
      <c r="CZ139" s="684"/>
      <c r="DA139" s="684"/>
      <c r="DB139" s="684"/>
      <c r="DC139" s="684"/>
    </row>
    <row r="140" spans="1:107" s="5" customFormat="1" ht="12.75" customHeight="1">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399"/>
      <c r="AP140" s="399"/>
      <c r="AQ140" s="94"/>
      <c r="AR140" s="94"/>
      <c r="AS140" s="94"/>
      <c r="AT140" s="94"/>
      <c r="AU140" s="94"/>
      <c r="AV140" s="98"/>
      <c r="AW140" s="94"/>
      <c r="AX140" s="94"/>
      <c r="AY140" s="94"/>
      <c r="AZ140" s="94"/>
      <c r="BA140" s="94"/>
      <c r="BB140" s="94"/>
      <c r="BC140" s="94"/>
      <c r="BD140" s="94"/>
      <c r="BE140" s="94"/>
      <c r="BF140" s="94"/>
      <c r="BG140" s="94"/>
      <c r="BH140" s="94"/>
      <c r="BI140" s="94"/>
      <c r="BJ140" s="94"/>
      <c r="BK140" s="94"/>
      <c r="BL140" s="94"/>
      <c r="BM140" s="94"/>
      <c r="BN140" s="94"/>
      <c r="BO140" s="94"/>
      <c r="BP140" s="94"/>
      <c r="BQ140" s="94"/>
      <c r="BR140" s="94"/>
      <c r="BS140" s="94"/>
      <c r="BT140" s="94"/>
      <c r="BU140" s="94"/>
      <c r="BV140" s="94"/>
      <c r="BW140" s="94"/>
      <c r="BX140" s="94"/>
      <c r="BY140" s="94"/>
      <c r="BZ140" s="94"/>
      <c r="CA140" s="684"/>
      <c r="CB140" s="684"/>
      <c r="CC140" s="684"/>
      <c r="CD140" s="684"/>
      <c r="CE140" s="684"/>
      <c r="CF140" s="684"/>
      <c r="CG140" s="684"/>
      <c r="CH140" s="684"/>
      <c r="CI140" s="684"/>
      <c r="CJ140" s="684"/>
      <c r="CK140" s="684"/>
      <c r="CL140" s="684"/>
      <c r="CM140" s="684"/>
      <c r="CN140" s="684"/>
      <c r="CO140" s="684"/>
      <c r="CP140" s="684"/>
      <c r="CQ140" s="684"/>
      <c r="CR140" s="684"/>
      <c r="CS140" s="684"/>
      <c r="CT140" s="684"/>
      <c r="CU140" s="684"/>
      <c r="CV140" s="684"/>
      <c r="CW140" s="684"/>
      <c r="CX140" s="684"/>
      <c r="CY140" s="684"/>
      <c r="CZ140" s="684"/>
      <c r="DA140" s="684"/>
      <c r="DB140" s="684"/>
      <c r="DC140" s="684"/>
    </row>
    <row r="141" spans="1:107" s="5" customFormat="1" ht="12.75" customHeight="1">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399"/>
      <c r="AP141" s="399"/>
      <c r="AQ141" s="94"/>
      <c r="AR141" s="94"/>
      <c r="AS141" s="94"/>
      <c r="AT141" s="94"/>
      <c r="AU141" s="94"/>
      <c r="AV141" s="98"/>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684"/>
      <c r="CB141" s="684"/>
      <c r="CC141" s="684"/>
      <c r="CD141" s="684"/>
      <c r="CE141" s="684"/>
      <c r="CF141" s="684"/>
      <c r="CG141" s="684"/>
      <c r="CH141" s="684"/>
      <c r="CI141" s="684"/>
      <c r="CJ141" s="684"/>
      <c r="CK141" s="684"/>
      <c r="CL141" s="684"/>
      <c r="CM141" s="684"/>
      <c r="CN141" s="684"/>
      <c r="CO141" s="684"/>
      <c r="CP141" s="684"/>
      <c r="CQ141" s="684"/>
      <c r="CR141" s="684"/>
      <c r="CS141" s="684"/>
      <c r="CT141" s="684"/>
      <c r="CU141" s="684"/>
      <c r="CV141" s="684"/>
      <c r="CW141" s="684"/>
      <c r="CX141" s="684"/>
      <c r="CY141" s="684"/>
      <c r="CZ141" s="684"/>
      <c r="DA141" s="684"/>
      <c r="DB141" s="684"/>
      <c r="DC141" s="684"/>
    </row>
    <row r="142" spans="1:107" s="5" customFormat="1" ht="12.75" customHeight="1">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399"/>
      <c r="AP142" s="399"/>
      <c r="AQ142" s="94"/>
      <c r="AR142" s="94"/>
      <c r="AS142" s="94"/>
      <c r="AT142" s="94"/>
      <c r="AU142" s="94"/>
      <c r="AV142" s="98"/>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684"/>
      <c r="CB142" s="684"/>
      <c r="CC142" s="684"/>
      <c r="CD142" s="684"/>
      <c r="CE142" s="684"/>
      <c r="CF142" s="684"/>
      <c r="CG142" s="684"/>
      <c r="CH142" s="684"/>
      <c r="CI142" s="684"/>
      <c r="CJ142" s="684"/>
      <c r="CK142" s="684"/>
      <c r="CL142" s="684"/>
      <c r="CM142" s="684"/>
      <c r="CN142" s="684"/>
      <c r="CO142" s="684"/>
      <c r="CP142" s="684"/>
      <c r="CQ142" s="684"/>
      <c r="CR142" s="684"/>
      <c r="CS142" s="684"/>
      <c r="CT142" s="684"/>
      <c r="CU142" s="684"/>
      <c r="CV142" s="684"/>
      <c r="CW142" s="684"/>
      <c r="CX142" s="684"/>
      <c r="CY142" s="684"/>
      <c r="CZ142" s="684"/>
      <c r="DA142" s="684"/>
      <c r="DB142" s="684"/>
      <c r="DC142" s="684"/>
    </row>
    <row r="143" spans="1:107" s="5" customFormat="1" ht="12.75" customHeight="1">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399"/>
      <c r="AP143" s="399"/>
      <c r="AQ143" s="94"/>
      <c r="AR143" s="94"/>
      <c r="AS143" s="94"/>
      <c r="AT143" s="94"/>
      <c r="AU143" s="94"/>
      <c r="AV143" s="98"/>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684"/>
      <c r="CB143" s="684"/>
      <c r="CC143" s="684"/>
      <c r="CD143" s="684"/>
      <c r="CE143" s="684"/>
      <c r="CF143" s="684"/>
      <c r="CG143" s="684"/>
      <c r="CH143" s="684"/>
      <c r="CI143" s="684"/>
      <c r="CJ143" s="684"/>
      <c r="CK143" s="684"/>
      <c r="CL143" s="684"/>
      <c r="CM143" s="684"/>
      <c r="CN143" s="684"/>
      <c r="CO143" s="684"/>
      <c r="CP143" s="684"/>
      <c r="CQ143" s="684"/>
      <c r="CR143" s="684"/>
      <c r="CS143" s="684"/>
      <c r="CT143" s="684"/>
      <c r="CU143" s="684"/>
      <c r="CV143" s="684"/>
      <c r="CW143" s="684"/>
      <c r="CX143" s="684"/>
      <c r="CY143" s="684"/>
      <c r="CZ143" s="684"/>
      <c r="DA143" s="684"/>
      <c r="DB143" s="684"/>
      <c r="DC143" s="684"/>
    </row>
    <row r="144" spans="1:107" s="5" customFormat="1" ht="12.75" customHeight="1">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399"/>
      <c r="AP144" s="399"/>
      <c r="AQ144" s="94"/>
      <c r="AR144" s="94"/>
      <c r="AS144" s="94"/>
      <c r="AT144" s="94"/>
      <c r="AU144" s="94"/>
      <c r="AV144" s="98"/>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684"/>
      <c r="CB144" s="684"/>
      <c r="CC144" s="684"/>
      <c r="CD144" s="684"/>
      <c r="CE144" s="684"/>
      <c r="CF144" s="684"/>
      <c r="CG144" s="684"/>
      <c r="CH144" s="684"/>
      <c r="CI144" s="684"/>
      <c r="CJ144" s="684"/>
      <c r="CK144" s="684"/>
      <c r="CL144" s="684"/>
      <c r="CM144" s="684"/>
      <c r="CN144" s="684"/>
      <c r="CO144" s="684"/>
      <c r="CP144" s="684"/>
      <c r="CQ144" s="684"/>
      <c r="CR144" s="684"/>
      <c r="CS144" s="684"/>
      <c r="CT144" s="684"/>
      <c r="CU144" s="684"/>
      <c r="CV144" s="684"/>
      <c r="CW144" s="684"/>
      <c r="CX144" s="684"/>
      <c r="CY144" s="684"/>
      <c r="CZ144" s="684"/>
      <c r="DA144" s="684"/>
      <c r="DB144" s="684"/>
      <c r="DC144" s="684"/>
    </row>
    <row r="145" spans="1:107" s="5" customFormat="1" ht="12.75" customHeight="1">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399"/>
      <c r="AP145" s="399"/>
      <c r="AQ145" s="94"/>
      <c r="AR145" s="94"/>
      <c r="AS145" s="94"/>
      <c r="AT145" s="94"/>
      <c r="AU145" s="94"/>
      <c r="AV145" s="98"/>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A145" s="684"/>
      <c r="CB145" s="684"/>
      <c r="CC145" s="684"/>
      <c r="CD145" s="684"/>
      <c r="CE145" s="684"/>
      <c r="CF145" s="684"/>
      <c r="CG145" s="684"/>
      <c r="CH145" s="684"/>
      <c r="CI145" s="684"/>
      <c r="CJ145" s="684"/>
      <c r="CK145" s="684"/>
      <c r="CL145" s="684"/>
      <c r="CM145" s="684"/>
      <c r="CN145" s="684"/>
      <c r="CO145" s="684"/>
      <c r="CP145" s="684"/>
      <c r="CQ145" s="684"/>
      <c r="CR145" s="684"/>
      <c r="CS145" s="684"/>
      <c r="CT145" s="684"/>
      <c r="CU145" s="684"/>
      <c r="CV145" s="684"/>
      <c r="CW145" s="684"/>
      <c r="CX145" s="684"/>
      <c r="CY145" s="684"/>
      <c r="CZ145" s="684"/>
      <c r="DA145" s="684"/>
      <c r="DB145" s="684"/>
      <c r="DC145" s="684"/>
    </row>
    <row r="146" spans="1:107" s="5" customFormat="1" ht="12.75" customHeight="1">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399"/>
      <c r="AP146" s="399"/>
      <c r="AQ146" s="94"/>
      <c r="AR146" s="94"/>
      <c r="AS146" s="94"/>
      <c r="AT146" s="94"/>
      <c r="AU146" s="94"/>
      <c r="AV146" s="98"/>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684"/>
      <c r="CB146" s="684"/>
      <c r="CC146" s="684"/>
      <c r="CD146" s="684"/>
      <c r="CE146" s="684"/>
      <c r="CF146" s="684"/>
      <c r="CG146" s="684"/>
      <c r="CH146" s="684"/>
      <c r="CI146" s="684"/>
      <c r="CJ146" s="684"/>
      <c r="CK146" s="684"/>
      <c r="CL146" s="684"/>
      <c r="CM146" s="684"/>
      <c r="CN146" s="684"/>
      <c r="CO146" s="684"/>
      <c r="CP146" s="684"/>
      <c r="CQ146" s="684"/>
      <c r="CR146" s="684"/>
      <c r="CS146" s="684"/>
      <c r="CT146" s="684"/>
      <c r="CU146" s="684"/>
      <c r="CV146" s="684"/>
      <c r="CW146" s="684"/>
      <c r="CX146" s="684"/>
      <c r="CY146" s="684"/>
      <c r="CZ146" s="684"/>
      <c r="DA146" s="684"/>
      <c r="DB146" s="684"/>
      <c r="DC146" s="684"/>
    </row>
    <row r="147" spans="1:107" s="5" customFormat="1" ht="12.75" customHeight="1">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399"/>
      <c r="AP147" s="399"/>
      <c r="AQ147" s="94"/>
      <c r="AR147" s="94"/>
      <c r="AS147" s="94"/>
      <c r="AT147" s="94"/>
      <c r="AU147" s="94"/>
      <c r="AV147" s="98"/>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684"/>
      <c r="CB147" s="684"/>
      <c r="CC147" s="684"/>
      <c r="CD147" s="684"/>
      <c r="CE147" s="684"/>
      <c r="CF147" s="684"/>
      <c r="CG147" s="684"/>
      <c r="CH147" s="684"/>
      <c r="CI147" s="684"/>
      <c r="CJ147" s="684"/>
      <c r="CK147" s="684"/>
      <c r="CL147" s="684"/>
      <c r="CM147" s="684"/>
      <c r="CN147" s="684"/>
      <c r="CO147" s="684"/>
      <c r="CP147" s="684"/>
      <c r="CQ147" s="684"/>
      <c r="CR147" s="684"/>
      <c r="CS147" s="684"/>
      <c r="CT147" s="684"/>
      <c r="CU147" s="684"/>
      <c r="CV147" s="684"/>
      <c r="CW147" s="684"/>
      <c r="CX147" s="684"/>
      <c r="CY147" s="684"/>
      <c r="CZ147" s="684"/>
      <c r="DA147" s="684"/>
      <c r="DB147" s="684"/>
      <c r="DC147" s="684"/>
    </row>
    <row r="148" spans="1:107" s="5" customFormat="1" ht="12.75" customHeight="1">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399"/>
      <c r="AP148" s="399"/>
      <c r="AQ148" s="94"/>
      <c r="AR148" s="94"/>
      <c r="AS148" s="94"/>
      <c r="AT148" s="94"/>
      <c r="AU148" s="94"/>
      <c r="AV148" s="98"/>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684"/>
      <c r="CB148" s="684"/>
      <c r="CC148" s="684"/>
      <c r="CD148" s="684"/>
      <c r="CE148" s="684"/>
      <c r="CF148" s="684"/>
      <c r="CG148" s="684"/>
      <c r="CH148" s="684"/>
      <c r="CI148" s="684"/>
      <c r="CJ148" s="684"/>
      <c r="CK148" s="684"/>
      <c r="CL148" s="684"/>
      <c r="CM148" s="684"/>
      <c r="CN148" s="684"/>
      <c r="CO148" s="684"/>
      <c r="CP148" s="684"/>
      <c r="CQ148" s="684"/>
      <c r="CR148" s="684"/>
      <c r="CS148" s="684"/>
      <c r="CT148" s="684"/>
      <c r="CU148" s="684"/>
      <c r="CV148" s="684"/>
      <c r="CW148" s="684"/>
      <c r="CX148" s="684"/>
      <c r="CY148" s="684"/>
      <c r="CZ148" s="684"/>
      <c r="DA148" s="684"/>
      <c r="DB148" s="684"/>
      <c r="DC148" s="684"/>
    </row>
    <row r="149" spans="1:107" s="5" customFormat="1" ht="12.75" customHeigh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399"/>
      <c r="AP149" s="399"/>
      <c r="AQ149" s="94"/>
      <c r="AR149" s="94"/>
      <c r="AS149" s="94"/>
      <c r="AT149" s="94"/>
      <c r="AU149" s="94"/>
      <c r="AV149" s="98"/>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684"/>
      <c r="CB149" s="684"/>
      <c r="CC149" s="684"/>
      <c r="CD149" s="684"/>
      <c r="CE149" s="684"/>
      <c r="CF149" s="684"/>
      <c r="CG149" s="684"/>
      <c r="CH149" s="684"/>
      <c r="CI149" s="684"/>
      <c r="CJ149" s="684"/>
      <c r="CK149" s="684"/>
      <c r="CL149" s="684"/>
      <c r="CM149" s="684"/>
      <c r="CN149" s="684"/>
      <c r="CO149" s="684"/>
      <c r="CP149" s="684"/>
      <c r="CQ149" s="684"/>
      <c r="CR149" s="684"/>
      <c r="CS149" s="684"/>
      <c r="CT149" s="684"/>
      <c r="CU149" s="684"/>
      <c r="CV149" s="684"/>
      <c r="CW149" s="684"/>
      <c r="CX149" s="684"/>
      <c r="CY149" s="684"/>
      <c r="CZ149" s="684"/>
      <c r="DA149" s="684"/>
      <c r="DB149" s="684"/>
      <c r="DC149" s="684"/>
    </row>
    <row r="150" spans="1:107" s="5" customFormat="1" ht="12.75" customHeight="1">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399"/>
      <c r="AP150" s="399"/>
      <c r="AQ150" s="94"/>
      <c r="AR150" s="94"/>
      <c r="AS150" s="94"/>
      <c r="AT150" s="94"/>
      <c r="AU150" s="94"/>
      <c r="AV150" s="98"/>
      <c r="AW150" s="94"/>
      <c r="AX150" s="94"/>
      <c r="AY150" s="94"/>
      <c r="AZ150" s="94"/>
      <c r="BA150" s="94"/>
      <c r="BB150" s="94"/>
      <c r="BC150" s="94"/>
      <c r="BD150" s="94"/>
      <c r="BE150" s="94"/>
      <c r="BF150" s="94"/>
      <c r="BG150" s="94"/>
      <c r="BH150" s="94"/>
      <c r="BI150" s="94"/>
      <c r="BJ150" s="94"/>
      <c r="BK150" s="94"/>
      <c r="BL150" s="94"/>
      <c r="BM150" s="94"/>
      <c r="BN150" s="94"/>
      <c r="BO150" s="94"/>
      <c r="BP150" s="94"/>
      <c r="BQ150" s="94"/>
      <c r="BR150" s="94"/>
      <c r="BS150" s="94"/>
      <c r="BT150" s="94"/>
      <c r="BU150" s="94"/>
      <c r="BV150" s="94"/>
      <c r="BW150" s="94"/>
      <c r="BX150" s="94"/>
      <c r="BY150" s="94"/>
      <c r="BZ150" s="94"/>
      <c r="CA150" s="684"/>
      <c r="CB150" s="684"/>
      <c r="CC150" s="684"/>
      <c r="CD150" s="684"/>
      <c r="CE150" s="684"/>
      <c r="CF150" s="684"/>
      <c r="CG150" s="684"/>
      <c r="CH150" s="684"/>
      <c r="CI150" s="684"/>
      <c r="CJ150" s="684"/>
      <c r="CK150" s="684"/>
      <c r="CL150" s="684"/>
      <c r="CM150" s="684"/>
      <c r="CN150" s="684"/>
      <c r="CO150" s="684"/>
      <c r="CP150" s="684"/>
      <c r="CQ150" s="684"/>
      <c r="CR150" s="684"/>
      <c r="CS150" s="684"/>
      <c r="CT150" s="684"/>
      <c r="CU150" s="684"/>
      <c r="CV150" s="684"/>
      <c r="CW150" s="684"/>
      <c r="CX150" s="684"/>
      <c r="CY150" s="684"/>
      <c r="CZ150" s="684"/>
      <c r="DA150" s="684"/>
      <c r="DB150" s="684"/>
      <c r="DC150" s="684"/>
    </row>
    <row r="151" spans="1:107" s="5" customFormat="1" ht="12.75" customHeight="1">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399"/>
      <c r="AP151" s="399"/>
      <c r="AQ151" s="94"/>
      <c r="AR151" s="94"/>
      <c r="AS151" s="94"/>
      <c r="AT151" s="94"/>
      <c r="AU151" s="94"/>
      <c r="AV151" s="98"/>
      <c r="AW151" s="94"/>
      <c r="AX151" s="94"/>
      <c r="AY151" s="94"/>
      <c r="AZ151" s="94"/>
      <c r="BA151" s="94"/>
      <c r="BB151" s="94"/>
      <c r="BC151" s="94"/>
      <c r="BD151" s="94"/>
      <c r="BE151" s="94"/>
      <c r="BF151" s="94"/>
      <c r="BG151" s="94"/>
      <c r="BH151" s="94"/>
      <c r="BI151" s="94"/>
      <c r="BJ151" s="94"/>
      <c r="BK151" s="94"/>
      <c r="BL151" s="94"/>
      <c r="BM151" s="94"/>
      <c r="BN151" s="94"/>
      <c r="BO151" s="94"/>
      <c r="BP151" s="94"/>
      <c r="BQ151" s="94"/>
      <c r="BR151" s="94"/>
      <c r="BS151" s="94"/>
      <c r="BT151" s="94"/>
      <c r="BU151" s="94"/>
      <c r="BV151" s="94"/>
      <c r="BW151" s="94"/>
      <c r="BX151" s="94"/>
      <c r="BY151" s="94"/>
      <c r="BZ151" s="94"/>
      <c r="CA151" s="684"/>
      <c r="CB151" s="684"/>
      <c r="CC151" s="684"/>
      <c r="CD151" s="684"/>
      <c r="CE151" s="684"/>
      <c r="CF151" s="684"/>
      <c r="CG151" s="684"/>
      <c r="CH151" s="684"/>
      <c r="CI151" s="684"/>
      <c r="CJ151" s="684"/>
      <c r="CK151" s="684"/>
      <c r="CL151" s="684"/>
      <c r="CM151" s="684"/>
      <c r="CN151" s="684"/>
      <c r="CO151" s="684"/>
      <c r="CP151" s="684"/>
      <c r="CQ151" s="684"/>
      <c r="CR151" s="684"/>
      <c r="CS151" s="684"/>
      <c r="CT151" s="684"/>
      <c r="CU151" s="684"/>
      <c r="CV151" s="684"/>
      <c r="CW151" s="684"/>
      <c r="CX151" s="684"/>
      <c r="CY151" s="684"/>
      <c r="CZ151" s="684"/>
      <c r="DA151" s="684"/>
      <c r="DB151" s="684"/>
      <c r="DC151" s="684"/>
    </row>
    <row r="152" spans="1:107" s="5" customFormat="1" ht="12.75" customHeight="1">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399"/>
      <c r="AP152" s="399"/>
      <c r="AQ152" s="94"/>
      <c r="AR152" s="94"/>
      <c r="AS152" s="94"/>
      <c r="AT152" s="94"/>
      <c r="AU152" s="94"/>
      <c r="AV152" s="98"/>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684"/>
      <c r="CB152" s="684"/>
      <c r="CC152" s="684"/>
      <c r="CD152" s="684"/>
      <c r="CE152" s="684"/>
      <c r="CF152" s="684"/>
      <c r="CG152" s="684"/>
      <c r="CH152" s="684"/>
      <c r="CI152" s="684"/>
      <c r="CJ152" s="684"/>
      <c r="CK152" s="684"/>
      <c r="CL152" s="684"/>
      <c r="CM152" s="684"/>
      <c r="CN152" s="684"/>
      <c r="CO152" s="684"/>
      <c r="CP152" s="684"/>
      <c r="CQ152" s="684"/>
      <c r="CR152" s="684"/>
      <c r="CS152" s="684"/>
      <c r="CT152" s="684"/>
      <c r="CU152" s="684"/>
      <c r="CV152" s="684"/>
      <c r="CW152" s="684"/>
      <c r="CX152" s="684"/>
      <c r="CY152" s="684"/>
      <c r="CZ152" s="684"/>
      <c r="DA152" s="684"/>
      <c r="DB152" s="684"/>
      <c r="DC152" s="684"/>
    </row>
    <row r="153" spans="1:107" s="5" customFormat="1" ht="12.75" customHeight="1">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399"/>
      <c r="AP153" s="399"/>
      <c r="AQ153" s="94"/>
      <c r="AR153" s="94"/>
      <c r="AS153" s="94"/>
      <c r="AT153" s="94"/>
      <c r="AU153" s="94"/>
      <c r="AV153" s="98"/>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684"/>
      <c r="CB153" s="684"/>
      <c r="CC153" s="684"/>
      <c r="CD153" s="684"/>
      <c r="CE153" s="684"/>
      <c r="CF153" s="684"/>
      <c r="CG153" s="684"/>
      <c r="CH153" s="684"/>
      <c r="CI153" s="684"/>
      <c r="CJ153" s="684"/>
      <c r="CK153" s="684"/>
      <c r="CL153" s="684"/>
      <c r="CM153" s="684"/>
      <c r="CN153" s="684"/>
      <c r="CO153" s="684"/>
      <c r="CP153" s="684"/>
      <c r="CQ153" s="684"/>
      <c r="CR153" s="684"/>
      <c r="CS153" s="684"/>
      <c r="CT153" s="684"/>
      <c r="CU153" s="684"/>
      <c r="CV153" s="684"/>
      <c r="CW153" s="684"/>
      <c r="CX153" s="684"/>
      <c r="CY153" s="684"/>
      <c r="CZ153" s="684"/>
      <c r="DA153" s="684"/>
      <c r="DB153" s="684"/>
      <c r="DC153" s="684"/>
    </row>
    <row r="154" spans="1:107" s="5" customFormat="1" ht="12.75" customHeight="1">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399"/>
      <c r="AP154" s="399"/>
      <c r="AQ154" s="94"/>
      <c r="AR154" s="94"/>
      <c r="AS154" s="94"/>
      <c r="AT154" s="94"/>
      <c r="AU154" s="94"/>
      <c r="AV154" s="98"/>
      <c r="AW154" s="94"/>
      <c r="AX154" s="94"/>
      <c r="AY154" s="94"/>
      <c r="AZ154" s="94"/>
      <c r="BA154" s="94"/>
      <c r="BB154" s="94"/>
      <c r="BC154" s="94"/>
      <c r="BD154" s="94"/>
      <c r="BE154" s="94"/>
      <c r="BF154" s="94"/>
      <c r="BG154" s="94"/>
      <c r="BH154" s="94"/>
      <c r="BI154" s="94"/>
      <c r="BJ154" s="94"/>
      <c r="BK154" s="94"/>
      <c r="BL154" s="94"/>
      <c r="BM154" s="94"/>
      <c r="BN154" s="94"/>
      <c r="BO154" s="94"/>
      <c r="BP154" s="94"/>
      <c r="BQ154" s="94"/>
      <c r="BR154" s="94"/>
      <c r="BS154" s="94"/>
      <c r="BT154" s="94"/>
      <c r="BU154" s="94"/>
      <c r="BV154" s="94"/>
      <c r="BW154" s="94"/>
      <c r="BX154" s="94"/>
      <c r="BY154" s="94"/>
      <c r="BZ154" s="94"/>
      <c r="CA154" s="684"/>
      <c r="CB154" s="684"/>
      <c r="CC154" s="684"/>
      <c r="CD154" s="684"/>
      <c r="CE154" s="684"/>
      <c r="CF154" s="684"/>
      <c r="CG154" s="684"/>
      <c r="CH154" s="684"/>
      <c r="CI154" s="684"/>
      <c r="CJ154" s="684"/>
      <c r="CK154" s="684"/>
      <c r="CL154" s="684"/>
      <c r="CM154" s="684"/>
      <c r="CN154" s="684"/>
      <c r="CO154" s="684"/>
      <c r="CP154" s="684"/>
      <c r="CQ154" s="684"/>
      <c r="CR154" s="684"/>
      <c r="CS154" s="684"/>
      <c r="CT154" s="684"/>
      <c r="CU154" s="684"/>
      <c r="CV154" s="684"/>
      <c r="CW154" s="684"/>
      <c r="CX154" s="684"/>
      <c r="CY154" s="684"/>
      <c r="CZ154" s="684"/>
      <c r="DA154" s="684"/>
      <c r="DB154" s="684"/>
      <c r="DC154" s="684"/>
    </row>
    <row r="155" spans="1:107" s="5" customFormat="1" ht="12.75" customHeight="1">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399"/>
      <c r="AP155" s="399"/>
      <c r="AQ155" s="94"/>
      <c r="AR155" s="94"/>
      <c r="AS155" s="94"/>
      <c r="AT155" s="94"/>
      <c r="AU155" s="94"/>
      <c r="AV155" s="98"/>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684"/>
      <c r="CB155" s="684"/>
      <c r="CC155" s="684"/>
      <c r="CD155" s="684"/>
      <c r="CE155" s="684"/>
      <c r="CF155" s="684"/>
      <c r="CG155" s="684"/>
      <c r="CH155" s="684"/>
      <c r="CI155" s="684"/>
      <c r="CJ155" s="684"/>
      <c r="CK155" s="684"/>
      <c r="CL155" s="684"/>
      <c r="CM155" s="684"/>
      <c r="CN155" s="684"/>
      <c r="CO155" s="684"/>
      <c r="CP155" s="684"/>
      <c r="CQ155" s="684"/>
      <c r="CR155" s="684"/>
      <c r="CS155" s="684"/>
      <c r="CT155" s="684"/>
      <c r="CU155" s="684"/>
      <c r="CV155" s="684"/>
      <c r="CW155" s="684"/>
      <c r="CX155" s="684"/>
      <c r="CY155" s="684"/>
      <c r="CZ155" s="684"/>
      <c r="DA155" s="684"/>
      <c r="DB155" s="684"/>
      <c r="DC155" s="684"/>
    </row>
    <row r="156" spans="1:107" s="5" customFormat="1" ht="12.75" customHeight="1">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399"/>
      <c r="AP156" s="399"/>
      <c r="AQ156" s="94"/>
      <c r="AR156" s="94"/>
      <c r="AS156" s="94"/>
      <c r="AT156" s="94"/>
      <c r="AU156" s="94"/>
      <c r="AV156" s="98"/>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684"/>
      <c r="CB156" s="684"/>
      <c r="CC156" s="684"/>
      <c r="CD156" s="684"/>
      <c r="CE156" s="684"/>
      <c r="CF156" s="684"/>
      <c r="CG156" s="684"/>
      <c r="CH156" s="684"/>
      <c r="CI156" s="684"/>
      <c r="CJ156" s="684"/>
      <c r="CK156" s="684"/>
      <c r="CL156" s="684"/>
      <c r="CM156" s="684"/>
      <c r="CN156" s="684"/>
      <c r="CO156" s="684"/>
      <c r="CP156" s="684"/>
      <c r="CQ156" s="684"/>
      <c r="CR156" s="684"/>
      <c r="CS156" s="684"/>
      <c r="CT156" s="684"/>
      <c r="CU156" s="684"/>
      <c r="CV156" s="684"/>
      <c r="CW156" s="684"/>
      <c r="CX156" s="684"/>
      <c r="CY156" s="684"/>
      <c r="CZ156" s="684"/>
      <c r="DA156" s="684"/>
      <c r="DB156" s="684"/>
      <c r="DC156" s="684"/>
    </row>
    <row r="157" spans="1:107" s="5" customFormat="1" ht="12.75" customHeight="1">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399"/>
      <c r="AP157" s="399"/>
      <c r="AQ157" s="94"/>
      <c r="AR157" s="94"/>
      <c r="AS157" s="94"/>
      <c r="AT157" s="94"/>
      <c r="AU157" s="94"/>
      <c r="AV157" s="98"/>
      <c r="AW157" s="94"/>
      <c r="AX157" s="94"/>
      <c r="AY157" s="94"/>
      <c r="AZ157" s="94"/>
      <c r="BA157" s="94"/>
      <c r="BB157" s="94"/>
      <c r="BC157" s="94"/>
      <c r="BD157" s="94"/>
      <c r="BE157" s="94"/>
      <c r="BF157" s="94"/>
      <c r="BG157" s="94"/>
      <c r="BH157" s="94"/>
      <c r="BI157" s="94"/>
      <c r="BJ157" s="94"/>
      <c r="BK157" s="94"/>
      <c r="BL157" s="94"/>
      <c r="BM157" s="94"/>
      <c r="BN157" s="94"/>
      <c r="BO157" s="94"/>
      <c r="BP157" s="94"/>
      <c r="BQ157" s="94"/>
      <c r="BR157" s="94"/>
      <c r="BS157" s="94"/>
      <c r="BT157" s="94"/>
      <c r="BU157" s="94"/>
      <c r="BV157" s="94"/>
      <c r="BW157" s="94"/>
      <c r="BX157" s="94"/>
      <c r="BY157" s="94"/>
      <c r="BZ157" s="94"/>
      <c r="CA157" s="684"/>
      <c r="CB157" s="684"/>
      <c r="CC157" s="684"/>
      <c r="CD157" s="684"/>
      <c r="CE157" s="684"/>
      <c r="CF157" s="684"/>
      <c r="CG157" s="684"/>
      <c r="CH157" s="684"/>
      <c r="CI157" s="684"/>
      <c r="CJ157" s="684"/>
      <c r="CK157" s="684"/>
      <c r="CL157" s="684"/>
      <c r="CM157" s="684"/>
      <c r="CN157" s="684"/>
      <c r="CO157" s="684"/>
      <c r="CP157" s="684"/>
      <c r="CQ157" s="684"/>
      <c r="CR157" s="684"/>
      <c r="CS157" s="684"/>
      <c r="CT157" s="684"/>
      <c r="CU157" s="684"/>
      <c r="CV157" s="684"/>
      <c r="CW157" s="684"/>
      <c r="CX157" s="684"/>
      <c r="CY157" s="684"/>
      <c r="CZ157" s="684"/>
      <c r="DA157" s="684"/>
      <c r="DB157" s="684"/>
      <c r="DC157" s="684"/>
    </row>
    <row r="158" spans="1:107" s="5" customFormat="1" ht="12.75" customHeight="1">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399"/>
      <c r="AP158" s="399"/>
      <c r="AQ158" s="94"/>
      <c r="AR158" s="94"/>
      <c r="AS158" s="94"/>
      <c r="AT158" s="94"/>
      <c r="AU158" s="94"/>
      <c r="AV158" s="98"/>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684"/>
      <c r="CB158" s="684"/>
      <c r="CC158" s="684"/>
      <c r="CD158" s="684"/>
      <c r="CE158" s="684"/>
      <c r="CF158" s="684"/>
      <c r="CG158" s="684"/>
      <c r="CH158" s="684"/>
      <c r="CI158" s="684"/>
      <c r="CJ158" s="684"/>
      <c r="CK158" s="684"/>
      <c r="CL158" s="684"/>
      <c r="CM158" s="684"/>
      <c r="CN158" s="684"/>
      <c r="CO158" s="684"/>
      <c r="CP158" s="684"/>
      <c r="CQ158" s="684"/>
      <c r="CR158" s="684"/>
      <c r="CS158" s="684"/>
      <c r="CT158" s="684"/>
      <c r="CU158" s="684"/>
      <c r="CV158" s="684"/>
      <c r="CW158" s="684"/>
      <c r="CX158" s="684"/>
      <c r="CY158" s="684"/>
      <c r="CZ158" s="684"/>
      <c r="DA158" s="684"/>
      <c r="DB158" s="684"/>
      <c r="DC158" s="684"/>
    </row>
    <row r="159" spans="1:107" s="5" customFormat="1" ht="12.75" customHeight="1">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399"/>
      <c r="AP159" s="399"/>
      <c r="AQ159" s="94"/>
      <c r="AR159" s="94"/>
      <c r="AS159" s="94"/>
      <c r="AT159" s="94"/>
      <c r="AU159" s="94"/>
      <c r="AV159" s="98"/>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684"/>
      <c r="CB159" s="684"/>
      <c r="CC159" s="684"/>
      <c r="CD159" s="684"/>
      <c r="CE159" s="684"/>
      <c r="CF159" s="684"/>
      <c r="CG159" s="684"/>
      <c r="CH159" s="684"/>
      <c r="CI159" s="684"/>
      <c r="CJ159" s="684"/>
      <c r="CK159" s="684"/>
      <c r="CL159" s="684"/>
      <c r="CM159" s="684"/>
      <c r="CN159" s="684"/>
      <c r="CO159" s="684"/>
      <c r="CP159" s="684"/>
      <c r="CQ159" s="684"/>
      <c r="CR159" s="684"/>
      <c r="CS159" s="684"/>
      <c r="CT159" s="684"/>
      <c r="CU159" s="684"/>
      <c r="CV159" s="684"/>
      <c r="CW159" s="684"/>
      <c r="CX159" s="684"/>
      <c r="CY159" s="684"/>
      <c r="CZ159" s="684"/>
      <c r="DA159" s="684"/>
      <c r="DB159" s="684"/>
      <c r="DC159" s="684"/>
    </row>
    <row r="160" spans="1:107" s="5" customFormat="1" ht="12.75" customHeight="1">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399"/>
      <c r="AP160" s="399"/>
      <c r="AQ160" s="94"/>
      <c r="AR160" s="94"/>
      <c r="AS160" s="94"/>
      <c r="AT160" s="94"/>
      <c r="AU160" s="94"/>
      <c r="AV160" s="98"/>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684"/>
      <c r="CB160" s="684"/>
      <c r="CC160" s="684"/>
      <c r="CD160" s="684"/>
      <c r="CE160" s="684"/>
      <c r="CF160" s="684"/>
      <c r="CG160" s="684"/>
      <c r="CH160" s="684"/>
      <c r="CI160" s="684"/>
      <c r="CJ160" s="684"/>
      <c r="CK160" s="684"/>
      <c r="CL160" s="684"/>
      <c r="CM160" s="684"/>
      <c r="CN160" s="684"/>
      <c r="CO160" s="684"/>
      <c r="CP160" s="684"/>
      <c r="CQ160" s="684"/>
      <c r="CR160" s="684"/>
      <c r="CS160" s="684"/>
      <c r="CT160" s="684"/>
      <c r="CU160" s="684"/>
      <c r="CV160" s="684"/>
      <c r="CW160" s="684"/>
      <c r="CX160" s="684"/>
      <c r="CY160" s="684"/>
      <c r="CZ160" s="684"/>
      <c r="DA160" s="684"/>
      <c r="DB160" s="684"/>
      <c r="DC160" s="684"/>
    </row>
    <row r="161" spans="1:107" s="5" customFormat="1" ht="12.75" customHeight="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399"/>
      <c r="AP161" s="399"/>
      <c r="AQ161" s="94"/>
      <c r="AR161" s="94"/>
      <c r="AS161" s="94"/>
      <c r="AT161" s="94"/>
      <c r="AU161" s="94"/>
      <c r="AV161" s="98"/>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684"/>
      <c r="CB161" s="684"/>
      <c r="CC161" s="684"/>
      <c r="CD161" s="684"/>
      <c r="CE161" s="684"/>
      <c r="CF161" s="684"/>
      <c r="CG161" s="684"/>
      <c r="CH161" s="684"/>
      <c r="CI161" s="684"/>
      <c r="CJ161" s="684"/>
      <c r="CK161" s="684"/>
      <c r="CL161" s="684"/>
      <c r="CM161" s="684"/>
      <c r="CN161" s="684"/>
      <c r="CO161" s="684"/>
      <c r="CP161" s="684"/>
      <c r="CQ161" s="684"/>
      <c r="CR161" s="684"/>
      <c r="CS161" s="684"/>
      <c r="CT161" s="684"/>
      <c r="CU161" s="684"/>
      <c r="CV161" s="684"/>
      <c r="CW161" s="684"/>
      <c r="CX161" s="684"/>
      <c r="CY161" s="684"/>
      <c r="CZ161" s="684"/>
      <c r="DA161" s="684"/>
      <c r="DB161" s="684"/>
      <c r="DC161" s="684"/>
    </row>
    <row r="162" spans="1:107" s="5" customFormat="1" ht="12.75" customHeight="1">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399"/>
      <c r="AP162" s="399"/>
      <c r="AQ162" s="94"/>
      <c r="AR162" s="94"/>
      <c r="AS162" s="94"/>
      <c r="AT162" s="94"/>
      <c r="AU162" s="94"/>
      <c r="AV162" s="98"/>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684"/>
      <c r="CB162" s="684"/>
      <c r="CC162" s="684"/>
      <c r="CD162" s="684"/>
      <c r="CE162" s="684"/>
      <c r="CF162" s="684"/>
      <c r="CG162" s="684"/>
      <c r="CH162" s="684"/>
      <c r="CI162" s="684"/>
      <c r="CJ162" s="684"/>
      <c r="CK162" s="684"/>
      <c r="CL162" s="684"/>
      <c r="CM162" s="684"/>
      <c r="CN162" s="684"/>
      <c r="CO162" s="684"/>
      <c r="CP162" s="684"/>
      <c r="CQ162" s="684"/>
      <c r="CR162" s="684"/>
      <c r="CS162" s="684"/>
      <c r="CT162" s="684"/>
      <c r="CU162" s="684"/>
      <c r="CV162" s="684"/>
      <c r="CW162" s="684"/>
      <c r="CX162" s="684"/>
      <c r="CY162" s="684"/>
      <c r="CZ162" s="684"/>
      <c r="DA162" s="684"/>
      <c r="DB162" s="684"/>
      <c r="DC162" s="684"/>
    </row>
    <row r="163" spans="1:107" s="5" customFormat="1" ht="12.75" customHeight="1">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399"/>
      <c r="AP163" s="399"/>
      <c r="AQ163" s="94"/>
      <c r="AR163" s="94"/>
      <c r="AS163" s="94"/>
      <c r="AT163" s="94"/>
      <c r="AU163" s="94"/>
      <c r="AV163" s="98"/>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684"/>
      <c r="CB163" s="684"/>
      <c r="CC163" s="684"/>
      <c r="CD163" s="684"/>
      <c r="CE163" s="684"/>
      <c r="CF163" s="684"/>
      <c r="CG163" s="684"/>
      <c r="CH163" s="684"/>
      <c r="CI163" s="684"/>
      <c r="CJ163" s="684"/>
      <c r="CK163" s="684"/>
      <c r="CL163" s="684"/>
      <c r="CM163" s="684"/>
      <c r="CN163" s="684"/>
      <c r="CO163" s="684"/>
      <c r="CP163" s="684"/>
      <c r="CQ163" s="684"/>
      <c r="CR163" s="684"/>
      <c r="CS163" s="684"/>
      <c r="CT163" s="684"/>
      <c r="CU163" s="684"/>
      <c r="CV163" s="684"/>
      <c r="CW163" s="684"/>
      <c r="CX163" s="684"/>
      <c r="CY163" s="684"/>
      <c r="CZ163" s="684"/>
      <c r="DA163" s="684"/>
      <c r="DB163" s="684"/>
      <c r="DC163" s="684"/>
    </row>
    <row r="164" spans="1:107" s="5" customFormat="1" ht="12.75" customHeight="1">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399"/>
      <c r="AP164" s="399"/>
      <c r="AQ164" s="94"/>
      <c r="AR164" s="94"/>
      <c r="AS164" s="94"/>
      <c r="AT164" s="94"/>
      <c r="AU164" s="94"/>
      <c r="AV164" s="98"/>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684"/>
      <c r="CB164" s="684"/>
      <c r="CC164" s="684"/>
      <c r="CD164" s="684"/>
      <c r="CE164" s="684"/>
      <c r="CF164" s="684"/>
      <c r="CG164" s="684"/>
      <c r="CH164" s="684"/>
      <c r="CI164" s="684"/>
      <c r="CJ164" s="684"/>
      <c r="CK164" s="684"/>
      <c r="CL164" s="684"/>
      <c r="CM164" s="684"/>
      <c r="CN164" s="684"/>
      <c r="CO164" s="684"/>
      <c r="CP164" s="684"/>
      <c r="CQ164" s="684"/>
      <c r="CR164" s="684"/>
      <c r="CS164" s="684"/>
      <c r="CT164" s="684"/>
      <c r="CU164" s="684"/>
      <c r="CV164" s="684"/>
      <c r="CW164" s="684"/>
      <c r="CX164" s="684"/>
      <c r="CY164" s="684"/>
      <c r="CZ164" s="684"/>
      <c r="DA164" s="684"/>
      <c r="DB164" s="684"/>
      <c r="DC164" s="684"/>
    </row>
    <row r="165" spans="1:107" s="5" customFormat="1" ht="12.75" customHeight="1">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399"/>
      <c r="AP165" s="399"/>
      <c r="AQ165" s="94"/>
      <c r="AR165" s="94"/>
      <c r="AS165" s="94"/>
      <c r="AT165" s="94"/>
      <c r="AU165" s="94"/>
      <c r="AV165" s="98"/>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684"/>
      <c r="CB165" s="684"/>
      <c r="CC165" s="684"/>
      <c r="CD165" s="684"/>
      <c r="CE165" s="684"/>
      <c r="CF165" s="684"/>
      <c r="CG165" s="684"/>
      <c r="CH165" s="684"/>
      <c r="CI165" s="684"/>
      <c r="CJ165" s="684"/>
      <c r="CK165" s="684"/>
      <c r="CL165" s="684"/>
      <c r="CM165" s="684"/>
      <c r="CN165" s="684"/>
      <c r="CO165" s="684"/>
      <c r="CP165" s="684"/>
      <c r="CQ165" s="684"/>
      <c r="CR165" s="684"/>
      <c r="CS165" s="684"/>
      <c r="CT165" s="684"/>
      <c r="CU165" s="684"/>
      <c r="CV165" s="684"/>
      <c r="CW165" s="684"/>
      <c r="CX165" s="684"/>
      <c r="CY165" s="684"/>
      <c r="CZ165" s="684"/>
      <c r="DA165" s="684"/>
      <c r="DB165" s="684"/>
      <c r="DC165" s="684"/>
    </row>
    <row r="166" spans="1:107" s="5" customFormat="1" ht="12.75" customHeight="1">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399"/>
      <c r="AP166" s="399"/>
      <c r="AQ166" s="94"/>
      <c r="AR166" s="94"/>
      <c r="AS166" s="94"/>
      <c r="AT166" s="94"/>
      <c r="AU166" s="94"/>
      <c r="AV166" s="98"/>
      <c r="AW166" s="94"/>
      <c r="AX166" s="94"/>
      <c r="AY166" s="94"/>
      <c r="AZ166" s="94"/>
      <c r="BA166" s="94"/>
      <c r="BB166" s="94"/>
      <c r="BC166" s="94"/>
      <c r="BD166" s="94"/>
      <c r="BE166" s="94"/>
      <c r="BF166" s="94"/>
      <c r="BG166" s="94"/>
      <c r="BH166" s="94"/>
      <c r="BI166" s="94"/>
      <c r="BJ166" s="94"/>
      <c r="BK166" s="94"/>
      <c r="BL166" s="94"/>
      <c r="BM166" s="94"/>
      <c r="BN166" s="94"/>
      <c r="BO166" s="94"/>
      <c r="BP166" s="94"/>
      <c r="BQ166" s="94"/>
      <c r="BR166" s="94"/>
      <c r="BS166" s="94"/>
      <c r="BT166" s="94"/>
      <c r="BU166" s="94"/>
      <c r="BV166" s="94"/>
      <c r="BW166" s="94"/>
      <c r="BX166" s="94"/>
      <c r="BY166" s="94"/>
      <c r="BZ166" s="94"/>
      <c r="CA166" s="684"/>
      <c r="CB166" s="684"/>
      <c r="CC166" s="684"/>
      <c r="CD166" s="684"/>
      <c r="CE166" s="684"/>
      <c r="CF166" s="684"/>
      <c r="CG166" s="684"/>
      <c r="CH166" s="684"/>
      <c r="CI166" s="684"/>
      <c r="CJ166" s="684"/>
      <c r="CK166" s="684"/>
      <c r="CL166" s="684"/>
      <c r="CM166" s="684"/>
      <c r="CN166" s="684"/>
      <c r="CO166" s="684"/>
      <c r="CP166" s="684"/>
      <c r="CQ166" s="684"/>
      <c r="CR166" s="684"/>
      <c r="CS166" s="684"/>
      <c r="CT166" s="684"/>
      <c r="CU166" s="684"/>
      <c r="CV166" s="684"/>
      <c r="CW166" s="684"/>
      <c r="CX166" s="684"/>
      <c r="CY166" s="684"/>
      <c r="CZ166" s="684"/>
      <c r="DA166" s="684"/>
      <c r="DB166" s="684"/>
      <c r="DC166" s="684"/>
    </row>
    <row r="167" spans="1:107" s="5" customFormat="1" ht="12.75" customHeight="1">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399"/>
      <c r="AP167" s="399"/>
      <c r="AQ167" s="94"/>
      <c r="AR167" s="94"/>
      <c r="AS167" s="94"/>
      <c r="AT167" s="94"/>
      <c r="AU167" s="94"/>
      <c r="AV167" s="98"/>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A167" s="684"/>
      <c r="CB167" s="684"/>
      <c r="CC167" s="684"/>
      <c r="CD167" s="684"/>
      <c r="CE167" s="684"/>
      <c r="CF167" s="684"/>
      <c r="CG167" s="684"/>
      <c r="CH167" s="684"/>
      <c r="CI167" s="684"/>
      <c r="CJ167" s="684"/>
      <c r="CK167" s="684"/>
      <c r="CL167" s="684"/>
      <c r="CM167" s="684"/>
      <c r="CN167" s="684"/>
      <c r="CO167" s="684"/>
      <c r="CP167" s="684"/>
      <c r="CQ167" s="684"/>
      <c r="CR167" s="684"/>
      <c r="CS167" s="684"/>
      <c r="CT167" s="684"/>
      <c r="CU167" s="684"/>
      <c r="CV167" s="684"/>
      <c r="CW167" s="684"/>
      <c r="CX167" s="684"/>
      <c r="CY167" s="684"/>
      <c r="CZ167" s="684"/>
      <c r="DA167" s="684"/>
      <c r="DB167" s="684"/>
      <c r="DC167" s="684"/>
    </row>
    <row r="168" spans="1:107" s="5" customFormat="1" ht="12.75" customHeight="1">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399"/>
      <c r="AP168" s="399"/>
      <c r="AQ168" s="94"/>
      <c r="AR168" s="94"/>
      <c r="AS168" s="94"/>
      <c r="AT168" s="94"/>
      <c r="AU168" s="94"/>
      <c r="AV168" s="98"/>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c r="CA168" s="684"/>
      <c r="CB168" s="684"/>
      <c r="CC168" s="684"/>
      <c r="CD168" s="684"/>
      <c r="CE168" s="684"/>
      <c r="CF168" s="684"/>
      <c r="CG168" s="684"/>
      <c r="CH168" s="684"/>
      <c r="CI168" s="684"/>
      <c r="CJ168" s="684"/>
      <c r="CK168" s="684"/>
      <c r="CL168" s="684"/>
      <c r="CM168" s="684"/>
      <c r="CN168" s="684"/>
      <c r="CO168" s="684"/>
      <c r="CP168" s="684"/>
      <c r="CQ168" s="684"/>
      <c r="CR168" s="684"/>
      <c r="CS168" s="684"/>
      <c r="CT168" s="684"/>
      <c r="CU168" s="684"/>
      <c r="CV168" s="684"/>
      <c r="CW168" s="684"/>
      <c r="CX168" s="684"/>
      <c r="CY168" s="684"/>
      <c r="CZ168" s="684"/>
      <c r="DA168" s="684"/>
      <c r="DB168" s="684"/>
      <c r="DC168" s="684"/>
    </row>
    <row r="169" spans="1:107" s="5" customFormat="1" ht="12.75" customHeight="1">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399"/>
      <c r="AP169" s="399"/>
      <c r="AQ169" s="94"/>
      <c r="AR169" s="94"/>
      <c r="AS169" s="94"/>
      <c r="AT169" s="94"/>
      <c r="AU169" s="94"/>
      <c r="AV169" s="98"/>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684"/>
      <c r="CB169" s="684"/>
      <c r="CC169" s="684"/>
      <c r="CD169" s="684"/>
      <c r="CE169" s="684"/>
      <c r="CF169" s="684"/>
      <c r="CG169" s="684"/>
      <c r="CH169" s="684"/>
      <c r="CI169" s="684"/>
      <c r="CJ169" s="684"/>
      <c r="CK169" s="684"/>
      <c r="CL169" s="684"/>
      <c r="CM169" s="684"/>
      <c r="CN169" s="684"/>
      <c r="CO169" s="684"/>
      <c r="CP169" s="684"/>
      <c r="CQ169" s="684"/>
      <c r="CR169" s="684"/>
      <c r="CS169" s="684"/>
      <c r="CT169" s="684"/>
      <c r="CU169" s="684"/>
      <c r="CV169" s="684"/>
      <c r="CW169" s="684"/>
      <c r="CX169" s="684"/>
      <c r="CY169" s="684"/>
      <c r="CZ169" s="684"/>
      <c r="DA169" s="684"/>
      <c r="DB169" s="684"/>
      <c r="DC169" s="684"/>
    </row>
    <row r="170" spans="1:107" s="5" customFormat="1" ht="12.75" customHeight="1">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399"/>
      <c r="AP170" s="399"/>
      <c r="AQ170" s="94"/>
      <c r="AR170" s="94"/>
      <c r="AS170" s="94"/>
      <c r="AT170" s="94"/>
      <c r="AU170" s="94"/>
      <c r="AV170" s="98"/>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684"/>
      <c r="CB170" s="684"/>
      <c r="CC170" s="684"/>
      <c r="CD170" s="684"/>
      <c r="CE170" s="684"/>
      <c r="CF170" s="684"/>
      <c r="CG170" s="684"/>
      <c r="CH170" s="684"/>
      <c r="CI170" s="684"/>
      <c r="CJ170" s="684"/>
      <c r="CK170" s="684"/>
      <c r="CL170" s="684"/>
      <c r="CM170" s="684"/>
      <c r="CN170" s="684"/>
      <c r="CO170" s="684"/>
      <c r="CP170" s="684"/>
      <c r="CQ170" s="684"/>
      <c r="CR170" s="684"/>
      <c r="CS170" s="684"/>
      <c r="CT170" s="684"/>
      <c r="CU170" s="684"/>
      <c r="CV170" s="684"/>
      <c r="CW170" s="684"/>
      <c r="CX170" s="684"/>
      <c r="CY170" s="684"/>
      <c r="CZ170" s="684"/>
      <c r="DA170" s="684"/>
      <c r="DB170" s="684"/>
      <c r="DC170" s="684"/>
    </row>
    <row r="171" spans="1:107" s="5" customFormat="1" ht="12.75" customHeight="1">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399"/>
      <c r="AP171" s="399"/>
      <c r="AQ171" s="94"/>
      <c r="AR171" s="94"/>
      <c r="AS171" s="94"/>
      <c r="AT171" s="94"/>
      <c r="AU171" s="94"/>
      <c r="AV171" s="98"/>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684"/>
      <c r="CB171" s="684"/>
      <c r="CC171" s="684"/>
      <c r="CD171" s="684"/>
      <c r="CE171" s="684"/>
      <c r="CF171" s="684"/>
      <c r="CG171" s="684"/>
      <c r="CH171" s="684"/>
      <c r="CI171" s="684"/>
      <c r="CJ171" s="684"/>
      <c r="CK171" s="684"/>
      <c r="CL171" s="684"/>
      <c r="CM171" s="684"/>
      <c r="CN171" s="684"/>
      <c r="CO171" s="684"/>
      <c r="CP171" s="684"/>
      <c r="CQ171" s="684"/>
      <c r="CR171" s="684"/>
      <c r="CS171" s="684"/>
      <c r="CT171" s="684"/>
      <c r="CU171" s="684"/>
      <c r="CV171" s="684"/>
      <c r="CW171" s="684"/>
      <c r="CX171" s="684"/>
      <c r="CY171" s="684"/>
      <c r="CZ171" s="684"/>
      <c r="DA171" s="684"/>
      <c r="DB171" s="684"/>
      <c r="DC171" s="684"/>
    </row>
    <row r="172" spans="1:107" s="5" customFormat="1" ht="12.75" customHeight="1">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399"/>
      <c r="AP172" s="399"/>
      <c r="AQ172" s="94"/>
      <c r="AR172" s="94"/>
      <c r="AS172" s="94"/>
      <c r="AT172" s="94"/>
      <c r="AU172" s="94"/>
      <c r="AV172" s="98"/>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684"/>
      <c r="CB172" s="684"/>
      <c r="CC172" s="684"/>
      <c r="CD172" s="684"/>
      <c r="CE172" s="684"/>
      <c r="CF172" s="684"/>
      <c r="CG172" s="684"/>
      <c r="CH172" s="684"/>
      <c r="CI172" s="684"/>
      <c r="CJ172" s="684"/>
      <c r="CK172" s="684"/>
      <c r="CL172" s="684"/>
      <c r="CM172" s="684"/>
      <c r="CN172" s="684"/>
      <c r="CO172" s="684"/>
      <c r="CP172" s="684"/>
      <c r="CQ172" s="684"/>
      <c r="CR172" s="684"/>
      <c r="CS172" s="684"/>
      <c r="CT172" s="684"/>
      <c r="CU172" s="684"/>
      <c r="CV172" s="684"/>
      <c r="CW172" s="684"/>
      <c r="CX172" s="684"/>
      <c r="CY172" s="684"/>
      <c r="CZ172" s="684"/>
      <c r="DA172" s="684"/>
      <c r="DB172" s="684"/>
      <c r="DC172" s="684"/>
    </row>
    <row r="173" spans="1:107" s="5" customFormat="1" ht="12.75" customHeight="1">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399"/>
      <c r="AP173" s="399"/>
      <c r="AQ173" s="94"/>
      <c r="AR173" s="94"/>
      <c r="AS173" s="94"/>
      <c r="AT173" s="94"/>
      <c r="AU173" s="94"/>
      <c r="AV173" s="98"/>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684"/>
      <c r="CB173" s="684"/>
      <c r="CC173" s="684"/>
      <c r="CD173" s="684"/>
      <c r="CE173" s="684"/>
      <c r="CF173" s="684"/>
      <c r="CG173" s="684"/>
      <c r="CH173" s="684"/>
      <c r="CI173" s="684"/>
      <c r="CJ173" s="684"/>
      <c r="CK173" s="684"/>
      <c r="CL173" s="684"/>
      <c r="CM173" s="684"/>
      <c r="CN173" s="684"/>
      <c r="CO173" s="684"/>
      <c r="CP173" s="684"/>
      <c r="CQ173" s="684"/>
      <c r="CR173" s="684"/>
      <c r="CS173" s="684"/>
      <c r="CT173" s="684"/>
      <c r="CU173" s="684"/>
      <c r="CV173" s="684"/>
      <c r="CW173" s="684"/>
      <c r="CX173" s="684"/>
      <c r="CY173" s="684"/>
      <c r="CZ173" s="684"/>
      <c r="DA173" s="684"/>
      <c r="DB173" s="684"/>
      <c r="DC173" s="684"/>
    </row>
    <row r="174" spans="1:107" s="5" customFormat="1" ht="12.75" customHeight="1">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399"/>
      <c r="AP174" s="399"/>
      <c r="AQ174" s="94"/>
      <c r="AR174" s="94"/>
      <c r="AS174" s="94"/>
      <c r="AT174" s="94"/>
      <c r="AU174" s="94"/>
      <c r="AV174" s="98"/>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684"/>
      <c r="CB174" s="684"/>
      <c r="CC174" s="684"/>
      <c r="CD174" s="684"/>
      <c r="CE174" s="684"/>
      <c r="CF174" s="684"/>
      <c r="CG174" s="684"/>
      <c r="CH174" s="684"/>
      <c r="CI174" s="684"/>
      <c r="CJ174" s="684"/>
      <c r="CK174" s="684"/>
      <c r="CL174" s="684"/>
      <c r="CM174" s="684"/>
      <c r="CN174" s="684"/>
      <c r="CO174" s="684"/>
      <c r="CP174" s="684"/>
      <c r="CQ174" s="684"/>
      <c r="CR174" s="684"/>
      <c r="CS174" s="684"/>
      <c r="CT174" s="684"/>
      <c r="CU174" s="684"/>
      <c r="CV174" s="684"/>
      <c r="CW174" s="684"/>
      <c r="CX174" s="684"/>
      <c r="CY174" s="684"/>
      <c r="CZ174" s="684"/>
      <c r="DA174" s="684"/>
      <c r="DB174" s="684"/>
      <c r="DC174" s="684"/>
    </row>
    <row r="175" spans="1:107" s="5" customFormat="1" ht="12.75" customHeight="1">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399"/>
      <c r="AP175" s="399"/>
      <c r="AQ175" s="94"/>
      <c r="AR175" s="94"/>
      <c r="AS175" s="94"/>
      <c r="AT175" s="94"/>
      <c r="AU175" s="94"/>
      <c r="AV175" s="98"/>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684"/>
      <c r="CB175" s="684"/>
      <c r="CC175" s="684"/>
      <c r="CD175" s="684"/>
      <c r="CE175" s="684"/>
      <c r="CF175" s="684"/>
      <c r="CG175" s="684"/>
      <c r="CH175" s="684"/>
      <c r="CI175" s="684"/>
      <c r="CJ175" s="684"/>
      <c r="CK175" s="684"/>
      <c r="CL175" s="684"/>
      <c r="CM175" s="684"/>
      <c r="CN175" s="684"/>
      <c r="CO175" s="684"/>
      <c r="CP175" s="684"/>
      <c r="CQ175" s="684"/>
      <c r="CR175" s="684"/>
      <c r="CS175" s="684"/>
      <c r="CT175" s="684"/>
      <c r="CU175" s="684"/>
      <c r="CV175" s="684"/>
      <c r="CW175" s="684"/>
      <c r="CX175" s="684"/>
      <c r="CY175" s="684"/>
      <c r="CZ175" s="684"/>
      <c r="DA175" s="684"/>
      <c r="DB175" s="684"/>
      <c r="DC175" s="684"/>
    </row>
    <row r="176" spans="1:107" s="5" customFormat="1" ht="12.75" customHeight="1">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399"/>
      <c r="AP176" s="399"/>
      <c r="AQ176" s="94"/>
      <c r="AR176" s="94"/>
      <c r="AS176" s="94"/>
      <c r="AT176" s="94"/>
      <c r="AU176" s="94"/>
      <c r="AV176" s="98"/>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684"/>
      <c r="CB176" s="684"/>
      <c r="CC176" s="684"/>
      <c r="CD176" s="684"/>
      <c r="CE176" s="684"/>
      <c r="CF176" s="684"/>
      <c r="CG176" s="684"/>
      <c r="CH176" s="684"/>
      <c r="CI176" s="684"/>
      <c r="CJ176" s="684"/>
      <c r="CK176" s="684"/>
      <c r="CL176" s="684"/>
      <c r="CM176" s="684"/>
      <c r="CN176" s="684"/>
      <c r="CO176" s="684"/>
      <c r="CP176" s="684"/>
      <c r="CQ176" s="684"/>
      <c r="CR176" s="684"/>
      <c r="CS176" s="684"/>
      <c r="CT176" s="684"/>
      <c r="CU176" s="684"/>
      <c r="CV176" s="684"/>
      <c r="CW176" s="684"/>
      <c r="CX176" s="684"/>
      <c r="CY176" s="684"/>
      <c r="CZ176" s="684"/>
      <c r="DA176" s="684"/>
      <c r="DB176" s="684"/>
      <c r="DC176" s="684"/>
    </row>
    <row r="177" spans="1:107" s="5" customFormat="1" ht="12.75" customHeight="1">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399"/>
      <c r="AP177" s="399"/>
      <c r="AQ177" s="94"/>
      <c r="AR177" s="94"/>
      <c r="AS177" s="94"/>
      <c r="AT177" s="94"/>
      <c r="AU177" s="94"/>
      <c r="AV177" s="98"/>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684"/>
      <c r="CB177" s="684"/>
      <c r="CC177" s="684"/>
      <c r="CD177" s="684"/>
      <c r="CE177" s="684"/>
      <c r="CF177" s="684"/>
      <c r="CG177" s="684"/>
      <c r="CH177" s="684"/>
      <c r="CI177" s="684"/>
      <c r="CJ177" s="684"/>
      <c r="CK177" s="684"/>
      <c r="CL177" s="684"/>
      <c r="CM177" s="684"/>
      <c r="CN177" s="684"/>
      <c r="CO177" s="684"/>
      <c r="CP177" s="684"/>
      <c r="CQ177" s="684"/>
      <c r="CR177" s="684"/>
      <c r="CS177" s="684"/>
      <c r="CT177" s="684"/>
      <c r="CU177" s="684"/>
      <c r="CV177" s="684"/>
      <c r="CW177" s="684"/>
      <c r="CX177" s="684"/>
      <c r="CY177" s="684"/>
      <c r="CZ177" s="684"/>
      <c r="DA177" s="684"/>
      <c r="DB177" s="684"/>
      <c r="DC177" s="684"/>
    </row>
    <row r="178" spans="1:107" s="5" customFormat="1" ht="12.75" customHeight="1">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399"/>
      <c r="AP178" s="399"/>
      <c r="AQ178" s="94"/>
      <c r="AR178" s="94"/>
      <c r="AS178" s="94"/>
      <c r="AT178" s="94"/>
      <c r="AU178" s="94"/>
      <c r="AV178" s="98"/>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684"/>
      <c r="CB178" s="684"/>
      <c r="CC178" s="684"/>
      <c r="CD178" s="684"/>
      <c r="CE178" s="684"/>
      <c r="CF178" s="684"/>
      <c r="CG178" s="684"/>
      <c r="CH178" s="684"/>
      <c r="CI178" s="684"/>
      <c r="CJ178" s="684"/>
      <c r="CK178" s="684"/>
      <c r="CL178" s="684"/>
      <c r="CM178" s="684"/>
      <c r="CN178" s="684"/>
      <c r="CO178" s="684"/>
      <c r="CP178" s="684"/>
      <c r="CQ178" s="684"/>
      <c r="CR178" s="684"/>
      <c r="CS178" s="684"/>
      <c r="CT178" s="684"/>
      <c r="CU178" s="684"/>
      <c r="CV178" s="684"/>
      <c r="CW178" s="684"/>
      <c r="CX178" s="684"/>
      <c r="CY178" s="684"/>
      <c r="CZ178" s="684"/>
      <c r="DA178" s="684"/>
      <c r="DB178" s="684"/>
      <c r="DC178" s="684"/>
    </row>
    <row r="179" spans="1:107" s="5" customFormat="1" ht="12.75" customHeight="1">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399"/>
      <c r="AP179" s="399"/>
      <c r="AQ179" s="94"/>
      <c r="AR179" s="94"/>
      <c r="AS179" s="94"/>
      <c r="AT179" s="94"/>
      <c r="AU179" s="94"/>
      <c r="AV179" s="98"/>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684"/>
      <c r="CB179" s="684"/>
      <c r="CC179" s="684"/>
      <c r="CD179" s="684"/>
      <c r="CE179" s="684"/>
      <c r="CF179" s="684"/>
      <c r="CG179" s="684"/>
      <c r="CH179" s="684"/>
      <c r="CI179" s="684"/>
      <c r="CJ179" s="684"/>
      <c r="CK179" s="684"/>
      <c r="CL179" s="684"/>
      <c r="CM179" s="684"/>
      <c r="CN179" s="684"/>
      <c r="CO179" s="684"/>
      <c r="CP179" s="684"/>
      <c r="CQ179" s="684"/>
      <c r="CR179" s="684"/>
      <c r="CS179" s="684"/>
      <c r="CT179" s="684"/>
      <c r="CU179" s="684"/>
      <c r="CV179" s="684"/>
      <c r="CW179" s="684"/>
      <c r="CX179" s="684"/>
      <c r="CY179" s="684"/>
      <c r="CZ179" s="684"/>
      <c r="DA179" s="684"/>
      <c r="DB179" s="684"/>
      <c r="DC179" s="684"/>
    </row>
    <row r="180" spans="1:107" s="5" customFormat="1" ht="12.75" customHeight="1">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399"/>
      <c r="AP180" s="399"/>
      <c r="AQ180" s="94"/>
      <c r="AR180" s="94"/>
      <c r="AS180" s="94"/>
      <c r="AT180" s="94"/>
      <c r="AU180" s="94"/>
      <c r="AV180" s="98"/>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684"/>
      <c r="CB180" s="684"/>
      <c r="CC180" s="684"/>
      <c r="CD180" s="684"/>
      <c r="CE180" s="684"/>
      <c r="CF180" s="684"/>
      <c r="CG180" s="684"/>
      <c r="CH180" s="684"/>
      <c r="CI180" s="684"/>
      <c r="CJ180" s="684"/>
      <c r="CK180" s="684"/>
      <c r="CL180" s="684"/>
      <c r="CM180" s="684"/>
      <c r="CN180" s="684"/>
      <c r="CO180" s="684"/>
      <c r="CP180" s="684"/>
      <c r="CQ180" s="684"/>
      <c r="CR180" s="684"/>
      <c r="CS180" s="684"/>
      <c r="CT180" s="684"/>
      <c r="CU180" s="684"/>
      <c r="CV180" s="684"/>
      <c r="CW180" s="684"/>
      <c r="CX180" s="684"/>
      <c r="CY180" s="684"/>
      <c r="CZ180" s="684"/>
      <c r="DA180" s="684"/>
      <c r="DB180" s="684"/>
      <c r="DC180" s="684"/>
    </row>
    <row r="181" spans="1:107" s="5" customFormat="1" ht="12.75" customHeight="1">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399"/>
      <c r="AP181" s="399"/>
      <c r="AQ181" s="94"/>
      <c r="AR181" s="94"/>
      <c r="AS181" s="94"/>
      <c r="AT181" s="94"/>
      <c r="AU181" s="94"/>
      <c r="AV181" s="98"/>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684"/>
      <c r="CB181" s="684"/>
      <c r="CC181" s="684"/>
      <c r="CD181" s="684"/>
      <c r="CE181" s="684"/>
      <c r="CF181" s="684"/>
      <c r="CG181" s="684"/>
      <c r="CH181" s="684"/>
      <c r="CI181" s="684"/>
      <c r="CJ181" s="684"/>
      <c r="CK181" s="684"/>
      <c r="CL181" s="684"/>
      <c r="CM181" s="684"/>
      <c r="CN181" s="684"/>
      <c r="CO181" s="684"/>
      <c r="CP181" s="684"/>
      <c r="CQ181" s="684"/>
      <c r="CR181" s="684"/>
      <c r="CS181" s="684"/>
      <c r="CT181" s="684"/>
      <c r="CU181" s="684"/>
      <c r="CV181" s="684"/>
      <c r="CW181" s="684"/>
      <c r="CX181" s="684"/>
      <c r="CY181" s="684"/>
      <c r="CZ181" s="684"/>
      <c r="DA181" s="684"/>
      <c r="DB181" s="684"/>
      <c r="DC181" s="684"/>
    </row>
    <row r="182" spans="1:107" s="5" customFormat="1" ht="12.75" customHeight="1">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399"/>
      <c r="AP182" s="399"/>
      <c r="AQ182" s="94"/>
      <c r="AR182" s="94"/>
      <c r="AS182" s="94"/>
      <c r="AT182" s="94"/>
      <c r="AU182" s="94"/>
      <c r="AV182" s="98"/>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684"/>
      <c r="CB182" s="684"/>
      <c r="CC182" s="684"/>
      <c r="CD182" s="684"/>
      <c r="CE182" s="684"/>
      <c r="CF182" s="684"/>
      <c r="CG182" s="684"/>
      <c r="CH182" s="684"/>
      <c r="CI182" s="684"/>
      <c r="CJ182" s="684"/>
      <c r="CK182" s="684"/>
      <c r="CL182" s="684"/>
      <c r="CM182" s="684"/>
      <c r="CN182" s="684"/>
      <c r="CO182" s="684"/>
      <c r="CP182" s="684"/>
      <c r="CQ182" s="684"/>
      <c r="CR182" s="684"/>
      <c r="CS182" s="684"/>
      <c r="CT182" s="684"/>
      <c r="CU182" s="684"/>
      <c r="CV182" s="684"/>
      <c r="CW182" s="684"/>
      <c r="CX182" s="684"/>
      <c r="CY182" s="684"/>
      <c r="CZ182" s="684"/>
      <c r="DA182" s="684"/>
      <c r="DB182" s="684"/>
      <c r="DC182" s="684"/>
    </row>
    <row r="183" spans="1:107" s="5" customFormat="1" ht="12.75" customHeight="1">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399"/>
      <c r="AP183" s="399"/>
      <c r="AQ183" s="94"/>
      <c r="AR183" s="94"/>
      <c r="AS183" s="94"/>
      <c r="AT183" s="94"/>
      <c r="AU183" s="94"/>
      <c r="AV183" s="98"/>
      <c r="AW183" s="94"/>
      <c r="AX183" s="94"/>
      <c r="AY183" s="94"/>
      <c r="AZ183" s="94"/>
      <c r="BA183" s="94"/>
      <c r="BB183" s="94"/>
      <c r="BC183" s="94"/>
      <c r="BD183" s="94"/>
      <c r="BE183" s="94"/>
      <c r="BF183" s="94"/>
      <c r="BG183" s="94"/>
      <c r="BH183" s="94"/>
      <c r="BI183" s="94"/>
      <c r="BJ183" s="94"/>
      <c r="BK183" s="94"/>
      <c r="BL183" s="94"/>
      <c r="BM183" s="94"/>
      <c r="BN183" s="94"/>
      <c r="BO183" s="94"/>
      <c r="BP183" s="94"/>
      <c r="BQ183" s="94"/>
      <c r="BR183" s="94"/>
      <c r="BS183" s="94"/>
      <c r="BT183" s="94"/>
      <c r="BU183" s="94"/>
      <c r="BV183" s="94"/>
      <c r="BW183" s="94"/>
      <c r="BX183" s="94"/>
      <c r="BY183" s="94"/>
      <c r="BZ183" s="94"/>
      <c r="CA183" s="684"/>
      <c r="CB183" s="684"/>
      <c r="CC183" s="684"/>
      <c r="CD183" s="684"/>
      <c r="CE183" s="684"/>
      <c r="CF183" s="684"/>
      <c r="CG183" s="684"/>
      <c r="CH183" s="684"/>
      <c r="CI183" s="684"/>
      <c r="CJ183" s="684"/>
      <c r="CK183" s="684"/>
      <c r="CL183" s="684"/>
      <c r="CM183" s="684"/>
      <c r="CN183" s="684"/>
      <c r="CO183" s="684"/>
      <c r="CP183" s="684"/>
      <c r="CQ183" s="684"/>
      <c r="CR183" s="684"/>
      <c r="CS183" s="684"/>
      <c r="CT183" s="684"/>
      <c r="CU183" s="684"/>
      <c r="CV183" s="684"/>
      <c r="CW183" s="684"/>
      <c r="CX183" s="684"/>
      <c r="CY183" s="684"/>
      <c r="CZ183" s="684"/>
      <c r="DA183" s="684"/>
      <c r="DB183" s="684"/>
      <c r="DC183" s="684"/>
    </row>
    <row r="184" spans="1:107" s="5" customFormat="1" ht="12.75" customHeight="1">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399"/>
      <c r="AP184" s="399"/>
      <c r="AQ184" s="94"/>
      <c r="AR184" s="94"/>
      <c r="AS184" s="94"/>
      <c r="AT184" s="94"/>
      <c r="AU184" s="94"/>
      <c r="AV184" s="98"/>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A184" s="684"/>
      <c r="CB184" s="684"/>
      <c r="CC184" s="684"/>
      <c r="CD184" s="684"/>
      <c r="CE184" s="684"/>
      <c r="CF184" s="684"/>
      <c r="CG184" s="684"/>
      <c r="CH184" s="684"/>
      <c r="CI184" s="684"/>
      <c r="CJ184" s="684"/>
      <c r="CK184" s="684"/>
      <c r="CL184" s="684"/>
      <c r="CM184" s="684"/>
      <c r="CN184" s="684"/>
      <c r="CO184" s="684"/>
      <c r="CP184" s="684"/>
      <c r="CQ184" s="684"/>
      <c r="CR184" s="684"/>
      <c r="CS184" s="684"/>
      <c r="CT184" s="684"/>
      <c r="CU184" s="684"/>
      <c r="CV184" s="684"/>
      <c r="CW184" s="684"/>
      <c r="CX184" s="684"/>
      <c r="CY184" s="684"/>
      <c r="CZ184" s="684"/>
      <c r="DA184" s="684"/>
      <c r="DB184" s="684"/>
      <c r="DC184" s="684"/>
    </row>
    <row r="185" spans="1:107" s="5" customFormat="1" ht="12.75" customHeight="1">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399"/>
      <c r="AP185" s="399"/>
      <c r="AQ185" s="94"/>
      <c r="AR185" s="94"/>
      <c r="AS185" s="94"/>
      <c r="AT185" s="94"/>
      <c r="AU185" s="94"/>
      <c r="AV185" s="98"/>
      <c r="AW185" s="94"/>
      <c r="AX185" s="94"/>
      <c r="AY185" s="94"/>
      <c r="AZ185" s="94"/>
      <c r="BA185" s="94"/>
      <c r="BB185" s="94"/>
      <c r="BC185" s="94"/>
      <c r="BD185" s="94"/>
      <c r="BE185" s="94"/>
      <c r="BF185" s="94"/>
      <c r="BG185" s="94"/>
      <c r="BH185" s="94"/>
      <c r="BI185" s="94"/>
      <c r="BJ185" s="94"/>
      <c r="BK185" s="94"/>
      <c r="BL185" s="94"/>
      <c r="BM185" s="94"/>
      <c r="BN185" s="94"/>
      <c r="BO185" s="94"/>
      <c r="BP185" s="94"/>
      <c r="BQ185" s="94"/>
      <c r="BR185" s="94"/>
      <c r="BS185" s="94"/>
      <c r="BT185" s="94"/>
      <c r="BU185" s="94"/>
      <c r="BV185" s="94"/>
      <c r="BW185" s="94"/>
      <c r="BX185" s="94"/>
      <c r="BY185" s="94"/>
      <c r="BZ185" s="94"/>
      <c r="CA185" s="684"/>
      <c r="CB185" s="684"/>
      <c r="CC185" s="684"/>
      <c r="CD185" s="684"/>
      <c r="CE185" s="684"/>
      <c r="CF185" s="684"/>
      <c r="CG185" s="684"/>
      <c r="CH185" s="684"/>
      <c r="CI185" s="684"/>
      <c r="CJ185" s="684"/>
      <c r="CK185" s="684"/>
      <c r="CL185" s="684"/>
      <c r="CM185" s="684"/>
      <c r="CN185" s="684"/>
      <c r="CO185" s="684"/>
      <c r="CP185" s="684"/>
      <c r="CQ185" s="684"/>
      <c r="CR185" s="684"/>
      <c r="CS185" s="684"/>
      <c r="CT185" s="684"/>
      <c r="CU185" s="684"/>
      <c r="CV185" s="684"/>
      <c r="CW185" s="684"/>
      <c r="CX185" s="684"/>
      <c r="CY185" s="684"/>
      <c r="CZ185" s="684"/>
      <c r="DA185" s="684"/>
      <c r="DB185" s="684"/>
      <c r="DC185" s="684"/>
    </row>
    <row r="186" spans="1:107" s="5" customFormat="1" ht="12.75" customHeight="1">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399"/>
      <c r="AP186" s="399"/>
      <c r="AQ186" s="94"/>
      <c r="AR186" s="94"/>
      <c r="AS186" s="94"/>
      <c r="AT186" s="94"/>
      <c r="AU186" s="94"/>
      <c r="AV186" s="98"/>
      <c r="AW186" s="94"/>
      <c r="AX186" s="94"/>
      <c r="AY186" s="94"/>
      <c r="AZ186" s="94"/>
      <c r="BA186" s="94"/>
      <c r="BB186" s="94"/>
      <c r="BC186" s="94"/>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684"/>
      <c r="CB186" s="684"/>
      <c r="CC186" s="684"/>
      <c r="CD186" s="684"/>
      <c r="CE186" s="684"/>
      <c r="CF186" s="684"/>
      <c r="CG186" s="684"/>
      <c r="CH186" s="684"/>
      <c r="CI186" s="684"/>
      <c r="CJ186" s="684"/>
      <c r="CK186" s="684"/>
      <c r="CL186" s="684"/>
      <c r="CM186" s="684"/>
      <c r="CN186" s="684"/>
      <c r="CO186" s="684"/>
      <c r="CP186" s="684"/>
      <c r="CQ186" s="684"/>
      <c r="CR186" s="684"/>
      <c r="CS186" s="684"/>
      <c r="CT186" s="684"/>
      <c r="CU186" s="684"/>
      <c r="CV186" s="684"/>
      <c r="CW186" s="684"/>
      <c r="CX186" s="684"/>
      <c r="CY186" s="684"/>
      <c r="CZ186" s="684"/>
      <c r="DA186" s="684"/>
      <c r="DB186" s="684"/>
      <c r="DC186" s="684"/>
    </row>
    <row r="187" spans="1:107" s="5" customFormat="1" ht="12.75" customHeight="1">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399"/>
      <c r="AP187" s="399"/>
      <c r="AQ187" s="94"/>
      <c r="AR187" s="94"/>
      <c r="AS187" s="94"/>
      <c r="AT187" s="94"/>
      <c r="AU187" s="94"/>
      <c r="AV187" s="98"/>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684"/>
      <c r="CB187" s="684"/>
      <c r="CC187" s="684"/>
      <c r="CD187" s="684"/>
      <c r="CE187" s="684"/>
      <c r="CF187" s="684"/>
      <c r="CG187" s="684"/>
      <c r="CH187" s="684"/>
      <c r="CI187" s="684"/>
      <c r="CJ187" s="684"/>
      <c r="CK187" s="684"/>
      <c r="CL187" s="684"/>
      <c r="CM187" s="684"/>
      <c r="CN187" s="684"/>
      <c r="CO187" s="684"/>
      <c r="CP187" s="684"/>
      <c r="CQ187" s="684"/>
      <c r="CR187" s="684"/>
      <c r="CS187" s="684"/>
      <c r="CT187" s="684"/>
      <c r="CU187" s="684"/>
      <c r="CV187" s="684"/>
      <c r="CW187" s="684"/>
      <c r="CX187" s="684"/>
      <c r="CY187" s="684"/>
      <c r="CZ187" s="684"/>
      <c r="DA187" s="684"/>
      <c r="DB187" s="684"/>
      <c r="DC187" s="684"/>
    </row>
    <row r="188" spans="1:107" s="5" customFormat="1" ht="12.75" customHeight="1">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399"/>
      <c r="AP188" s="399"/>
      <c r="AQ188" s="94"/>
      <c r="AR188" s="94"/>
      <c r="AS188" s="94"/>
      <c r="AT188" s="94"/>
      <c r="AU188" s="94"/>
      <c r="AV188" s="98"/>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684"/>
      <c r="CB188" s="684"/>
      <c r="CC188" s="684"/>
      <c r="CD188" s="684"/>
      <c r="CE188" s="684"/>
      <c r="CF188" s="684"/>
      <c r="CG188" s="684"/>
      <c r="CH188" s="684"/>
      <c r="CI188" s="684"/>
      <c r="CJ188" s="684"/>
      <c r="CK188" s="684"/>
      <c r="CL188" s="684"/>
      <c r="CM188" s="684"/>
      <c r="CN188" s="684"/>
      <c r="CO188" s="684"/>
      <c r="CP188" s="684"/>
      <c r="CQ188" s="684"/>
      <c r="CR188" s="684"/>
      <c r="CS188" s="684"/>
      <c r="CT188" s="684"/>
      <c r="CU188" s="684"/>
      <c r="CV188" s="684"/>
      <c r="CW188" s="684"/>
      <c r="CX188" s="684"/>
      <c r="CY188" s="684"/>
      <c r="CZ188" s="684"/>
      <c r="DA188" s="684"/>
      <c r="DB188" s="684"/>
      <c r="DC188" s="684"/>
    </row>
    <row r="189" spans="1:107" s="5" customFormat="1" ht="12.75" customHeight="1">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399"/>
      <c r="AP189" s="399"/>
      <c r="AQ189" s="94"/>
      <c r="AR189" s="94"/>
      <c r="AS189" s="94"/>
      <c r="AT189" s="94"/>
      <c r="AU189" s="94"/>
      <c r="AV189" s="98"/>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94"/>
      <c r="BU189" s="94"/>
      <c r="BV189" s="94"/>
      <c r="BW189" s="94"/>
      <c r="BX189" s="94"/>
      <c r="BY189" s="94"/>
      <c r="BZ189" s="94"/>
      <c r="CA189" s="684"/>
      <c r="CB189" s="684"/>
      <c r="CC189" s="684"/>
      <c r="CD189" s="684"/>
      <c r="CE189" s="684"/>
      <c r="CF189" s="684"/>
      <c r="CG189" s="684"/>
      <c r="CH189" s="684"/>
      <c r="CI189" s="684"/>
      <c r="CJ189" s="684"/>
      <c r="CK189" s="684"/>
      <c r="CL189" s="684"/>
      <c r="CM189" s="684"/>
      <c r="CN189" s="684"/>
      <c r="CO189" s="684"/>
      <c r="CP189" s="684"/>
      <c r="CQ189" s="684"/>
      <c r="CR189" s="684"/>
      <c r="CS189" s="684"/>
      <c r="CT189" s="684"/>
      <c r="CU189" s="684"/>
      <c r="CV189" s="684"/>
      <c r="CW189" s="684"/>
      <c r="CX189" s="684"/>
      <c r="CY189" s="684"/>
      <c r="CZ189" s="684"/>
      <c r="DA189" s="684"/>
      <c r="DB189" s="684"/>
      <c r="DC189" s="684"/>
    </row>
    <row r="190" spans="1:107" s="5" customFormat="1" ht="12.75" customHeight="1">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399"/>
      <c r="AP190" s="399"/>
      <c r="AQ190" s="94"/>
      <c r="AR190" s="94"/>
      <c r="AS190" s="94"/>
      <c r="AT190" s="94"/>
      <c r="AU190" s="94"/>
      <c r="AV190" s="98"/>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684"/>
      <c r="CB190" s="684"/>
      <c r="CC190" s="684"/>
      <c r="CD190" s="684"/>
      <c r="CE190" s="684"/>
      <c r="CF190" s="684"/>
      <c r="CG190" s="684"/>
      <c r="CH190" s="684"/>
      <c r="CI190" s="684"/>
      <c r="CJ190" s="684"/>
      <c r="CK190" s="684"/>
      <c r="CL190" s="684"/>
      <c r="CM190" s="684"/>
      <c r="CN190" s="684"/>
      <c r="CO190" s="684"/>
      <c r="CP190" s="684"/>
      <c r="CQ190" s="684"/>
      <c r="CR190" s="684"/>
      <c r="CS190" s="684"/>
      <c r="CT190" s="684"/>
      <c r="CU190" s="684"/>
      <c r="CV190" s="684"/>
      <c r="CW190" s="684"/>
      <c r="CX190" s="684"/>
      <c r="CY190" s="684"/>
      <c r="CZ190" s="684"/>
      <c r="DA190" s="684"/>
      <c r="DB190" s="684"/>
      <c r="DC190" s="684"/>
    </row>
    <row r="191" spans="1:107" s="5" customFormat="1" ht="12.75"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399"/>
      <c r="AP191" s="399"/>
      <c r="AQ191" s="94"/>
      <c r="AR191" s="94"/>
      <c r="AS191" s="94"/>
      <c r="AT191" s="94"/>
      <c r="AU191" s="94"/>
      <c r="AV191" s="98"/>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684"/>
      <c r="CB191" s="684"/>
      <c r="CC191" s="684"/>
      <c r="CD191" s="684"/>
      <c r="CE191" s="684"/>
      <c r="CF191" s="684"/>
      <c r="CG191" s="684"/>
      <c r="CH191" s="684"/>
      <c r="CI191" s="684"/>
      <c r="CJ191" s="684"/>
      <c r="CK191" s="684"/>
      <c r="CL191" s="684"/>
      <c r="CM191" s="684"/>
      <c r="CN191" s="684"/>
      <c r="CO191" s="684"/>
      <c r="CP191" s="684"/>
      <c r="CQ191" s="684"/>
      <c r="CR191" s="684"/>
      <c r="CS191" s="684"/>
      <c r="CT191" s="684"/>
      <c r="CU191" s="684"/>
      <c r="CV191" s="684"/>
      <c r="CW191" s="684"/>
      <c r="CX191" s="684"/>
      <c r="CY191" s="684"/>
      <c r="CZ191" s="684"/>
      <c r="DA191" s="684"/>
      <c r="DB191" s="684"/>
      <c r="DC191" s="684"/>
    </row>
    <row r="192" spans="1:107" s="5" customFormat="1" ht="12.75" customHeight="1">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399"/>
      <c r="AP192" s="399"/>
      <c r="AQ192" s="94"/>
      <c r="AR192" s="94"/>
      <c r="AS192" s="94"/>
      <c r="AT192" s="94"/>
      <c r="AU192" s="94"/>
      <c r="AV192" s="98"/>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684"/>
      <c r="CB192" s="684"/>
      <c r="CC192" s="684"/>
      <c r="CD192" s="684"/>
      <c r="CE192" s="684"/>
      <c r="CF192" s="684"/>
      <c r="CG192" s="684"/>
      <c r="CH192" s="684"/>
      <c r="CI192" s="684"/>
      <c r="CJ192" s="684"/>
      <c r="CK192" s="684"/>
      <c r="CL192" s="684"/>
      <c r="CM192" s="684"/>
      <c r="CN192" s="684"/>
      <c r="CO192" s="684"/>
      <c r="CP192" s="684"/>
      <c r="CQ192" s="684"/>
      <c r="CR192" s="684"/>
      <c r="CS192" s="684"/>
      <c r="CT192" s="684"/>
      <c r="CU192" s="684"/>
      <c r="CV192" s="684"/>
      <c r="CW192" s="684"/>
      <c r="CX192" s="684"/>
      <c r="CY192" s="684"/>
      <c r="CZ192" s="684"/>
      <c r="DA192" s="684"/>
      <c r="DB192" s="684"/>
      <c r="DC192" s="684"/>
    </row>
    <row r="193" spans="1:107" s="5" customFormat="1" ht="12.75" customHeight="1">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399"/>
      <c r="AP193" s="399"/>
      <c r="AQ193" s="94"/>
      <c r="AR193" s="94"/>
      <c r="AS193" s="94"/>
      <c r="AT193" s="94"/>
      <c r="AU193" s="94"/>
      <c r="AV193" s="98"/>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684"/>
      <c r="CB193" s="684"/>
      <c r="CC193" s="684"/>
      <c r="CD193" s="684"/>
      <c r="CE193" s="684"/>
      <c r="CF193" s="684"/>
      <c r="CG193" s="684"/>
      <c r="CH193" s="684"/>
      <c r="CI193" s="684"/>
      <c r="CJ193" s="684"/>
      <c r="CK193" s="684"/>
      <c r="CL193" s="684"/>
      <c r="CM193" s="684"/>
      <c r="CN193" s="684"/>
      <c r="CO193" s="684"/>
      <c r="CP193" s="684"/>
      <c r="CQ193" s="684"/>
      <c r="CR193" s="684"/>
      <c r="CS193" s="684"/>
      <c r="CT193" s="684"/>
      <c r="CU193" s="684"/>
      <c r="CV193" s="684"/>
      <c r="CW193" s="684"/>
      <c r="CX193" s="684"/>
      <c r="CY193" s="684"/>
      <c r="CZ193" s="684"/>
      <c r="DA193" s="684"/>
      <c r="DB193" s="684"/>
      <c r="DC193" s="684"/>
    </row>
    <row r="194" spans="1:107" s="5" customFormat="1" ht="12.75" customHeight="1">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399"/>
      <c r="AP194" s="399"/>
      <c r="AQ194" s="94"/>
      <c r="AR194" s="94"/>
      <c r="AS194" s="94"/>
      <c r="AT194" s="94"/>
      <c r="AU194" s="94"/>
      <c r="AV194" s="98"/>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684"/>
      <c r="CB194" s="684"/>
      <c r="CC194" s="684"/>
      <c r="CD194" s="684"/>
      <c r="CE194" s="684"/>
      <c r="CF194" s="684"/>
      <c r="CG194" s="684"/>
      <c r="CH194" s="684"/>
      <c r="CI194" s="684"/>
      <c r="CJ194" s="684"/>
      <c r="CK194" s="684"/>
      <c r="CL194" s="684"/>
      <c r="CM194" s="684"/>
      <c r="CN194" s="684"/>
      <c r="CO194" s="684"/>
      <c r="CP194" s="684"/>
      <c r="CQ194" s="684"/>
      <c r="CR194" s="684"/>
      <c r="CS194" s="684"/>
      <c r="CT194" s="684"/>
      <c r="CU194" s="684"/>
      <c r="CV194" s="684"/>
      <c r="CW194" s="684"/>
      <c r="CX194" s="684"/>
      <c r="CY194" s="684"/>
      <c r="CZ194" s="684"/>
      <c r="DA194" s="684"/>
      <c r="DB194" s="684"/>
      <c r="DC194" s="684"/>
    </row>
    <row r="195" spans="1:107" s="5" customFormat="1" ht="12.75"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399"/>
      <c r="AP195" s="399"/>
      <c r="AQ195" s="94"/>
      <c r="AR195" s="94"/>
      <c r="AS195" s="94"/>
      <c r="AT195" s="94"/>
      <c r="AU195" s="94"/>
      <c r="AV195" s="98"/>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684"/>
      <c r="CB195" s="684"/>
      <c r="CC195" s="684"/>
      <c r="CD195" s="684"/>
      <c r="CE195" s="684"/>
      <c r="CF195" s="684"/>
      <c r="CG195" s="684"/>
      <c r="CH195" s="684"/>
      <c r="CI195" s="684"/>
      <c r="CJ195" s="684"/>
      <c r="CK195" s="684"/>
      <c r="CL195" s="684"/>
      <c r="CM195" s="684"/>
      <c r="CN195" s="684"/>
      <c r="CO195" s="684"/>
      <c r="CP195" s="684"/>
      <c r="CQ195" s="684"/>
      <c r="CR195" s="684"/>
      <c r="CS195" s="684"/>
      <c r="CT195" s="684"/>
      <c r="CU195" s="684"/>
      <c r="CV195" s="684"/>
      <c r="CW195" s="684"/>
      <c r="CX195" s="684"/>
      <c r="CY195" s="684"/>
      <c r="CZ195" s="684"/>
      <c r="DA195" s="684"/>
      <c r="DB195" s="684"/>
      <c r="DC195" s="684"/>
    </row>
    <row r="196" spans="1:107" s="5" customFormat="1" ht="12.75" customHeight="1">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399"/>
      <c r="AP196" s="399"/>
      <c r="AQ196" s="94"/>
      <c r="AR196" s="94"/>
      <c r="AS196" s="94"/>
      <c r="AT196" s="94"/>
      <c r="AU196" s="94"/>
      <c r="AV196" s="98"/>
      <c r="AW196" s="94"/>
      <c r="AX196" s="94"/>
      <c r="AY196" s="94"/>
      <c r="AZ196" s="94"/>
      <c r="BA196" s="94"/>
      <c r="BB196" s="94"/>
      <c r="BC196" s="94"/>
      <c r="BD196" s="94"/>
      <c r="BE196" s="94"/>
      <c r="BF196" s="94"/>
      <c r="BG196" s="94"/>
      <c r="BH196" s="94"/>
      <c r="BI196" s="94"/>
      <c r="BJ196" s="94"/>
      <c r="BK196" s="94"/>
      <c r="BL196" s="94"/>
      <c r="BM196" s="94"/>
      <c r="BN196" s="94"/>
      <c r="BO196" s="94"/>
      <c r="BP196" s="94"/>
      <c r="BQ196" s="94"/>
      <c r="BR196" s="94"/>
      <c r="BS196" s="94"/>
      <c r="BT196" s="94"/>
      <c r="BU196" s="94"/>
      <c r="BV196" s="94"/>
      <c r="BW196" s="94"/>
      <c r="BX196" s="94"/>
      <c r="BY196" s="94"/>
      <c r="BZ196" s="94"/>
      <c r="CA196" s="684"/>
      <c r="CB196" s="684"/>
      <c r="CC196" s="684"/>
      <c r="CD196" s="684"/>
      <c r="CE196" s="684"/>
      <c r="CF196" s="684"/>
      <c r="CG196" s="684"/>
      <c r="CH196" s="684"/>
      <c r="CI196" s="684"/>
      <c r="CJ196" s="684"/>
      <c r="CK196" s="684"/>
      <c r="CL196" s="684"/>
      <c r="CM196" s="684"/>
      <c r="CN196" s="684"/>
      <c r="CO196" s="684"/>
      <c r="CP196" s="684"/>
      <c r="CQ196" s="684"/>
      <c r="CR196" s="684"/>
      <c r="CS196" s="684"/>
      <c r="CT196" s="684"/>
      <c r="CU196" s="684"/>
      <c r="CV196" s="684"/>
      <c r="CW196" s="684"/>
      <c r="CX196" s="684"/>
      <c r="CY196" s="684"/>
      <c r="CZ196" s="684"/>
      <c r="DA196" s="684"/>
      <c r="DB196" s="684"/>
      <c r="DC196" s="684"/>
    </row>
    <row r="197" spans="1:107" s="5" customFormat="1" ht="12.75" customHeight="1">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399"/>
      <c r="AP197" s="399"/>
      <c r="AQ197" s="94"/>
      <c r="AR197" s="94"/>
      <c r="AS197" s="94"/>
      <c r="AT197" s="94"/>
      <c r="AU197" s="94"/>
      <c r="AV197" s="98"/>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A197" s="684"/>
      <c r="CB197" s="684"/>
      <c r="CC197" s="684"/>
      <c r="CD197" s="684"/>
      <c r="CE197" s="684"/>
      <c r="CF197" s="684"/>
      <c r="CG197" s="684"/>
      <c r="CH197" s="684"/>
      <c r="CI197" s="684"/>
      <c r="CJ197" s="684"/>
      <c r="CK197" s="684"/>
      <c r="CL197" s="684"/>
      <c r="CM197" s="684"/>
      <c r="CN197" s="684"/>
      <c r="CO197" s="684"/>
      <c r="CP197" s="684"/>
      <c r="CQ197" s="684"/>
      <c r="CR197" s="684"/>
      <c r="CS197" s="684"/>
      <c r="CT197" s="684"/>
      <c r="CU197" s="684"/>
      <c r="CV197" s="684"/>
      <c r="CW197" s="684"/>
      <c r="CX197" s="684"/>
      <c r="CY197" s="684"/>
      <c r="CZ197" s="684"/>
      <c r="DA197" s="684"/>
      <c r="DB197" s="684"/>
      <c r="DC197" s="684"/>
    </row>
    <row r="198" spans="1:107" s="5" customFormat="1" ht="12.75"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399"/>
      <c r="AP198" s="399"/>
      <c r="AQ198" s="94"/>
      <c r="AR198" s="94"/>
      <c r="AS198" s="94"/>
      <c r="AT198" s="94"/>
      <c r="AU198" s="94"/>
      <c r="AV198" s="98"/>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684"/>
      <c r="CB198" s="684"/>
      <c r="CC198" s="684"/>
      <c r="CD198" s="684"/>
      <c r="CE198" s="684"/>
      <c r="CF198" s="684"/>
      <c r="CG198" s="684"/>
      <c r="CH198" s="684"/>
      <c r="CI198" s="684"/>
      <c r="CJ198" s="684"/>
      <c r="CK198" s="684"/>
      <c r="CL198" s="684"/>
      <c r="CM198" s="684"/>
      <c r="CN198" s="684"/>
      <c r="CO198" s="684"/>
      <c r="CP198" s="684"/>
      <c r="CQ198" s="684"/>
      <c r="CR198" s="684"/>
      <c r="CS198" s="684"/>
      <c r="CT198" s="684"/>
      <c r="CU198" s="684"/>
      <c r="CV198" s="684"/>
      <c r="CW198" s="684"/>
      <c r="CX198" s="684"/>
      <c r="CY198" s="684"/>
      <c r="CZ198" s="684"/>
      <c r="DA198" s="684"/>
      <c r="DB198" s="684"/>
      <c r="DC198" s="684"/>
    </row>
    <row r="199" spans="1:107" s="5" customFormat="1" ht="12.75" customHeight="1">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399"/>
      <c r="AP199" s="399"/>
      <c r="AQ199" s="94"/>
      <c r="AR199" s="94"/>
      <c r="AS199" s="94"/>
      <c r="AT199" s="94"/>
      <c r="AU199" s="94"/>
      <c r="AV199" s="98"/>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684"/>
      <c r="CB199" s="684"/>
      <c r="CC199" s="684"/>
      <c r="CD199" s="684"/>
      <c r="CE199" s="684"/>
      <c r="CF199" s="684"/>
      <c r="CG199" s="684"/>
      <c r="CH199" s="684"/>
      <c r="CI199" s="684"/>
      <c r="CJ199" s="684"/>
      <c r="CK199" s="684"/>
      <c r="CL199" s="684"/>
      <c r="CM199" s="684"/>
      <c r="CN199" s="684"/>
      <c r="CO199" s="684"/>
      <c r="CP199" s="684"/>
      <c r="CQ199" s="684"/>
      <c r="CR199" s="684"/>
      <c r="CS199" s="684"/>
      <c r="CT199" s="684"/>
      <c r="CU199" s="684"/>
      <c r="CV199" s="684"/>
      <c r="CW199" s="684"/>
      <c r="CX199" s="684"/>
      <c r="CY199" s="684"/>
      <c r="CZ199" s="684"/>
      <c r="DA199" s="684"/>
      <c r="DB199" s="684"/>
      <c r="DC199" s="684"/>
    </row>
    <row r="200" spans="1:107" s="5" customFormat="1" ht="12.75" customHeight="1">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399"/>
      <c r="AP200" s="399"/>
      <c r="AQ200" s="94"/>
      <c r="AR200" s="94"/>
      <c r="AS200" s="94"/>
      <c r="AT200" s="94"/>
      <c r="AU200" s="94"/>
      <c r="AV200" s="98"/>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684"/>
      <c r="CB200" s="684"/>
      <c r="CC200" s="684"/>
      <c r="CD200" s="684"/>
      <c r="CE200" s="684"/>
      <c r="CF200" s="684"/>
      <c r="CG200" s="684"/>
      <c r="CH200" s="684"/>
      <c r="CI200" s="684"/>
      <c r="CJ200" s="684"/>
      <c r="CK200" s="684"/>
      <c r="CL200" s="684"/>
      <c r="CM200" s="684"/>
      <c r="CN200" s="684"/>
      <c r="CO200" s="684"/>
      <c r="CP200" s="684"/>
      <c r="CQ200" s="684"/>
      <c r="CR200" s="684"/>
      <c r="CS200" s="684"/>
      <c r="CT200" s="684"/>
      <c r="CU200" s="684"/>
      <c r="CV200" s="684"/>
      <c r="CW200" s="684"/>
      <c r="CX200" s="684"/>
      <c r="CY200" s="684"/>
      <c r="CZ200" s="684"/>
      <c r="DA200" s="684"/>
      <c r="DB200" s="684"/>
      <c r="DC200" s="684"/>
    </row>
    <row r="201" spans="1:107" s="5" customFormat="1" ht="12.75"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399"/>
      <c r="AP201" s="399"/>
      <c r="AQ201" s="94"/>
      <c r="AR201" s="94"/>
      <c r="AS201" s="94"/>
      <c r="AT201" s="94"/>
      <c r="AU201" s="94"/>
      <c r="AV201" s="98"/>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684"/>
      <c r="CB201" s="684"/>
      <c r="CC201" s="684"/>
      <c r="CD201" s="684"/>
      <c r="CE201" s="684"/>
      <c r="CF201" s="684"/>
      <c r="CG201" s="684"/>
      <c r="CH201" s="684"/>
      <c r="CI201" s="684"/>
      <c r="CJ201" s="684"/>
      <c r="CK201" s="684"/>
      <c r="CL201" s="684"/>
      <c r="CM201" s="684"/>
      <c r="CN201" s="684"/>
      <c r="CO201" s="684"/>
      <c r="CP201" s="684"/>
      <c r="CQ201" s="684"/>
      <c r="CR201" s="684"/>
      <c r="CS201" s="684"/>
      <c r="CT201" s="684"/>
      <c r="CU201" s="684"/>
      <c r="CV201" s="684"/>
      <c r="CW201" s="684"/>
      <c r="CX201" s="684"/>
      <c r="CY201" s="684"/>
      <c r="CZ201" s="684"/>
      <c r="DA201" s="684"/>
      <c r="DB201" s="684"/>
      <c r="DC201" s="684"/>
    </row>
    <row r="202" spans="1:107" s="5" customFormat="1" ht="12.75" customHeight="1">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399"/>
      <c r="AP202" s="399"/>
      <c r="AQ202" s="94"/>
      <c r="AR202" s="94"/>
      <c r="AS202" s="94"/>
      <c r="AT202" s="94"/>
      <c r="AU202" s="94"/>
      <c r="AV202" s="98"/>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684"/>
      <c r="CB202" s="684"/>
      <c r="CC202" s="684"/>
      <c r="CD202" s="684"/>
      <c r="CE202" s="684"/>
      <c r="CF202" s="684"/>
      <c r="CG202" s="684"/>
      <c r="CH202" s="684"/>
      <c r="CI202" s="684"/>
      <c r="CJ202" s="684"/>
      <c r="CK202" s="684"/>
      <c r="CL202" s="684"/>
      <c r="CM202" s="684"/>
      <c r="CN202" s="684"/>
      <c r="CO202" s="684"/>
      <c r="CP202" s="684"/>
      <c r="CQ202" s="684"/>
      <c r="CR202" s="684"/>
      <c r="CS202" s="684"/>
      <c r="CT202" s="684"/>
      <c r="CU202" s="684"/>
      <c r="CV202" s="684"/>
      <c r="CW202" s="684"/>
      <c r="CX202" s="684"/>
      <c r="CY202" s="684"/>
      <c r="CZ202" s="684"/>
      <c r="DA202" s="684"/>
      <c r="DB202" s="684"/>
      <c r="DC202" s="684"/>
    </row>
    <row r="203" spans="1:107" s="5" customFormat="1" ht="12.75" customHeight="1">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399"/>
      <c r="AP203" s="399"/>
      <c r="AQ203" s="94"/>
      <c r="AR203" s="94"/>
      <c r="AS203" s="94"/>
      <c r="AT203" s="94"/>
      <c r="AU203" s="94"/>
      <c r="AV203" s="98"/>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684"/>
      <c r="CB203" s="684"/>
      <c r="CC203" s="684"/>
      <c r="CD203" s="684"/>
      <c r="CE203" s="684"/>
      <c r="CF203" s="684"/>
      <c r="CG203" s="684"/>
      <c r="CH203" s="684"/>
      <c r="CI203" s="684"/>
      <c r="CJ203" s="684"/>
      <c r="CK203" s="684"/>
      <c r="CL203" s="684"/>
      <c r="CM203" s="684"/>
      <c r="CN203" s="684"/>
      <c r="CO203" s="684"/>
      <c r="CP203" s="684"/>
      <c r="CQ203" s="684"/>
      <c r="CR203" s="684"/>
      <c r="CS203" s="684"/>
      <c r="CT203" s="684"/>
      <c r="CU203" s="684"/>
      <c r="CV203" s="684"/>
      <c r="CW203" s="684"/>
      <c r="CX203" s="684"/>
      <c r="CY203" s="684"/>
      <c r="CZ203" s="684"/>
      <c r="DA203" s="684"/>
      <c r="DB203" s="684"/>
      <c r="DC203" s="684"/>
    </row>
    <row r="204" spans="1:107" s="5" customFormat="1" ht="12.75"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399"/>
      <c r="AP204" s="399"/>
      <c r="AQ204" s="94"/>
      <c r="AR204" s="94"/>
      <c r="AS204" s="94"/>
      <c r="AT204" s="94"/>
      <c r="AU204" s="94"/>
      <c r="AV204" s="98"/>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684"/>
      <c r="CB204" s="684"/>
      <c r="CC204" s="684"/>
      <c r="CD204" s="684"/>
      <c r="CE204" s="684"/>
      <c r="CF204" s="684"/>
      <c r="CG204" s="684"/>
      <c r="CH204" s="684"/>
      <c r="CI204" s="684"/>
      <c r="CJ204" s="684"/>
      <c r="CK204" s="684"/>
      <c r="CL204" s="684"/>
      <c r="CM204" s="684"/>
      <c r="CN204" s="684"/>
      <c r="CO204" s="684"/>
      <c r="CP204" s="684"/>
      <c r="CQ204" s="684"/>
      <c r="CR204" s="684"/>
      <c r="CS204" s="684"/>
      <c r="CT204" s="684"/>
      <c r="CU204" s="684"/>
      <c r="CV204" s="684"/>
      <c r="CW204" s="684"/>
      <c r="CX204" s="684"/>
      <c r="CY204" s="684"/>
      <c r="CZ204" s="684"/>
      <c r="DA204" s="684"/>
      <c r="DB204" s="684"/>
      <c r="DC204" s="684"/>
    </row>
    <row r="205" spans="1:107" s="5" customFormat="1" ht="12.75" customHeight="1">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399"/>
      <c r="AP205" s="399"/>
      <c r="AQ205" s="94"/>
      <c r="AR205" s="94"/>
      <c r="AS205" s="94"/>
      <c r="AT205" s="94"/>
      <c r="AU205" s="94"/>
      <c r="AV205" s="98"/>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684"/>
      <c r="CB205" s="684"/>
      <c r="CC205" s="684"/>
      <c r="CD205" s="684"/>
      <c r="CE205" s="684"/>
      <c r="CF205" s="684"/>
      <c r="CG205" s="684"/>
      <c r="CH205" s="684"/>
      <c r="CI205" s="684"/>
      <c r="CJ205" s="684"/>
      <c r="CK205" s="684"/>
      <c r="CL205" s="684"/>
      <c r="CM205" s="684"/>
      <c r="CN205" s="684"/>
      <c r="CO205" s="684"/>
      <c r="CP205" s="684"/>
      <c r="CQ205" s="684"/>
      <c r="CR205" s="684"/>
      <c r="CS205" s="684"/>
      <c r="CT205" s="684"/>
      <c r="CU205" s="684"/>
      <c r="CV205" s="684"/>
      <c r="CW205" s="684"/>
      <c r="CX205" s="684"/>
      <c r="CY205" s="684"/>
      <c r="CZ205" s="684"/>
      <c r="DA205" s="684"/>
      <c r="DB205" s="684"/>
      <c r="DC205" s="684"/>
    </row>
    <row r="206" spans="1:107" s="5" customFormat="1" ht="12.75" customHeight="1">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399"/>
      <c r="AP206" s="399"/>
      <c r="AQ206" s="94"/>
      <c r="AR206" s="94"/>
      <c r="AS206" s="94"/>
      <c r="AT206" s="94"/>
      <c r="AU206" s="94"/>
      <c r="AV206" s="98"/>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94"/>
      <c r="BU206" s="94"/>
      <c r="BV206" s="94"/>
      <c r="BW206" s="94"/>
      <c r="BX206" s="94"/>
      <c r="BY206" s="94"/>
      <c r="BZ206" s="94"/>
      <c r="CA206" s="684"/>
      <c r="CB206" s="684"/>
      <c r="CC206" s="684"/>
      <c r="CD206" s="684"/>
      <c r="CE206" s="684"/>
      <c r="CF206" s="684"/>
      <c r="CG206" s="684"/>
      <c r="CH206" s="684"/>
      <c r="CI206" s="684"/>
      <c r="CJ206" s="684"/>
      <c r="CK206" s="684"/>
      <c r="CL206" s="684"/>
      <c r="CM206" s="684"/>
      <c r="CN206" s="684"/>
      <c r="CO206" s="684"/>
      <c r="CP206" s="684"/>
      <c r="CQ206" s="684"/>
      <c r="CR206" s="684"/>
      <c r="CS206" s="684"/>
      <c r="CT206" s="684"/>
      <c r="CU206" s="684"/>
      <c r="CV206" s="684"/>
      <c r="CW206" s="684"/>
      <c r="CX206" s="684"/>
      <c r="CY206" s="684"/>
      <c r="CZ206" s="684"/>
      <c r="DA206" s="684"/>
      <c r="DB206" s="684"/>
      <c r="DC206" s="684"/>
    </row>
    <row r="207" spans="1:107" s="5" customFormat="1" ht="12.75"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399"/>
      <c r="AP207" s="399"/>
      <c r="AQ207" s="94"/>
      <c r="AR207" s="94"/>
      <c r="AS207" s="94"/>
      <c r="AT207" s="94"/>
      <c r="AU207" s="94"/>
      <c r="AV207" s="98"/>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A207" s="684"/>
      <c r="CB207" s="684"/>
      <c r="CC207" s="684"/>
      <c r="CD207" s="684"/>
      <c r="CE207" s="684"/>
      <c r="CF207" s="684"/>
      <c r="CG207" s="684"/>
      <c r="CH207" s="684"/>
      <c r="CI207" s="684"/>
      <c r="CJ207" s="684"/>
      <c r="CK207" s="684"/>
      <c r="CL207" s="684"/>
      <c r="CM207" s="684"/>
      <c r="CN207" s="684"/>
      <c r="CO207" s="684"/>
      <c r="CP207" s="684"/>
      <c r="CQ207" s="684"/>
      <c r="CR207" s="684"/>
      <c r="CS207" s="684"/>
      <c r="CT207" s="684"/>
      <c r="CU207" s="684"/>
      <c r="CV207" s="684"/>
      <c r="CW207" s="684"/>
      <c r="CX207" s="684"/>
      <c r="CY207" s="684"/>
      <c r="CZ207" s="684"/>
      <c r="DA207" s="684"/>
      <c r="DB207" s="684"/>
      <c r="DC207" s="684"/>
    </row>
    <row r="208" spans="1:107" s="5" customFormat="1" ht="12.75" customHeight="1">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399"/>
      <c r="AP208" s="399"/>
      <c r="AQ208" s="94"/>
      <c r="AR208" s="94"/>
      <c r="AS208" s="94"/>
      <c r="AT208" s="94"/>
      <c r="AU208" s="94"/>
      <c r="AV208" s="98"/>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684"/>
      <c r="CB208" s="684"/>
      <c r="CC208" s="684"/>
      <c r="CD208" s="684"/>
      <c r="CE208" s="684"/>
      <c r="CF208" s="684"/>
      <c r="CG208" s="684"/>
      <c r="CH208" s="684"/>
      <c r="CI208" s="684"/>
      <c r="CJ208" s="684"/>
      <c r="CK208" s="684"/>
      <c r="CL208" s="684"/>
      <c r="CM208" s="684"/>
      <c r="CN208" s="684"/>
      <c r="CO208" s="684"/>
      <c r="CP208" s="684"/>
      <c r="CQ208" s="684"/>
      <c r="CR208" s="684"/>
      <c r="CS208" s="684"/>
      <c r="CT208" s="684"/>
      <c r="CU208" s="684"/>
      <c r="CV208" s="684"/>
      <c r="CW208" s="684"/>
      <c r="CX208" s="684"/>
      <c r="CY208" s="684"/>
      <c r="CZ208" s="684"/>
      <c r="DA208" s="684"/>
      <c r="DB208" s="684"/>
      <c r="DC208" s="684"/>
    </row>
    <row r="209" spans="1:107" s="5" customFormat="1" ht="12.75" customHeight="1">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399"/>
      <c r="AP209" s="399"/>
      <c r="AQ209" s="94"/>
      <c r="AR209" s="94"/>
      <c r="AS209" s="94"/>
      <c r="AT209" s="94"/>
      <c r="AU209" s="94"/>
      <c r="AV209" s="98"/>
      <c r="AW209" s="94"/>
      <c r="AX209" s="94"/>
      <c r="AY209" s="94"/>
      <c r="AZ209" s="94"/>
      <c r="BA209" s="94"/>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684"/>
      <c r="CB209" s="684"/>
      <c r="CC209" s="684"/>
      <c r="CD209" s="684"/>
      <c r="CE209" s="684"/>
      <c r="CF209" s="684"/>
      <c r="CG209" s="684"/>
      <c r="CH209" s="684"/>
      <c r="CI209" s="684"/>
      <c r="CJ209" s="684"/>
      <c r="CK209" s="684"/>
      <c r="CL209" s="684"/>
      <c r="CM209" s="684"/>
      <c r="CN209" s="684"/>
      <c r="CO209" s="684"/>
      <c r="CP209" s="684"/>
      <c r="CQ209" s="684"/>
      <c r="CR209" s="684"/>
      <c r="CS209" s="684"/>
      <c r="CT209" s="684"/>
      <c r="CU209" s="684"/>
      <c r="CV209" s="684"/>
      <c r="CW209" s="684"/>
      <c r="CX209" s="684"/>
      <c r="CY209" s="684"/>
      <c r="CZ209" s="684"/>
      <c r="DA209" s="684"/>
      <c r="DB209" s="684"/>
      <c r="DC209" s="684"/>
    </row>
    <row r="210" spans="1:107" s="5" customFormat="1" ht="12.75" customHeight="1">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399"/>
      <c r="AP210" s="399"/>
      <c r="AQ210" s="94"/>
      <c r="AR210" s="94"/>
      <c r="AS210" s="94"/>
      <c r="AT210" s="94"/>
      <c r="AU210" s="94"/>
      <c r="AV210" s="98"/>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c r="CA210" s="684"/>
      <c r="CB210" s="684"/>
      <c r="CC210" s="684"/>
      <c r="CD210" s="684"/>
      <c r="CE210" s="684"/>
      <c r="CF210" s="684"/>
      <c r="CG210" s="684"/>
      <c r="CH210" s="684"/>
      <c r="CI210" s="684"/>
      <c r="CJ210" s="684"/>
      <c r="CK210" s="684"/>
      <c r="CL210" s="684"/>
      <c r="CM210" s="684"/>
      <c r="CN210" s="684"/>
      <c r="CO210" s="684"/>
      <c r="CP210" s="684"/>
      <c r="CQ210" s="684"/>
      <c r="CR210" s="684"/>
      <c r="CS210" s="684"/>
      <c r="CT210" s="684"/>
      <c r="CU210" s="684"/>
      <c r="CV210" s="684"/>
      <c r="CW210" s="684"/>
      <c r="CX210" s="684"/>
      <c r="CY210" s="684"/>
      <c r="CZ210" s="684"/>
      <c r="DA210" s="684"/>
      <c r="DB210" s="684"/>
      <c r="DC210" s="684"/>
    </row>
    <row r="211" spans="1:107" s="5" customFormat="1" ht="12.75" customHeight="1">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399"/>
      <c r="AP211" s="399"/>
      <c r="AQ211" s="94"/>
      <c r="AR211" s="94"/>
      <c r="AS211" s="94"/>
      <c r="AT211" s="94"/>
      <c r="AU211" s="94"/>
      <c r="AV211" s="98"/>
      <c r="AW211" s="94"/>
      <c r="AX211" s="94"/>
      <c r="AY211" s="94"/>
      <c r="AZ211" s="94"/>
      <c r="BA211" s="94"/>
      <c r="BB211" s="94"/>
      <c r="BC211" s="94"/>
      <c r="BD211" s="94"/>
      <c r="BE211" s="94"/>
      <c r="BF211" s="94"/>
      <c r="BG211" s="94"/>
      <c r="BH211" s="94"/>
      <c r="BI211" s="94"/>
      <c r="BJ211" s="94"/>
      <c r="BK211" s="94"/>
      <c r="BL211" s="94"/>
      <c r="BM211" s="94"/>
      <c r="BN211" s="94"/>
      <c r="BO211" s="94"/>
      <c r="BP211" s="94"/>
      <c r="BQ211" s="94"/>
      <c r="BR211" s="94"/>
      <c r="BS211" s="94"/>
      <c r="BT211" s="94"/>
      <c r="BU211" s="94"/>
      <c r="BV211" s="94"/>
      <c r="BW211" s="94"/>
      <c r="BX211" s="94"/>
      <c r="BY211" s="94"/>
      <c r="BZ211" s="94"/>
      <c r="CA211" s="684"/>
      <c r="CB211" s="684"/>
      <c r="CC211" s="684"/>
      <c r="CD211" s="684"/>
      <c r="CE211" s="684"/>
      <c r="CF211" s="684"/>
      <c r="CG211" s="684"/>
      <c r="CH211" s="684"/>
      <c r="CI211" s="684"/>
      <c r="CJ211" s="684"/>
      <c r="CK211" s="684"/>
      <c r="CL211" s="684"/>
      <c r="CM211" s="684"/>
      <c r="CN211" s="684"/>
      <c r="CO211" s="684"/>
      <c r="CP211" s="684"/>
      <c r="CQ211" s="684"/>
      <c r="CR211" s="684"/>
      <c r="CS211" s="684"/>
      <c r="CT211" s="684"/>
      <c r="CU211" s="684"/>
      <c r="CV211" s="684"/>
      <c r="CW211" s="684"/>
      <c r="CX211" s="684"/>
      <c r="CY211" s="684"/>
      <c r="CZ211" s="684"/>
      <c r="DA211" s="684"/>
      <c r="DB211" s="684"/>
      <c r="DC211" s="684"/>
    </row>
    <row r="212" spans="1:107" s="5" customFormat="1" ht="12.75" customHeight="1">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399"/>
      <c r="AP212" s="399"/>
      <c r="AQ212" s="94"/>
      <c r="AR212" s="94"/>
      <c r="AS212" s="94"/>
      <c r="AT212" s="94"/>
      <c r="AU212" s="94"/>
      <c r="AV212" s="98"/>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684"/>
      <c r="CB212" s="684"/>
      <c r="CC212" s="684"/>
      <c r="CD212" s="684"/>
      <c r="CE212" s="684"/>
      <c r="CF212" s="684"/>
      <c r="CG212" s="684"/>
      <c r="CH212" s="684"/>
      <c r="CI212" s="684"/>
      <c r="CJ212" s="684"/>
      <c r="CK212" s="684"/>
      <c r="CL212" s="684"/>
      <c r="CM212" s="684"/>
      <c r="CN212" s="684"/>
      <c r="CO212" s="684"/>
      <c r="CP212" s="684"/>
      <c r="CQ212" s="684"/>
      <c r="CR212" s="684"/>
      <c r="CS212" s="684"/>
      <c r="CT212" s="684"/>
      <c r="CU212" s="684"/>
      <c r="CV212" s="684"/>
      <c r="CW212" s="684"/>
      <c r="CX212" s="684"/>
      <c r="CY212" s="684"/>
      <c r="CZ212" s="684"/>
      <c r="DA212" s="684"/>
      <c r="DB212" s="684"/>
      <c r="DC212" s="684"/>
    </row>
    <row r="213" spans="1:107" s="5" customFormat="1" ht="12.75" customHeight="1">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399"/>
      <c r="AP213" s="399"/>
      <c r="AQ213" s="94"/>
      <c r="AR213" s="94"/>
      <c r="AS213" s="94"/>
      <c r="AT213" s="94"/>
      <c r="AU213" s="94"/>
      <c r="AV213" s="98"/>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684"/>
      <c r="CB213" s="684"/>
      <c r="CC213" s="684"/>
      <c r="CD213" s="684"/>
      <c r="CE213" s="684"/>
      <c r="CF213" s="684"/>
      <c r="CG213" s="684"/>
      <c r="CH213" s="684"/>
      <c r="CI213" s="684"/>
      <c r="CJ213" s="684"/>
      <c r="CK213" s="684"/>
      <c r="CL213" s="684"/>
      <c r="CM213" s="684"/>
      <c r="CN213" s="684"/>
      <c r="CO213" s="684"/>
      <c r="CP213" s="684"/>
      <c r="CQ213" s="684"/>
      <c r="CR213" s="684"/>
      <c r="CS213" s="684"/>
      <c r="CT213" s="684"/>
      <c r="CU213" s="684"/>
      <c r="CV213" s="684"/>
      <c r="CW213" s="684"/>
      <c r="CX213" s="684"/>
      <c r="CY213" s="684"/>
      <c r="CZ213" s="684"/>
      <c r="DA213" s="684"/>
      <c r="DB213" s="684"/>
      <c r="DC213" s="684"/>
    </row>
    <row r="214" spans="1:107" s="5" customFormat="1" ht="12.75" customHeight="1">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399"/>
      <c r="AP214" s="399"/>
      <c r="AQ214" s="94"/>
      <c r="AR214" s="94"/>
      <c r="AS214" s="94"/>
      <c r="AT214" s="94"/>
      <c r="AU214" s="94"/>
      <c r="AV214" s="98"/>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684"/>
      <c r="CB214" s="684"/>
      <c r="CC214" s="684"/>
      <c r="CD214" s="684"/>
      <c r="CE214" s="684"/>
      <c r="CF214" s="684"/>
      <c r="CG214" s="684"/>
      <c r="CH214" s="684"/>
      <c r="CI214" s="684"/>
      <c r="CJ214" s="684"/>
      <c r="CK214" s="684"/>
      <c r="CL214" s="684"/>
      <c r="CM214" s="684"/>
      <c r="CN214" s="684"/>
      <c r="CO214" s="684"/>
      <c r="CP214" s="684"/>
      <c r="CQ214" s="684"/>
      <c r="CR214" s="684"/>
      <c r="CS214" s="684"/>
      <c r="CT214" s="684"/>
      <c r="CU214" s="684"/>
      <c r="CV214" s="684"/>
      <c r="CW214" s="684"/>
      <c r="CX214" s="684"/>
      <c r="CY214" s="684"/>
      <c r="CZ214" s="684"/>
      <c r="DA214" s="684"/>
      <c r="DB214" s="684"/>
      <c r="DC214" s="684"/>
    </row>
    <row r="215" spans="1:107" s="5" customFormat="1" ht="12.75" customHeight="1">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399"/>
      <c r="AP215" s="399"/>
      <c r="AQ215" s="94"/>
      <c r="AR215" s="94"/>
      <c r="AS215" s="94"/>
      <c r="AT215" s="94"/>
      <c r="AU215" s="94"/>
      <c r="AV215" s="98"/>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684"/>
      <c r="CB215" s="684"/>
      <c r="CC215" s="684"/>
      <c r="CD215" s="684"/>
      <c r="CE215" s="684"/>
      <c r="CF215" s="684"/>
      <c r="CG215" s="684"/>
      <c r="CH215" s="684"/>
      <c r="CI215" s="684"/>
      <c r="CJ215" s="684"/>
      <c r="CK215" s="684"/>
      <c r="CL215" s="684"/>
      <c r="CM215" s="684"/>
      <c r="CN215" s="684"/>
      <c r="CO215" s="684"/>
      <c r="CP215" s="684"/>
      <c r="CQ215" s="684"/>
      <c r="CR215" s="684"/>
      <c r="CS215" s="684"/>
      <c r="CT215" s="684"/>
      <c r="CU215" s="684"/>
      <c r="CV215" s="684"/>
      <c r="CW215" s="684"/>
      <c r="CX215" s="684"/>
      <c r="CY215" s="684"/>
      <c r="CZ215" s="684"/>
      <c r="DA215" s="684"/>
      <c r="DB215" s="684"/>
      <c r="DC215" s="684"/>
    </row>
    <row r="216" spans="1:107" s="5" customFormat="1" ht="13.5" customHeight="1">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8"/>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684"/>
      <c r="CB216" s="684"/>
      <c r="CC216" s="684"/>
      <c r="CD216" s="684"/>
      <c r="CE216" s="684"/>
      <c r="CF216" s="684"/>
      <c r="CG216" s="684"/>
      <c r="CH216" s="684"/>
      <c r="CI216" s="684"/>
      <c r="CJ216" s="684"/>
      <c r="CK216" s="684"/>
      <c r="CL216" s="684"/>
      <c r="CM216" s="684"/>
      <c r="CN216" s="684"/>
      <c r="CO216" s="684"/>
      <c r="CP216" s="684"/>
      <c r="CQ216" s="684"/>
      <c r="CR216" s="684"/>
      <c r="CS216" s="684"/>
      <c r="CT216" s="684"/>
      <c r="CU216" s="684"/>
      <c r="CV216" s="684"/>
      <c r="CW216" s="684"/>
      <c r="CX216" s="684"/>
      <c r="CY216" s="684"/>
      <c r="CZ216" s="684"/>
      <c r="DA216" s="684"/>
      <c r="DB216" s="684"/>
      <c r="DC216" s="684"/>
    </row>
    <row r="217" spans="1:107" s="5" customFormat="1" ht="20.25">
      <c r="A217" s="1"/>
      <c r="B217" s="16" t="str">
        <f t="shared" ref="B217:B247" si="29">IF(B1="","",B1)</f>
        <v>Multifamily (5 units or more per building)</v>
      </c>
      <c r="C217" s="16"/>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7" t="s">
        <v>102</v>
      </c>
      <c r="AJ217" s="1"/>
      <c r="AK217" s="94"/>
      <c r="AL217" s="98"/>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684"/>
      <c r="CB217" s="684"/>
      <c r="CC217" s="684"/>
      <c r="CD217" s="684"/>
      <c r="CE217" s="684"/>
      <c r="CF217" s="684"/>
      <c r="CG217" s="684"/>
      <c r="CH217" s="684"/>
      <c r="CI217" s="684"/>
      <c r="CJ217" s="684"/>
      <c r="CK217" s="684"/>
      <c r="CL217" s="684"/>
      <c r="CM217" s="684"/>
      <c r="CN217" s="684"/>
      <c r="CO217" s="684"/>
      <c r="CP217" s="684"/>
      <c r="CQ217" s="684"/>
      <c r="CR217" s="684"/>
      <c r="CS217" s="684"/>
      <c r="CT217" s="684"/>
      <c r="CU217" s="684"/>
      <c r="CV217" s="684"/>
      <c r="CW217" s="684"/>
      <c r="CX217" s="684"/>
      <c r="CY217" s="684"/>
      <c r="CZ217" s="684"/>
      <c r="DA217" s="684"/>
      <c r="DB217" s="684"/>
      <c r="DC217" s="684"/>
    </row>
    <row r="218" spans="1:107" s="5" customFormat="1" ht="18">
      <c r="A218" s="1"/>
      <c r="B218" s="18" t="str">
        <f t="shared" si="29"/>
        <v>Energy Efficiency Incentives</v>
      </c>
      <c r="C218" s="18"/>
      <c r="D218" s="3"/>
      <c r="E218" s="3"/>
      <c r="F218" s="3"/>
      <c r="G218" s="3"/>
      <c r="H218" s="3"/>
      <c r="I218" s="3"/>
      <c r="J218" s="3"/>
      <c r="K218" s="3"/>
      <c r="L218" s="3"/>
      <c r="M218" s="3"/>
      <c r="N218" s="3"/>
      <c r="O218" s="3"/>
      <c r="P218" s="3"/>
      <c r="Q218" s="3"/>
      <c r="R218" s="3"/>
      <c r="S218" s="3"/>
      <c r="T218" s="3"/>
      <c r="U218" s="3"/>
      <c r="V218" s="3"/>
      <c r="W218" s="3"/>
      <c r="X218" s="3"/>
      <c r="Y218" s="1"/>
      <c r="Z218" s="1"/>
      <c r="AA218" s="1"/>
      <c r="AB218" s="1"/>
      <c r="AC218" s="1"/>
      <c r="AD218" s="1"/>
      <c r="AE218" s="1"/>
      <c r="AF218" s="1"/>
      <c r="AG218" s="1"/>
      <c r="AH218" s="1"/>
      <c r="AI218" s="141" t="str">
        <f>AI1</f>
        <v>Effective November 1, 2023</v>
      </c>
      <c r="AJ218" s="1"/>
      <c r="AK218" s="94"/>
      <c r="AL218" s="98"/>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684"/>
      <c r="CB218" s="684"/>
      <c r="CC218" s="684"/>
      <c r="CD218" s="684"/>
      <c r="CE218" s="684"/>
      <c r="CF218" s="684"/>
      <c r="CG218" s="684"/>
      <c r="CH218" s="684"/>
      <c r="CI218" s="684"/>
      <c r="CJ218" s="684"/>
      <c r="CK218" s="684"/>
      <c r="CL218" s="684"/>
      <c r="CM218" s="684"/>
      <c r="CN218" s="684"/>
      <c r="CO218" s="684"/>
      <c r="CP218" s="684"/>
      <c r="CQ218" s="684"/>
      <c r="CR218" s="684"/>
      <c r="CS218" s="684"/>
      <c r="CT218" s="684"/>
      <c r="CU218" s="684"/>
      <c r="CV218" s="684"/>
      <c r="CW218" s="684"/>
      <c r="CX218" s="684"/>
      <c r="CY218" s="684"/>
      <c r="CZ218" s="684"/>
      <c r="DA218" s="684"/>
      <c r="DB218" s="684"/>
      <c r="DC218" s="684"/>
    </row>
    <row r="219" spans="1:107" s="5" customFormat="1" ht="18">
      <c r="A219" s="1"/>
      <c r="B219" s="67" t="str">
        <f t="shared" si="29"/>
        <v>Retrofits Worksheet</v>
      </c>
      <c r="C219" s="18"/>
      <c r="D219" s="3"/>
      <c r="E219" s="3"/>
      <c r="F219" s="3"/>
      <c r="G219" s="3"/>
      <c r="H219" s="3"/>
      <c r="I219" s="3"/>
      <c r="J219" s="3"/>
      <c r="K219" s="3"/>
      <c r="L219" s="3"/>
      <c r="M219" s="3"/>
      <c r="N219" s="3"/>
      <c r="O219" s="3"/>
      <c r="P219" s="3"/>
      <c r="Q219" s="3"/>
      <c r="R219" s="3"/>
      <c r="S219" s="3"/>
      <c r="T219" s="3"/>
      <c r="U219" s="3"/>
      <c r="V219" s="3"/>
      <c r="W219" s="3"/>
      <c r="X219" s="3"/>
      <c r="Y219" s="3"/>
      <c r="Z219" s="1"/>
      <c r="AA219" s="1"/>
      <c r="AB219" s="1"/>
      <c r="AC219" s="1"/>
      <c r="AD219" s="1"/>
      <c r="AE219" s="1"/>
      <c r="AF219" s="1"/>
      <c r="AG219" s="1"/>
      <c r="AH219" s="1"/>
      <c r="AI219" s="1"/>
      <c r="AJ219" s="1"/>
      <c r="AK219" s="94"/>
      <c r="AL219" s="98"/>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684"/>
      <c r="CB219" s="684"/>
      <c r="CC219" s="684"/>
      <c r="CD219" s="684"/>
      <c r="CE219" s="684"/>
      <c r="CF219" s="684"/>
      <c r="CG219" s="684"/>
      <c r="CH219" s="684"/>
      <c r="CI219" s="684"/>
      <c r="CJ219" s="684"/>
      <c r="CK219" s="684"/>
      <c r="CL219" s="684"/>
      <c r="CM219" s="684"/>
      <c r="CN219" s="684"/>
      <c r="CO219" s="684"/>
      <c r="CP219" s="684"/>
      <c r="CQ219" s="684"/>
      <c r="CR219" s="684"/>
      <c r="CS219" s="684"/>
      <c r="CT219" s="684"/>
      <c r="CU219" s="684"/>
      <c r="CV219" s="684"/>
      <c r="CW219" s="684"/>
      <c r="CX219" s="684"/>
      <c r="CY219" s="684"/>
      <c r="CZ219" s="684"/>
      <c r="DA219" s="684"/>
      <c r="DB219" s="684"/>
      <c r="DC219" s="684"/>
    </row>
    <row r="220" spans="1:107" s="5" customFormat="1" ht="15.75">
      <c r="A220" s="1"/>
      <c r="B220" s="80" t="str">
        <f t="shared" si="29"/>
        <v>For retrofit projects replacing existing equipment</v>
      </c>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1"/>
      <c r="AA220" s="1"/>
      <c r="AB220" s="1"/>
      <c r="AC220" s="1"/>
      <c r="AD220" s="1"/>
      <c r="AE220" s="1"/>
      <c r="AF220" s="1"/>
      <c r="AG220" s="1"/>
      <c r="AH220" s="1"/>
      <c r="AI220" s="1"/>
      <c r="AJ220" s="1"/>
      <c r="AK220" s="94"/>
      <c r="AL220" s="98"/>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684"/>
      <c r="CB220" s="684"/>
      <c r="CC220" s="684"/>
      <c r="CD220" s="684"/>
      <c r="CE220" s="684"/>
      <c r="CF220" s="684"/>
      <c r="CG220" s="684"/>
      <c r="CH220" s="684"/>
      <c r="CI220" s="684"/>
      <c r="CJ220" s="684"/>
      <c r="CK220" s="684"/>
      <c r="CL220" s="684"/>
      <c r="CM220" s="684"/>
      <c r="CN220" s="684"/>
      <c r="CO220" s="684"/>
      <c r="CP220" s="684"/>
      <c r="CQ220" s="684"/>
      <c r="CR220" s="684"/>
      <c r="CS220" s="684"/>
      <c r="CT220" s="684"/>
      <c r="CU220" s="684"/>
      <c r="CV220" s="684"/>
      <c r="CW220" s="684"/>
      <c r="CX220" s="684"/>
      <c r="CY220" s="684"/>
      <c r="CZ220" s="684"/>
      <c r="DA220" s="684"/>
      <c r="DB220" s="684"/>
      <c r="DC220" s="684"/>
    </row>
    <row r="221" spans="1:107" s="5" customFormat="1" ht="12.75" customHeight="1">
      <c r="A221" s="1"/>
      <c r="B221" s="9" t="str">
        <f t="shared" si="29"/>
        <v>For question regarding this worksheet, please contact Idaho Power by emailing multifamily@idahopower.com</v>
      </c>
      <c r="C221" s="1"/>
      <c r="D221" s="1"/>
      <c r="E221" s="4"/>
      <c r="F221" s="4"/>
      <c r="G221" s="4"/>
      <c r="H221" s="4"/>
      <c r="I221" s="4"/>
      <c r="J221" s="4"/>
      <c r="K221" s="4"/>
      <c r="L221" s="4"/>
      <c r="M221" s="4"/>
      <c r="N221" s="4"/>
      <c r="O221" s="4"/>
      <c r="P221" s="4"/>
      <c r="Q221" s="4"/>
      <c r="R221" s="1"/>
      <c r="S221" s="1"/>
      <c r="T221" s="1"/>
      <c r="U221" s="1"/>
      <c r="V221" s="1"/>
      <c r="W221" s="1"/>
      <c r="X221" s="1"/>
      <c r="Y221" s="142"/>
      <c r="Z221" s="1"/>
      <c r="AA221" s="1"/>
      <c r="AB221" s="1"/>
      <c r="AC221" s="1"/>
      <c r="AD221" s="1"/>
      <c r="AE221" s="1"/>
      <c r="AF221" s="1"/>
      <c r="AG221" s="1"/>
      <c r="AH221" s="1"/>
      <c r="AI221" s="232"/>
      <c r="AJ221" s="1"/>
      <c r="AK221" s="94"/>
      <c r="AL221" s="98"/>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684"/>
      <c r="CB221" s="684"/>
      <c r="CC221" s="684"/>
      <c r="CD221" s="684"/>
      <c r="CE221" s="684"/>
      <c r="CF221" s="684"/>
      <c r="CG221" s="684"/>
      <c r="CH221" s="684"/>
      <c r="CI221" s="684"/>
      <c r="CJ221" s="684"/>
      <c r="CK221" s="684"/>
      <c r="CL221" s="684"/>
      <c r="CM221" s="684"/>
      <c r="CN221" s="684"/>
      <c r="CO221" s="684"/>
      <c r="CP221" s="684"/>
      <c r="CQ221" s="684"/>
      <c r="CR221" s="684"/>
      <c r="CS221" s="684"/>
      <c r="CT221" s="684"/>
      <c r="CU221" s="684"/>
      <c r="CV221" s="684"/>
      <c r="CW221" s="684"/>
      <c r="CX221" s="684"/>
      <c r="CY221" s="684"/>
      <c r="CZ221" s="684"/>
      <c r="DA221" s="684"/>
      <c r="DB221" s="684"/>
      <c r="DC221" s="684"/>
    </row>
    <row r="222" spans="1:107" s="5" customFormat="1" ht="19.149999999999999" customHeight="1">
      <c r="A222" s="1"/>
      <c r="B222" s="18" t="str">
        <f t="shared" si="29"/>
        <v/>
      </c>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1"/>
      <c r="AK222" s="94"/>
      <c r="AL222" s="98"/>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684"/>
      <c r="CB222" s="684"/>
      <c r="CC222" s="684"/>
      <c r="CD222" s="684"/>
      <c r="CE222" s="684"/>
      <c r="CF222" s="684"/>
      <c r="CG222" s="684"/>
      <c r="CH222" s="684"/>
      <c r="CI222" s="684"/>
      <c r="CJ222" s="684"/>
      <c r="CK222" s="684"/>
      <c r="CL222" s="684"/>
      <c r="CM222" s="684"/>
      <c r="CN222" s="684"/>
      <c r="CO222" s="684"/>
      <c r="CP222" s="684"/>
      <c r="CQ222" s="684"/>
      <c r="CR222" s="684"/>
      <c r="CS222" s="684"/>
      <c r="CT222" s="684"/>
      <c r="CU222" s="684"/>
      <c r="CV222" s="684"/>
      <c r="CW222" s="684"/>
      <c r="CX222" s="684"/>
      <c r="CY222" s="684"/>
      <c r="CZ222" s="684"/>
      <c r="DA222" s="684"/>
      <c r="DB222" s="684"/>
      <c r="DC222" s="684"/>
    </row>
    <row r="223" spans="1:107" s="5" customFormat="1" ht="12.75" customHeight="1">
      <c r="A223" s="1"/>
      <c r="B223" s="625" t="str">
        <f t="shared" si="29"/>
        <v>Dwelling Unit Energy Efficiency Incentives for Retrofits</v>
      </c>
      <c r="C223" s="527"/>
      <c r="D223" s="527"/>
      <c r="E223" s="527"/>
      <c r="F223" s="527"/>
      <c r="G223" s="527"/>
      <c r="H223" s="527"/>
      <c r="I223" s="527"/>
      <c r="J223" s="527"/>
      <c r="K223" s="527"/>
      <c r="L223" s="527"/>
      <c r="M223" s="527"/>
      <c r="N223" s="527"/>
      <c r="O223" s="527"/>
      <c r="P223" s="527"/>
      <c r="Q223" s="527"/>
      <c r="R223" s="527"/>
      <c r="S223" s="527"/>
      <c r="T223" s="527"/>
      <c r="U223" s="527"/>
      <c r="V223" s="527"/>
      <c r="W223" s="527"/>
      <c r="X223" s="527"/>
      <c r="Y223" s="527"/>
      <c r="Z223" s="527"/>
      <c r="AA223" s="527"/>
      <c r="AB223" s="527"/>
      <c r="AC223" s="527"/>
      <c r="AD223" s="527"/>
      <c r="AE223" s="527"/>
      <c r="AF223" s="528"/>
      <c r="AG223" s="528"/>
      <c r="AH223" s="528"/>
      <c r="AI223" s="528"/>
      <c r="AJ223" s="1"/>
      <c r="AK223" s="94"/>
      <c r="AL223" s="98"/>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684"/>
      <c r="CB223" s="684"/>
      <c r="CC223" s="684"/>
      <c r="CD223" s="684"/>
      <c r="CE223" s="684"/>
      <c r="CF223" s="684"/>
      <c r="CG223" s="684"/>
      <c r="CH223" s="684"/>
      <c r="CI223" s="684"/>
      <c r="CJ223" s="684"/>
      <c r="CK223" s="684"/>
      <c r="CL223" s="684"/>
      <c r="CM223" s="684"/>
      <c r="CN223" s="684"/>
      <c r="CO223" s="684"/>
      <c r="CP223" s="684"/>
      <c r="CQ223" s="684"/>
      <c r="CR223" s="684"/>
      <c r="CS223" s="684"/>
      <c r="CT223" s="684"/>
      <c r="CU223" s="684"/>
      <c r="CV223" s="684"/>
      <c r="CW223" s="684"/>
      <c r="CX223" s="684"/>
      <c r="CY223" s="684"/>
      <c r="CZ223" s="684"/>
      <c r="DA223" s="684"/>
      <c r="DB223" s="684"/>
      <c r="DC223" s="684"/>
    </row>
    <row r="224" spans="1:107" s="5" customFormat="1" ht="12.75" customHeight="1">
      <c r="A224" s="1"/>
      <c r="B224" s="9" t="str">
        <f t="shared" si="29"/>
        <v/>
      </c>
      <c r="C224" s="9" t="str">
        <f t="shared" ref="C224:AI224" si="30">IF(C8="","",C8)</f>
        <v/>
      </c>
      <c r="D224" s="9" t="str">
        <f t="shared" si="30"/>
        <v/>
      </c>
      <c r="E224" s="9" t="str">
        <f t="shared" si="30"/>
        <v/>
      </c>
      <c r="F224" s="9" t="str">
        <f t="shared" si="30"/>
        <v/>
      </c>
      <c r="G224" s="9" t="str">
        <f t="shared" si="30"/>
        <v/>
      </c>
      <c r="H224" s="9" t="str">
        <f t="shared" si="30"/>
        <v/>
      </c>
      <c r="I224" s="9" t="str">
        <f t="shared" si="30"/>
        <v/>
      </c>
      <c r="J224" s="9" t="str">
        <f t="shared" si="30"/>
        <v/>
      </c>
      <c r="K224" s="9" t="str">
        <f t="shared" si="30"/>
        <v/>
      </c>
      <c r="L224" s="9" t="str">
        <f t="shared" si="30"/>
        <v/>
      </c>
      <c r="M224" s="9" t="str">
        <f t="shared" si="30"/>
        <v/>
      </c>
      <c r="N224" s="9" t="str">
        <f t="shared" si="30"/>
        <v/>
      </c>
      <c r="O224" s="9" t="str">
        <f t="shared" si="30"/>
        <v/>
      </c>
      <c r="P224" s="9" t="str">
        <f t="shared" si="30"/>
        <v/>
      </c>
      <c r="Q224" s="9" t="str">
        <f t="shared" si="30"/>
        <v/>
      </c>
      <c r="R224" s="9" t="str">
        <f t="shared" si="30"/>
        <v/>
      </c>
      <c r="S224" s="9" t="str">
        <f t="shared" si="30"/>
        <v/>
      </c>
      <c r="T224" s="9" t="str">
        <f t="shared" si="30"/>
        <v/>
      </c>
      <c r="U224" s="9" t="str">
        <f t="shared" si="30"/>
        <v/>
      </c>
      <c r="V224" s="9" t="str">
        <f t="shared" si="30"/>
        <v/>
      </c>
      <c r="W224" s="9" t="str">
        <f t="shared" si="30"/>
        <v/>
      </c>
      <c r="X224" s="9" t="str">
        <f t="shared" si="30"/>
        <v/>
      </c>
      <c r="Y224" s="9" t="str">
        <f t="shared" si="30"/>
        <v/>
      </c>
      <c r="Z224" s="9" t="str">
        <f t="shared" si="30"/>
        <v/>
      </c>
      <c r="AA224" s="9" t="str">
        <f t="shared" si="30"/>
        <v/>
      </c>
      <c r="AB224" s="9" t="str">
        <f t="shared" si="30"/>
        <v/>
      </c>
      <c r="AC224" s="9" t="str">
        <f t="shared" si="30"/>
        <v/>
      </c>
      <c r="AD224" s="9" t="str">
        <f t="shared" si="30"/>
        <v/>
      </c>
      <c r="AE224" s="9" t="str">
        <f t="shared" si="30"/>
        <v/>
      </c>
      <c r="AF224" s="9" t="str">
        <f t="shared" si="30"/>
        <v/>
      </c>
      <c r="AG224" s="9" t="str">
        <f t="shared" si="30"/>
        <v/>
      </c>
      <c r="AH224" s="9" t="str">
        <f t="shared" si="30"/>
        <v/>
      </c>
      <c r="AI224" s="9" t="str">
        <f t="shared" si="30"/>
        <v/>
      </c>
      <c r="AJ224" s="1"/>
      <c r="AK224" s="94"/>
      <c r="AL224" s="98"/>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684"/>
      <c r="CB224" s="684"/>
      <c r="CC224" s="684"/>
      <c r="CD224" s="684"/>
      <c r="CE224" s="684"/>
      <c r="CF224" s="684"/>
      <c r="CG224" s="684"/>
      <c r="CH224" s="684"/>
      <c r="CI224" s="684"/>
      <c r="CJ224" s="684"/>
      <c r="CK224" s="684"/>
      <c r="CL224" s="684"/>
      <c r="CM224" s="684"/>
      <c r="CN224" s="684"/>
      <c r="CO224" s="684"/>
      <c r="CP224" s="684"/>
      <c r="CQ224" s="684"/>
      <c r="CR224" s="684"/>
      <c r="CS224" s="684"/>
      <c r="CT224" s="684"/>
      <c r="CU224" s="684"/>
      <c r="CV224" s="684"/>
      <c r="CW224" s="684"/>
      <c r="CX224" s="684"/>
      <c r="CY224" s="684"/>
      <c r="CZ224" s="684"/>
      <c r="DA224" s="684"/>
      <c r="DB224" s="684"/>
      <c r="DC224" s="684"/>
    </row>
    <row r="225" spans="1:107" s="5" customFormat="1" ht="12.75" customHeight="1">
      <c r="A225" s="1"/>
      <c r="B225" s="240" t="str">
        <f t="shared" si="29"/>
        <v/>
      </c>
      <c r="C225" s="241" t="str">
        <f t="shared" ref="C225:AF225" si="31">IF(C9="","",C9)</f>
        <v/>
      </c>
      <c r="D225" s="241" t="str">
        <f t="shared" si="31"/>
        <v/>
      </c>
      <c r="E225" s="241" t="str">
        <f t="shared" si="31"/>
        <v/>
      </c>
      <c r="F225" s="241" t="str">
        <f t="shared" si="31"/>
        <v/>
      </c>
      <c r="G225" s="241" t="str">
        <f t="shared" si="31"/>
        <v/>
      </c>
      <c r="H225" s="241" t="str">
        <f t="shared" si="31"/>
        <v/>
      </c>
      <c r="I225" s="241" t="str">
        <f t="shared" si="31"/>
        <v/>
      </c>
      <c r="J225" s="241" t="str">
        <f t="shared" si="31"/>
        <v/>
      </c>
      <c r="K225" s="241" t="str">
        <f t="shared" si="31"/>
        <v/>
      </c>
      <c r="L225" s="241" t="str">
        <f t="shared" si="31"/>
        <v/>
      </c>
      <c r="M225" s="241" t="str">
        <f t="shared" si="31"/>
        <v/>
      </c>
      <c r="N225" s="241" t="str">
        <f t="shared" si="31"/>
        <v/>
      </c>
      <c r="O225" s="241" t="str">
        <f t="shared" si="31"/>
        <v/>
      </c>
      <c r="P225" s="241" t="str">
        <f t="shared" si="31"/>
        <v/>
      </c>
      <c r="Q225" s="241" t="str">
        <f t="shared" si="31"/>
        <v/>
      </c>
      <c r="R225" s="241" t="str">
        <f t="shared" si="31"/>
        <v/>
      </c>
      <c r="S225" s="241" t="str">
        <f t="shared" si="31"/>
        <v/>
      </c>
      <c r="T225" s="241" t="str">
        <f t="shared" si="31"/>
        <v/>
      </c>
      <c r="U225" s="241" t="str">
        <f t="shared" si="31"/>
        <v/>
      </c>
      <c r="V225" s="241" t="str">
        <f t="shared" si="31"/>
        <v/>
      </c>
      <c r="W225" s="241" t="str">
        <f t="shared" si="31"/>
        <v/>
      </c>
      <c r="X225" s="241" t="str">
        <f t="shared" si="31"/>
        <v/>
      </c>
      <c r="Y225" s="241" t="str">
        <f t="shared" si="31"/>
        <v/>
      </c>
      <c r="Z225" s="241" t="str">
        <f t="shared" si="31"/>
        <v/>
      </c>
      <c r="AA225" s="241" t="str">
        <f t="shared" si="31"/>
        <v/>
      </c>
      <c r="AB225" s="241" t="str">
        <f t="shared" si="31"/>
        <v/>
      </c>
      <c r="AC225" s="241" t="str">
        <f t="shared" si="31"/>
        <v/>
      </c>
      <c r="AD225" s="241" t="str">
        <f t="shared" si="31"/>
        <v/>
      </c>
      <c r="AE225" s="241" t="str">
        <f t="shared" si="31"/>
        <v/>
      </c>
      <c r="AF225" s="241" t="str">
        <f t="shared" si="31"/>
        <v>Incentive</v>
      </c>
      <c r="AG225" s="241"/>
      <c r="AH225" s="241"/>
      <c r="AI225" s="242"/>
      <c r="AJ225" s="1"/>
      <c r="AK225" s="94"/>
      <c r="AL225" s="98"/>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684"/>
      <c r="CB225" s="684"/>
      <c r="CC225" s="684"/>
      <c r="CD225" s="684"/>
      <c r="CE225" s="684"/>
      <c r="CF225" s="684"/>
      <c r="CG225" s="684"/>
      <c r="CH225" s="684"/>
      <c r="CI225" s="684"/>
      <c r="CJ225" s="684"/>
      <c r="CK225" s="684"/>
      <c r="CL225" s="684"/>
      <c r="CM225" s="684"/>
      <c r="CN225" s="684"/>
      <c r="CO225" s="684"/>
      <c r="CP225" s="684"/>
      <c r="CQ225" s="684"/>
      <c r="CR225" s="684"/>
      <c r="CS225" s="684"/>
      <c r="CT225" s="684"/>
      <c r="CU225" s="684"/>
      <c r="CV225" s="684"/>
      <c r="CW225" s="684"/>
      <c r="CX225" s="684"/>
      <c r="CY225" s="684"/>
      <c r="CZ225" s="684"/>
      <c r="DA225" s="684"/>
      <c r="DB225" s="684"/>
      <c r="DC225" s="684"/>
    </row>
    <row r="226" spans="1:107" s="5" customFormat="1" ht="12.75" customHeight="1">
      <c r="A226" s="1"/>
      <c r="B226" s="253" t="str">
        <f t="shared" si="29"/>
        <v/>
      </c>
      <c r="C226" s="9" t="str">
        <f t="shared" ref="C226:C239" si="32">IF(C10="","",C10)</f>
        <v xml:space="preserve"> MF1 - Ductless Mini-Split Heat Pump</v>
      </c>
      <c r="D226" s="9"/>
      <c r="E226" s="9"/>
      <c r="F226" s="9"/>
      <c r="G226" s="9"/>
      <c r="H226" s="9"/>
      <c r="I226" s="9"/>
      <c r="J226" s="9"/>
      <c r="K226" s="848" t="str">
        <f>IF(K10="","",K10)</f>
        <v>Complete Retro HVAC Worksheet</v>
      </c>
      <c r="L226" s="848"/>
      <c r="M226" s="848"/>
      <c r="N226" s="848"/>
      <c r="O226" s="848"/>
      <c r="P226" s="848"/>
      <c r="Q226" s="848"/>
      <c r="R226" s="9"/>
      <c r="S226" s="9"/>
      <c r="T226" s="9"/>
      <c r="U226" s="9"/>
      <c r="V226" s="9"/>
      <c r="W226" s="9"/>
      <c r="X226" s="9"/>
      <c r="Y226" s="9"/>
      <c r="Z226" s="9"/>
      <c r="AA226" s="9"/>
      <c r="AB226" s="9"/>
      <c r="AC226" s="9"/>
      <c r="AD226" s="623" t="str">
        <f t="shared" ref="AD226:AF232" si="33">IF(AD10="","",AD10)</f>
        <v>x $125 per ton=</v>
      </c>
      <c r="AE226" s="9" t="str">
        <f t="shared" si="33"/>
        <v>$</v>
      </c>
      <c r="AF226" s="846" t="str">
        <f t="shared" si="33"/>
        <v/>
      </c>
      <c r="AG226" s="846"/>
      <c r="AH226" s="846"/>
      <c r="AI226" s="633" t="str">
        <f t="shared" ref="AI226:AI245" si="34">IF(AI10="","",AI10)</f>
        <v/>
      </c>
      <c r="AJ226" s="1"/>
      <c r="AK226" s="94"/>
      <c r="AL226" s="98"/>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684"/>
      <c r="CB226" s="684"/>
      <c r="CC226" s="684"/>
      <c r="CD226" s="684"/>
      <c r="CE226" s="684"/>
      <c r="CF226" s="684"/>
      <c r="CG226" s="684"/>
      <c r="CH226" s="684"/>
      <c r="CI226" s="684"/>
      <c r="CJ226" s="684"/>
      <c r="CK226" s="684"/>
      <c r="CL226" s="684"/>
      <c r="CM226" s="684"/>
      <c r="CN226" s="684"/>
      <c r="CO226" s="684"/>
      <c r="CP226" s="684"/>
      <c r="CQ226" s="684"/>
      <c r="CR226" s="684"/>
      <c r="CS226" s="684"/>
      <c r="CT226" s="684"/>
      <c r="CU226" s="684"/>
      <c r="CV226" s="684"/>
      <c r="CW226" s="684"/>
      <c r="CX226" s="684"/>
      <c r="CY226" s="684"/>
      <c r="CZ226" s="684"/>
      <c r="DA226" s="684"/>
      <c r="DB226" s="684"/>
      <c r="DC226" s="684"/>
    </row>
    <row r="227" spans="1:107" s="5" customFormat="1" ht="12.75" customHeight="1">
      <c r="A227" s="1"/>
      <c r="B227" s="253" t="str">
        <f t="shared" si="29"/>
        <v/>
      </c>
      <c r="C227" s="9" t="str">
        <f t="shared" si="32"/>
        <v xml:space="preserve"> MF2 - Air Source Heat Pump</v>
      </c>
      <c r="D227" s="9"/>
      <c r="E227" s="9"/>
      <c r="F227" s="9"/>
      <c r="G227" s="9"/>
      <c r="H227" s="9"/>
      <c r="I227" s="9"/>
      <c r="J227" s="9"/>
      <c r="K227" s="848" t="str">
        <f>IF(K11="","",K11)</f>
        <v>Complete Retro HVAC Worksheet</v>
      </c>
      <c r="L227" s="848"/>
      <c r="M227" s="848"/>
      <c r="N227" s="848"/>
      <c r="O227" s="848"/>
      <c r="P227" s="848"/>
      <c r="Q227" s="848"/>
      <c r="R227" s="9"/>
      <c r="S227" s="9"/>
      <c r="T227" s="9"/>
      <c r="U227" s="9"/>
      <c r="V227" s="9"/>
      <c r="W227" s="9"/>
      <c r="X227" s="9"/>
      <c r="Y227" s="9"/>
      <c r="Z227" s="9"/>
      <c r="AA227" s="9"/>
      <c r="AB227" s="9"/>
      <c r="AC227" s="9"/>
      <c r="AD227" s="623" t="str">
        <f t="shared" si="33"/>
        <v>x $75 to $125 per ton=</v>
      </c>
      <c r="AE227" s="9" t="str">
        <f t="shared" si="33"/>
        <v>$</v>
      </c>
      <c r="AF227" s="846" t="str">
        <f t="shared" si="33"/>
        <v/>
      </c>
      <c r="AG227" s="846"/>
      <c r="AH227" s="846"/>
      <c r="AI227" s="633" t="str">
        <f t="shared" si="34"/>
        <v/>
      </c>
      <c r="AJ227" s="1"/>
      <c r="AK227" s="94"/>
      <c r="AL227" s="98"/>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684"/>
      <c r="CB227" s="684"/>
      <c r="CC227" s="684"/>
      <c r="CD227" s="684"/>
      <c r="CE227" s="684"/>
      <c r="CF227" s="684"/>
      <c r="CG227" s="684"/>
      <c r="CH227" s="684"/>
      <c r="CI227" s="684"/>
      <c r="CJ227" s="684"/>
      <c r="CK227" s="684"/>
      <c r="CL227" s="684"/>
      <c r="CM227" s="684"/>
      <c r="CN227" s="684"/>
      <c r="CO227" s="684"/>
      <c r="CP227" s="684"/>
      <c r="CQ227" s="684"/>
      <c r="CR227" s="684"/>
      <c r="CS227" s="684"/>
      <c r="CT227" s="684"/>
      <c r="CU227" s="684"/>
      <c r="CV227" s="684"/>
      <c r="CW227" s="684"/>
      <c r="CX227" s="684"/>
      <c r="CY227" s="684"/>
      <c r="CZ227" s="684"/>
      <c r="DA227" s="684"/>
      <c r="DB227" s="684"/>
      <c r="DC227" s="684"/>
    </row>
    <row r="228" spans="1:107" s="5" customFormat="1" ht="12.75" customHeight="1">
      <c r="A228" s="1"/>
      <c r="B228" s="253" t="str">
        <f t="shared" si="29"/>
        <v/>
      </c>
      <c r="C228" s="9" t="str">
        <f t="shared" si="32"/>
        <v xml:space="preserve"> MF3a - Package Terminal Air Conditioners</v>
      </c>
      <c r="D228" s="9"/>
      <c r="E228" s="9"/>
      <c r="F228" s="9"/>
      <c r="G228" s="9"/>
      <c r="H228" s="9"/>
      <c r="I228" s="9"/>
      <c r="J228" s="9"/>
      <c r="K228" s="848" t="str">
        <f>IF(K12="","",K12)</f>
        <v>Complete Retro HVAC Worksheet</v>
      </c>
      <c r="L228" s="848"/>
      <c r="M228" s="848"/>
      <c r="N228" s="848"/>
      <c r="O228" s="848"/>
      <c r="P228" s="848"/>
      <c r="Q228" s="848"/>
      <c r="R228" s="9"/>
      <c r="S228" s="9"/>
      <c r="T228" s="9"/>
      <c r="U228" s="9"/>
      <c r="V228" s="9"/>
      <c r="W228" s="9"/>
      <c r="X228" s="9"/>
      <c r="Y228" s="9"/>
      <c r="Z228" s="9"/>
      <c r="AA228" s="9"/>
      <c r="AB228" s="9"/>
      <c r="AC228" s="9"/>
      <c r="AD228" s="623" t="str">
        <f t="shared" si="33"/>
        <v>x $50 or $75 per ton=</v>
      </c>
      <c r="AE228" s="9" t="str">
        <f t="shared" si="33"/>
        <v>$</v>
      </c>
      <c r="AF228" s="846" t="str">
        <f t="shared" si="33"/>
        <v/>
      </c>
      <c r="AG228" s="846"/>
      <c r="AH228" s="846"/>
      <c r="AI228" s="633" t="str">
        <f t="shared" si="34"/>
        <v/>
      </c>
      <c r="AJ228" s="1"/>
      <c r="AK228" s="94"/>
      <c r="AL228" s="98"/>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684"/>
      <c r="CB228" s="684"/>
      <c r="CC228" s="684"/>
      <c r="CD228" s="684"/>
      <c r="CE228" s="684"/>
      <c r="CF228" s="684"/>
      <c r="CG228" s="684"/>
      <c r="CH228" s="684"/>
      <c r="CI228" s="684"/>
      <c r="CJ228" s="684"/>
      <c r="CK228" s="684"/>
      <c r="CL228" s="684"/>
      <c r="CM228" s="684"/>
      <c r="CN228" s="684"/>
      <c r="CO228" s="684"/>
      <c r="CP228" s="684"/>
      <c r="CQ228" s="684"/>
      <c r="CR228" s="684"/>
      <c r="CS228" s="684"/>
      <c r="CT228" s="684"/>
      <c r="CU228" s="684"/>
      <c r="CV228" s="684"/>
      <c r="CW228" s="684"/>
      <c r="CX228" s="684"/>
      <c r="CY228" s="684"/>
      <c r="CZ228" s="684"/>
      <c r="DA228" s="684"/>
      <c r="DB228" s="684"/>
      <c r="DC228" s="684"/>
    </row>
    <row r="229" spans="1:107" s="5" customFormat="1" ht="12.75" customHeight="1">
      <c r="A229" s="1"/>
      <c r="B229" s="253" t="str">
        <f t="shared" si="29"/>
        <v/>
      </c>
      <c r="C229" s="9" t="str">
        <f t="shared" si="32"/>
        <v xml:space="preserve"> MF3b - Package Terminal Heat Pump</v>
      </c>
      <c r="D229" s="9"/>
      <c r="E229" s="9"/>
      <c r="F229" s="9"/>
      <c r="G229" s="9"/>
      <c r="H229" s="9"/>
      <c r="I229" s="9"/>
      <c r="J229" s="9"/>
      <c r="K229" s="848" t="str">
        <f>IF(K13="","",K13)</f>
        <v>Complete Retro HVAC Worksheet</v>
      </c>
      <c r="L229" s="848"/>
      <c r="M229" s="848"/>
      <c r="N229" s="848"/>
      <c r="O229" s="848"/>
      <c r="P229" s="848"/>
      <c r="Q229" s="848"/>
      <c r="R229" s="9"/>
      <c r="S229" s="9"/>
      <c r="T229" s="9"/>
      <c r="U229" s="9"/>
      <c r="V229" s="9"/>
      <c r="W229" s="9"/>
      <c r="X229" s="9"/>
      <c r="Y229" s="9"/>
      <c r="Z229" s="9"/>
      <c r="AA229" s="9"/>
      <c r="AB229" s="9"/>
      <c r="AC229" s="9"/>
      <c r="AD229" s="623" t="str">
        <f t="shared" si="33"/>
        <v>x $75 or $100 per ton=</v>
      </c>
      <c r="AE229" s="9" t="str">
        <f t="shared" si="33"/>
        <v>$</v>
      </c>
      <c r="AF229" s="846" t="str">
        <f t="shared" si="33"/>
        <v/>
      </c>
      <c r="AG229" s="846"/>
      <c r="AH229" s="846"/>
      <c r="AI229" s="633" t="str">
        <f t="shared" si="34"/>
        <v/>
      </c>
      <c r="AJ229" s="1"/>
      <c r="AK229" s="94"/>
      <c r="AL229" s="98"/>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684"/>
      <c r="CB229" s="684"/>
      <c r="CC229" s="684"/>
      <c r="CD229" s="684"/>
      <c r="CE229" s="684"/>
      <c r="CF229" s="684"/>
      <c r="CG229" s="684"/>
      <c r="CH229" s="684"/>
      <c r="CI229" s="684"/>
      <c r="CJ229" s="684"/>
      <c r="CK229" s="684"/>
      <c r="CL229" s="684"/>
      <c r="CM229" s="684"/>
      <c r="CN229" s="684"/>
      <c r="CO229" s="684"/>
      <c r="CP229" s="684"/>
      <c r="CQ229" s="684"/>
      <c r="CR229" s="684"/>
      <c r="CS229" s="684"/>
      <c r="CT229" s="684"/>
      <c r="CU229" s="684"/>
      <c r="CV229" s="684"/>
      <c r="CW229" s="684"/>
      <c r="CX229" s="684"/>
      <c r="CY229" s="684"/>
      <c r="CZ229" s="684"/>
      <c r="DA229" s="684"/>
      <c r="DB229" s="684"/>
      <c r="DC229" s="684"/>
    </row>
    <row r="230" spans="1:107" s="5" customFormat="1" ht="12.75" customHeight="1">
      <c r="A230" s="1"/>
      <c r="B230" s="253" t="str">
        <f t="shared" si="29"/>
        <v/>
      </c>
      <c r="C230" s="9" t="str">
        <f t="shared" si="32"/>
        <v xml:space="preserve"> MF4 - ENERGY STAR Continuous Exhaust Fan</v>
      </c>
      <c r="D230" s="9"/>
      <c r="E230" s="9"/>
      <c r="F230" s="9"/>
      <c r="G230" s="9"/>
      <c r="H230" s="9"/>
      <c r="I230" s="9"/>
      <c r="J230" s="9"/>
      <c r="K230" s="9"/>
      <c r="L230" s="9"/>
      <c r="M230" s="9"/>
      <c r="N230" s="9" t="str">
        <f>IF(N14="","",N14)</f>
        <v>Qty:</v>
      </c>
      <c r="O230" s="844" t="str">
        <f>IF(O14="","",O14)</f>
        <v/>
      </c>
      <c r="P230" s="845"/>
      <c r="Q230" s="9" t="str">
        <f>IF(Q14="","",Q14)</f>
        <v>Single Speed Fans</v>
      </c>
      <c r="R230" s="9"/>
      <c r="S230" s="9"/>
      <c r="T230" s="9"/>
      <c r="U230" s="9"/>
      <c r="V230" s="623" t="str">
        <f t="shared" ref="V230:W232" si="35">IF(V14="","",V14)</f>
        <v>Qty:</v>
      </c>
      <c r="W230" s="844" t="str">
        <f t="shared" si="35"/>
        <v/>
      </c>
      <c r="X230" s="845"/>
      <c r="Y230" s="9" t="str">
        <f>IF(Y14="","",Y14)</f>
        <v>Two Speed Fans</v>
      </c>
      <c r="Z230" s="9"/>
      <c r="AA230" s="9"/>
      <c r="AB230" s="9"/>
      <c r="AC230" s="9"/>
      <c r="AD230" s="623" t="str">
        <f t="shared" si="33"/>
        <v>x $25 per fan=</v>
      </c>
      <c r="AE230" s="9" t="str">
        <f t="shared" si="33"/>
        <v>$</v>
      </c>
      <c r="AF230" s="846" t="str">
        <f t="shared" si="33"/>
        <v/>
      </c>
      <c r="AG230" s="846"/>
      <c r="AH230" s="846"/>
      <c r="AI230" s="633" t="str">
        <f t="shared" si="34"/>
        <v/>
      </c>
      <c r="AJ230" s="1"/>
      <c r="AK230" s="94"/>
      <c r="AL230" s="98"/>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684"/>
      <c r="CB230" s="684"/>
      <c r="CC230" s="684"/>
      <c r="CD230" s="684"/>
      <c r="CE230" s="684"/>
      <c r="CF230" s="684"/>
      <c r="CG230" s="684"/>
      <c r="CH230" s="684"/>
      <c r="CI230" s="684"/>
      <c r="CJ230" s="684"/>
      <c r="CK230" s="684"/>
      <c r="CL230" s="684"/>
      <c r="CM230" s="684"/>
      <c r="CN230" s="684"/>
      <c r="CO230" s="684"/>
      <c r="CP230" s="684"/>
      <c r="CQ230" s="684"/>
      <c r="CR230" s="684"/>
      <c r="CS230" s="684"/>
      <c r="CT230" s="684"/>
      <c r="CU230" s="684"/>
      <c r="CV230" s="684"/>
      <c r="CW230" s="684"/>
      <c r="CX230" s="684"/>
      <c r="CY230" s="684"/>
      <c r="CZ230" s="684"/>
      <c r="DA230" s="684"/>
      <c r="DB230" s="684"/>
      <c r="DC230" s="684"/>
    </row>
    <row r="231" spans="1:107" s="5" customFormat="1" ht="12.75" customHeight="1">
      <c r="A231" s="1"/>
      <c r="B231" s="253" t="str">
        <f t="shared" si="29"/>
        <v/>
      </c>
      <c r="C231" s="9" t="str">
        <f t="shared" si="32"/>
        <v xml:space="preserve"> MF5 - ENERGY STAR Most Efficient Manual Exhaust Fan</v>
      </c>
      <c r="D231" s="9"/>
      <c r="E231" s="9"/>
      <c r="F231" s="9"/>
      <c r="G231" s="9"/>
      <c r="H231" s="9"/>
      <c r="I231" s="9"/>
      <c r="J231" s="9"/>
      <c r="K231" s="9"/>
      <c r="L231" s="9"/>
      <c r="M231" s="9"/>
      <c r="N231" s="9" t="str">
        <f>IF(N15="","",N15)</f>
        <v>Qty:</v>
      </c>
      <c r="O231" s="844" t="str">
        <f>IF(O15="","",O15)</f>
        <v/>
      </c>
      <c r="P231" s="845"/>
      <c r="Q231" s="9" t="str">
        <f>IF(Q15="","",Q15)</f>
        <v>Fan w/o Light</v>
      </c>
      <c r="R231" s="9"/>
      <c r="S231" s="9"/>
      <c r="T231" s="9"/>
      <c r="U231" s="9"/>
      <c r="V231" s="623" t="str">
        <f t="shared" si="35"/>
        <v>Qty:</v>
      </c>
      <c r="W231" s="844" t="str">
        <f t="shared" si="35"/>
        <v/>
      </c>
      <c r="X231" s="845"/>
      <c r="Y231" s="9" t="str">
        <f>IF(Y15="","",Y15)</f>
        <v>Fan w/ Light</v>
      </c>
      <c r="Z231" s="9"/>
      <c r="AA231" s="9"/>
      <c r="AB231" s="9"/>
      <c r="AC231" s="9"/>
      <c r="AD231" s="623" t="str">
        <f t="shared" si="33"/>
        <v>x $25 per fan=</v>
      </c>
      <c r="AE231" s="9" t="str">
        <f t="shared" si="33"/>
        <v>$</v>
      </c>
      <c r="AF231" s="846" t="str">
        <f t="shared" si="33"/>
        <v/>
      </c>
      <c r="AG231" s="846"/>
      <c r="AH231" s="846"/>
      <c r="AI231" s="633" t="str">
        <f t="shared" si="34"/>
        <v/>
      </c>
      <c r="AJ231" s="1"/>
      <c r="AK231" s="94"/>
      <c r="AL231" s="98"/>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684"/>
      <c r="CB231" s="684"/>
      <c r="CC231" s="684"/>
      <c r="CD231" s="684"/>
      <c r="CE231" s="684"/>
      <c r="CF231" s="684"/>
      <c r="CG231" s="684"/>
      <c r="CH231" s="684"/>
      <c r="CI231" s="684"/>
      <c r="CJ231" s="684"/>
      <c r="CK231" s="684"/>
      <c r="CL231" s="684"/>
      <c r="CM231" s="684"/>
      <c r="CN231" s="684"/>
      <c r="CO231" s="684"/>
      <c r="CP231" s="684"/>
      <c r="CQ231" s="684"/>
      <c r="CR231" s="684"/>
      <c r="CS231" s="684"/>
      <c r="CT231" s="684"/>
      <c r="CU231" s="684"/>
      <c r="CV231" s="684"/>
      <c r="CW231" s="684"/>
      <c r="CX231" s="684"/>
      <c r="CY231" s="684"/>
      <c r="CZ231" s="684"/>
      <c r="DA231" s="684"/>
      <c r="DB231" s="684"/>
      <c r="DC231" s="684"/>
    </row>
    <row r="232" spans="1:107" s="5" customFormat="1" ht="12.75" customHeight="1">
      <c r="A232" s="1"/>
      <c r="B232" s="253" t="str">
        <f t="shared" si="29"/>
        <v/>
      </c>
      <c r="C232" s="9" t="str">
        <f t="shared" si="32"/>
        <v xml:space="preserve"> MF6  - Reflective Roof Treatment (sq ft over dwelling units only)</v>
      </c>
      <c r="D232" s="9"/>
      <c r="E232" s="9"/>
      <c r="F232" s="9"/>
      <c r="G232" s="9"/>
      <c r="H232" s="9"/>
      <c r="I232" s="9"/>
      <c r="J232" s="9"/>
      <c r="K232" s="9"/>
      <c r="L232" s="9"/>
      <c r="M232" s="9"/>
      <c r="N232" s="9"/>
      <c r="O232" s="9"/>
      <c r="P232" s="9"/>
      <c r="Q232" s="9"/>
      <c r="R232" s="9"/>
      <c r="S232" s="9"/>
      <c r="T232" s="9"/>
      <c r="U232" s="9"/>
      <c r="V232" s="623" t="str">
        <f t="shared" si="35"/>
        <v xml:space="preserve">Roof Area: </v>
      </c>
      <c r="W232" s="844" t="str">
        <f t="shared" si="35"/>
        <v/>
      </c>
      <c r="X232" s="845"/>
      <c r="Y232" s="9" t="str">
        <f>IF(Y16="","",Y16)</f>
        <v>sq ft</v>
      </c>
      <c r="Z232" s="9"/>
      <c r="AA232" s="9"/>
      <c r="AB232" s="9"/>
      <c r="AC232" s="9"/>
      <c r="AD232" s="623" t="str">
        <f t="shared" si="33"/>
        <v>x $0.05 per sq ft=</v>
      </c>
      <c r="AE232" s="9" t="str">
        <f t="shared" si="33"/>
        <v>$</v>
      </c>
      <c r="AF232" s="846" t="str">
        <f t="shared" si="33"/>
        <v/>
      </c>
      <c r="AG232" s="846"/>
      <c r="AH232" s="846"/>
      <c r="AI232" s="633" t="str">
        <f t="shared" si="34"/>
        <v/>
      </c>
      <c r="AJ232" s="1"/>
      <c r="AK232" s="94"/>
      <c r="AL232" s="98"/>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684"/>
      <c r="CB232" s="684"/>
      <c r="CC232" s="684"/>
      <c r="CD232" s="684"/>
      <c r="CE232" s="684"/>
      <c r="CF232" s="684"/>
      <c r="CG232" s="684"/>
      <c r="CH232" s="684"/>
      <c r="CI232" s="684"/>
      <c r="CJ232" s="684"/>
      <c r="CK232" s="684"/>
      <c r="CL232" s="684"/>
      <c r="CM232" s="684"/>
      <c r="CN232" s="684"/>
      <c r="CO232" s="684"/>
      <c r="CP232" s="684"/>
      <c r="CQ232" s="684"/>
      <c r="CR232" s="684"/>
      <c r="CS232" s="684"/>
      <c r="CT232" s="684"/>
      <c r="CU232" s="684"/>
      <c r="CV232" s="684"/>
      <c r="CW232" s="684"/>
      <c r="CX232" s="684"/>
      <c r="CY232" s="684"/>
      <c r="CZ232" s="684"/>
      <c r="DA232" s="684"/>
      <c r="DB232" s="684"/>
      <c r="DC232" s="684"/>
    </row>
    <row r="233" spans="1:107" s="5" customFormat="1" ht="12.75" customHeight="1">
      <c r="A233" s="1"/>
      <c r="B233" s="253" t="str">
        <f t="shared" si="29"/>
        <v/>
      </c>
      <c r="C233" s="9" t="str">
        <f t="shared" si="32"/>
        <v xml:space="preserve"> MF7 - Connected Smart Thermostat (electric heat only)</v>
      </c>
      <c r="D233" s="9"/>
      <c r="E233" s="9"/>
      <c r="F233" s="9"/>
      <c r="G233" s="9"/>
      <c r="H233" s="9"/>
      <c r="I233" s="9"/>
      <c r="J233" s="9"/>
      <c r="K233" s="9"/>
      <c r="L233" s="9"/>
      <c r="M233" s="9"/>
      <c r="N233" s="847" t="str">
        <f t="shared" ref="N233:N242" si="36">IF(N17="","",N17)</f>
        <v/>
      </c>
      <c r="O233" s="847"/>
      <c r="P233" s="847"/>
      <c r="Q233" s="847"/>
      <c r="R233" s="847"/>
      <c r="S233" s="847"/>
      <c r="T233" s="847"/>
      <c r="U233" s="847"/>
      <c r="V233" s="847"/>
      <c r="W233" s="847"/>
      <c r="X233" s="847"/>
      <c r="Y233" s="847"/>
      <c r="Z233" s="847"/>
      <c r="AA233" s="847"/>
      <c r="AB233" s="847"/>
      <c r="AC233" s="847"/>
      <c r="AD233" s="847"/>
      <c r="AE233" s="9" t="str">
        <f>IF(AE17="","",AE17)</f>
        <v/>
      </c>
      <c r="AF233" s="9" t="str">
        <f>IF(AF17="","",AF17)</f>
        <v/>
      </c>
      <c r="AG233" s="9" t="str">
        <f>IF(AG17="","",AG17)</f>
        <v/>
      </c>
      <c r="AH233" s="9" t="str">
        <f>IF(AH17="","",AH17)</f>
        <v/>
      </c>
      <c r="AI233" s="633" t="str">
        <f t="shared" si="34"/>
        <v/>
      </c>
      <c r="AJ233" s="1"/>
      <c r="AK233" s="94"/>
      <c r="AL233" s="98"/>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684"/>
      <c r="CB233" s="684"/>
      <c r="CC233" s="684"/>
      <c r="CD233" s="684"/>
      <c r="CE233" s="684"/>
      <c r="CF233" s="684"/>
      <c r="CG233" s="684"/>
      <c r="CH233" s="684"/>
      <c r="CI233" s="684"/>
      <c r="CJ233" s="684"/>
      <c r="CK233" s="684"/>
      <c r="CL233" s="684"/>
      <c r="CM233" s="684"/>
      <c r="CN233" s="684"/>
      <c r="CO233" s="684"/>
      <c r="CP233" s="684"/>
      <c r="CQ233" s="684"/>
      <c r="CR233" s="684"/>
      <c r="CS233" s="684"/>
      <c r="CT233" s="684"/>
      <c r="CU233" s="684"/>
      <c r="CV233" s="684"/>
      <c r="CW233" s="684"/>
      <c r="CX233" s="684"/>
      <c r="CY233" s="684"/>
      <c r="CZ233" s="684"/>
      <c r="DA233" s="684"/>
      <c r="DB233" s="684"/>
      <c r="DC233" s="684"/>
    </row>
    <row r="234" spans="1:107" s="5" customFormat="1" ht="12.75" customHeight="1">
      <c r="A234" s="1"/>
      <c r="B234" s="253" t="str">
        <f t="shared" si="29"/>
        <v/>
      </c>
      <c r="C234" s="9" t="str">
        <f t="shared" si="32"/>
        <v/>
      </c>
      <c r="D234" s="9"/>
      <c r="E234" s="9"/>
      <c r="F234" s="9"/>
      <c r="G234" s="9"/>
      <c r="H234" s="9"/>
      <c r="I234" s="9"/>
      <c r="J234" s="9"/>
      <c r="K234" s="9" t="str">
        <f>IF(K18="","",K18)</f>
        <v/>
      </c>
      <c r="L234" s="9" t="str">
        <f>IF(L18="","",L18)</f>
        <v/>
      </c>
      <c r="M234" s="9" t="str">
        <f>IF(M18="","",M18)</f>
        <v/>
      </c>
      <c r="N234" s="9" t="str">
        <f t="shared" si="36"/>
        <v>Qty:</v>
      </c>
      <c r="O234" s="844" t="str">
        <f>IF(O18="","",O18)</f>
        <v/>
      </c>
      <c r="P234" s="845"/>
      <c r="Q234" s="9" t="str">
        <f>IF(Q18="","",Q18)</f>
        <v>Electric Heat Pump</v>
      </c>
      <c r="R234" s="9"/>
      <c r="S234" s="9"/>
      <c r="T234" s="9"/>
      <c r="U234" s="9"/>
      <c r="V234" s="623" t="str">
        <f>IF(V18="","",V18)</f>
        <v>Qty:</v>
      </c>
      <c r="W234" s="844" t="str">
        <f>IF(W18="","",W18)</f>
        <v/>
      </c>
      <c r="X234" s="845"/>
      <c r="Y234" s="9" t="str">
        <f>IF(Y18="","",Y18)</f>
        <v>Electric Furnace</v>
      </c>
      <c r="Z234" s="9"/>
      <c r="AA234" s="9"/>
      <c r="AB234" s="9"/>
      <c r="AC234" s="9"/>
      <c r="AD234" s="623" t="str">
        <f>IF(AD18="","",AD18)</f>
        <v>x $30 per unit=</v>
      </c>
      <c r="AE234" s="9" t="str">
        <f>IF(AE18="","",AE18)</f>
        <v>$</v>
      </c>
      <c r="AF234" s="846" t="str">
        <f>IF(AF18="","",AF18)</f>
        <v/>
      </c>
      <c r="AG234" s="846"/>
      <c r="AH234" s="846"/>
      <c r="AI234" s="633" t="str">
        <f t="shared" si="34"/>
        <v/>
      </c>
      <c r="AJ234" s="1"/>
      <c r="AK234" s="94"/>
      <c r="AL234" s="98"/>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684"/>
      <c r="CB234" s="684"/>
      <c r="CC234" s="684"/>
      <c r="CD234" s="684"/>
      <c r="CE234" s="684"/>
      <c r="CF234" s="684"/>
      <c r="CG234" s="684"/>
      <c r="CH234" s="684"/>
      <c r="CI234" s="684"/>
      <c r="CJ234" s="684"/>
      <c r="CK234" s="684"/>
      <c r="CL234" s="684"/>
      <c r="CM234" s="684"/>
      <c r="CN234" s="684"/>
      <c r="CO234" s="684"/>
      <c r="CP234" s="684"/>
      <c r="CQ234" s="684"/>
      <c r="CR234" s="684"/>
      <c r="CS234" s="684"/>
      <c r="CT234" s="684"/>
      <c r="CU234" s="684"/>
      <c r="CV234" s="684"/>
      <c r="CW234" s="684"/>
      <c r="CX234" s="684"/>
      <c r="CY234" s="684"/>
      <c r="CZ234" s="684"/>
      <c r="DA234" s="684"/>
      <c r="DB234" s="684"/>
      <c r="DC234" s="684"/>
    </row>
    <row r="235" spans="1:107" s="5" customFormat="1" ht="12.75" customHeight="1">
      <c r="A235" s="1"/>
      <c r="B235" s="253" t="str">
        <f t="shared" si="29"/>
        <v/>
      </c>
      <c r="C235" s="9" t="str">
        <f t="shared" si="32"/>
        <v xml:space="preserve"> MF8  - Efficient Windows (low rise and electric heat only) </v>
      </c>
      <c r="D235" s="9"/>
      <c r="E235" s="9"/>
      <c r="F235" s="9"/>
      <c r="G235" s="9"/>
      <c r="H235" s="9"/>
      <c r="I235" s="9"/>
      <c r="J235" s="9"/>
      <c r="K235" s="9"/>
      <c r="L235" s="9"/>
      <c r="M235" s="9"/>
      <c r="N235" s="847" t="str">
        <f t="shared" si="36"/>
        <v/>
      </c>
      <c r="O235" s="847"/>
      <c r="P235" s="847"/>
      <c r="Q235" s="847"/>
      <c r="R235" s="847"/>
      <c r="S235" s="847"/>
      <c r="T235" s="847"/>
      <c r="U235" s="847"/>
      <c r="V235" s="847"/>
      <c r="W235" s="847"/>
      <c r="X235" s="847"/>
      <c r="Y235" s="847"/>
      <c r="Z235" s="847"/>
      <c r="AA235" s="847"/>
      <c r="AB235" s="847"/>
      <c r="AC235" s="847"/>
      <c r="AD235" s="847"/>
      <c r="AE235" s="9" t="str">
        <f>IF(AE19="","",AE19)</f>
        <v/>
      </c>
      <c r="AF235" s="9" t="str">
        <f>IF(AF19="","",AF19)</f>
        <v/>
      </c>
      <c r="AG235" s="9" t="str">
        <f>IF(AG19="","",AG19)</f>
        <v/>
      </c>
      <c r="AH235" s="9" t="str">
        <f>IF(AH19="","",AH19)</f>
        <v/>
      </c>
      <c r="AI235" s="633" t="str">
        <f t="shared" si="34"/>
        <v/>
      </c>
      <c r="AJ235" s="1"/>
      <c r="AK235" s="94"/>
      <c r="AL235" s="98"/>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684"/>
      <c r="CB235" s="684"/>
      <c r="CC235" s="684"/>
      <c r="CD235" s="684"/>
      <c r="CE235" s="684"/>
      <c r="CF235" s="684"/>
      <c r="CG235" s="684"/>
      <c r="CH235" s="684"/>
      <c r="CI235" s="684"/>
      <c r="CJ235" s="684"/>
      <c r="CK235" s="684"/>
      <c r="CL235" s="684"/>
      <c r="CM235" s="684"/>
      <c r="CN235" s="684"/>
      <c r="CO235" s="684"/>
      <c r="CP235" s="684"/>
      <c r="CQ235" s="684"/>
      <c r="CR235" s="684"/>
      <c r="CS235" s="684"/>
      <c r="CT235" s="684"/>
      <c r="CU235" s="684"/>
      <c r="CV235" s="684"/>
      <c r="CW235" s="684"/>
      <c r="CX235" s="684"/>
      <c r="CY235" s="684"/>
      <c r="CZ235" s="684"/>
      <c r="DA235" s="684"/>
      <c r="DB235" s="684"/>
      <c r="DC235" s="684"/>
    </row>
    <row r="236" spans="1:107" s="5" customFormat="1" ht="12.75" customHeight="1">
      <c r="A236" s="1"/>
      <c r="B236" s="253" t="str">
        <f t="shared" si="29"/>
        <v/>
      </c>
      <c r="C236" s="398" t="str">
        <f t="shared" si="32"/>
        <v xml:space="preserve"> Tier 1 (U-factor &lt;0.30 and &gt;0.27)</v>
      </c>
      <c r="D236" s="9"/>
      <c r="E236" s="9"/>
      <c r="F236" s="9"/>
      <c r="G236" s="9"/>
      <c r="H236" s="9"/>
      <c r="I236" s="9"/>
      <c r="J236" s="9"/>
      <c r="K236" s="9"/>
      <c r="L236" s="9"/>
      <c r="M236" s="9"/>
      <c r="N236" s="623" t="str">
        <f t="shared" si="36"/>
        <v/>
      </c>
      <c r="O236" s="847" t="str">
        <f>IF(O20="","",O20)</f>
        <v>Electric Heat Pump</v>
      </c>
      <c r="P236" s="847"/>
      <c r="Q236" s="847"/>
      <c r="R236" s="847"/>
      <c r="S236" s="847"/>
      <c r="T236" s="9"/>
      <c r="U236" s="9"/>
      <c r="V236" s="623" t="str">
        <f t="shared" ref="V236:W238" si="37">IF(V20="","",V20)</f>
        <v xml:space="preserve">Window area: </v>
      </c>
      <c r="W236" s="844" t="str">
        <f t="shared" si="37"/>
        <v/>
      </c>
      <c r="X236" s="845"/>
      <c r="Y236" s="9" t="str">
        <f>IF(Y20="","",Y20)</f>
        <v>sq ft</v>
      </c>
      <c r="Z236" s="9"/>
      <c r="AA236" s="9"/>
      <c r="AB236" s="9"/>
      <c r="AC236" s="9"/>
      <c r="AD236" s="623" t="str">
        <f t="shared" ref="AD236:AF238" si="38">IF(AD20="","",AD20)</f>
        <v>x $0.25 per sq ft=</v>
      </c>
      <c r="AE236" s="9" t="str">
        <f t="shared" si="38"/>
        <v>$</v>
      </c>
      <c r="AF236" s="846" t="str">
        <f t="shared" si="38"/>
        <v/>
      </c>
      <c r="AG236" s="846"/>
      <c r="AH236" s="846"/>
      <c r="AI236" s="633" t="str">
        <f t="shared" si="34"/>
        <v/>
      </c>
      <c r="AJ236" s="1"/>
      <c r="AK236" s="94"/>
      <c r="AL236" s="98"/>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684"/>
      <c r="CB236" s="684"/>
      <c r="CC236" s="684"/>
      <c r="CD236" s="684"/>
      <c r="CE236" s="684"/>
      <c r="CF236" s="684"/>
      <c r="CG236" s="684"/>
      <c r="CH236" s="684"/>
      <c r="CI236" s="684"/>
      <c r="CJ236" s="684"/>
      <c r="CK236" s="684"/>
      <c r="CL236" s="684"/>
      <c r="CM236" s="684"/>
      <c r="CN236" s="684"/>
      <c r="CO236" s="684"/>
      <c r="CP236" s="684"/>
      <c r="CQ236" s="684"/>
      <c r="CR236" s="684"/>
      <c r="CS236" s="684"/>
      <c r="CT236" s="684"/>
      <c r="CU236" s="684"/>
      <c r="CV236" s="684"/>
      <c r="CW236" s="684"/>
      <c r="CX236" s="684"/>
      <c r="CY236" s="684"/>
      <c r="CZ236" s="684"/>
      <c r="DA236" s="684"/>
      <c r="DB236" s="684"/>
      <c r="DC236" s="684"/>
    </row>
    <row r="237" spans="1:107" s="5" customFormat="1" ht="12.75" customHeight="1">
      <c r="A237" s="1"/>
      <c r="B237" s="253" t="str">
        <f t="shared" si="29"/>
        <v/>
      </c>
      <c r="C237" s="398" t="str">
        <f t="shared" si="32"/>
        <v xml:space="preserve"> Tier 2 (U-factor ≤0.27 and &gt;0.24)</v>
      </c>
      <c r="D237" s="9"/>
      <c r="E237" s="9"/>
      <c r="F237" s="9"/>
      <c r="G237" s="9"/>
      <c r="H237" s="9"/>
      <c r="I237" s="9"/>
      <c r="J237" s="9"/>
      <c r="K237" s="9"/>
      <c r="L237" s="9"/>
      <c r="M237" s="9"/>
      <c r="N237" s="623" t="str">
        <f t="shared" si="36"/>
        <v/>
      </c>
      <c r="O237" s="847" t="str">
        <f>IF(O21="","",O21)</f>
        <v/>
      </c>
      <c r="P237" s="847"/>
      <c r="Q237" s="847"/>
      <c r="R237" s="847"/>
      <c r="S237" s="847"/>
      <c r="T237" s="9"/>
      <c r="U237" s="9"/>
      <c r="V237" s="623" t="str">
        <f t="shared" si="37"/>
        <v xml:space="preserve">Window area: </v>
      </c>
      <c r="W237" s="844" t="str">
        <f t="shared" si="37"/>
        <v/>
      </c>
      <c r="X237" s="845"/>
      <c r="Y237" s="9" t="str">
        <f>IF(Y21="","",Y21)</f>
        <v>sq ft</v>
      </c>
      <c r="Z237" s="9"/>
      <c r="AA237" s="9"/>
      <c r="AB237" s="9"/>
      <c r="AC237" s="9"/>
      <c r="AD237" s="623" t="str">
        <f t="shared" si="38"/>
        <v>x $0.50 per sq ft=</v>
      </c>
      <c r="AE237" s="9" t="str">
        <f t="shared" si="38"/>
        <v>$</v>
      </c>
      <c r="AF237" s="846" t="str">
        <f t="shared" si="38"/>
        <v/>
      </c>
      <c r="AG237" s="846"/>
      <c r="AH237" s="846"/>
      <c r="AI237" s="633" t="str">
        <f t="shared" si="34"/>
        <v/>
      </c>
      <c r="AJ237" s="1"/>
      <c r="AK237" s="94"/>
      <c r="AL237" s="98"/>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684"/>
      <c r="CB237" s="684"/>
      <c r="CC237" s="684"/>
      <c r="CD237" s="684"/>
      <c r="CE237" s="684"/>
      <c r="CF237" s="684"/>
      <c r="CG237" s="684"/>
      <c r="CH237" s="684"/>
      <c r="CI237" s="684"/>
      <c r="CJ237" s="684"/>
      <c r="CK237" s="684"/>
      <c r="CL237" s="684"/>
      <c r="CM237" s="684"/>
      <c r="CN237" s="684"/>
      <c r="CO237" s="684"/>
      <c r="CP237" s="684"/>
      <c r="CQ237" s="684"/>
      <c r="CR237" s="684"/>
      <c r="CS237" s="684"/>
      <c r="CT237" s="684"/>
      <c r="CU237" s="684"/>
      <c r="CV237" s="684"/>
      <c r="CW237" s="684"/>
      <c r="CX237" s="684"/>
      <c r="CY237" s="684"/>
      <c r="CZ237" s="684"/>
      <c r="DA237" s="684"/>
      <c r="DB237" s="684"/>
      <c r="DC237" s="684"/>
    </row>
    <row r="238" spans="1:107" s="5" customFormat="1" ht="12.75" customHeight="1">
      <c r="A238" s="1"/>
      <c r="B238" s="253" t="str">
        <f t="shared" si="29"/>
        <v/>
      </c>
      <c r="C238" s="398" t="str">
        <f t="shared" si="32"/>
        <v xml:space="preserve"> Tier 3 (U-factor ≤0.24)</v>
      </c>
      <c r="D238" s="9"/>
      <c r="E238" s="9"/>
      <c r="F238" s="9"/>
      <c r="G238" s="9"/>
      <c r="H238" s="9"/>
      <c r="I238" s="9"/>
      <c r="J238" s="9"/>
      <c r="K238" s="9"/>
      <c r="L238" s="9"/>
      <c r="M238" s="9"/>
      <c r="N238" s="623" t="str">
        <f t="shared" si="36"/>
        <v/>
      </c>
      <c r="O238" s="847" t="str">
        <f>IF(O22="","",O22)</f>
        <v/>
      </c>
      <c r="P238" s="847"/>
      <c r="Q238" s="847"/>
      <c r="R238" s="847"/>
      <c r="S238" s="847"/>
      <c r="T238" s="9"/>
      <c r="U238" s="9"/>
      <c r="V238" s="623" t="str">
        <f t="shared" si="37"/>
        <v xml:space="preserve">Window area: </v>
      </c>
      <c r="W238" s="844" t="str">
        <f t="shared" si="37"/>
        <v/>
      </c>
      <c r="X238" s="845"/>
      <c r="Y238" s="9" t="str">
        <f>IF(Y22="","",Y22)</f>
        <v>sq ft</v>
      </c>
      <c r="Z238" s="9"/>
      <c r="AA238" s="9"/>
      <c r="AB238" s="9"/>
      <c r="AC238" s="9"/>
      <c r="AD238" s="623" t="str">
        <f t="shared" si="38"/>
        <v>x $1.00 per sq ft=</v>
      </c>
      <c r="AE238" s="9" t="str">
        <f t="shared" si="38"/>
        <v>$</v>
      </c>
      <c r="AF238" s="846" t="str">
        <f t="shared" si="38"/>
        <v/>
      </c>
      <c r="AG238" s="846"/>
      <c r="AH238" s="846"/>
      <c r="AI238" s="633" t="str">
        <f t="shared" si="34"/>
        <v/>
      </c>
      <c r="AJ238" s="1"/>
      <c r="AK238" s="94"/>
      <c r="AL238" s="98"/>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684"/>
      <c r="CB238" s="684"/>
      <c r="CC238" s="684"/>
      <c r="CD238" s="684"/>
      <c r="CE238" s="684"/>
      <c r="CF238" s="684"/>
      <c r="CG238" s="684"/>
      <c r="CH238" s="684"/>
      <c r="CI238" s="684"/>
      <c r="CJ238" s="684"/>
      <c r="CK238" s="684"/>
      <c r="CL238" s="684"/>
      <c r="CM238" s="684"/>
      <c r="CN238" s="684"/>
      <c r="CO238" s="684"/>
      <c r="CP238" s="684"/>
      <c r="CQ238" s="684"/>
      <c r="CR238" s="684"/>
      <c r="CS238" s="684"/>
      <c r="CT238" s="684"/>
      <c r="CU238" s="684"/>
      <c r="CV238" s="684"/>
      <c r="CW238" s="684"/>
      <c r="CX238" s="684"/>
      <c r="CY238" s="684"/>
      <c r="CZ238" s="684"/>
      <c r="DA238" s="684"/>
      <c r="DB238" s="684"/>
      <c r="DC238" s="684"/>
    </row>
    <row r="239" spans="1:107" s="5" customFormat="1" ht="12.75" customHeight="1">
      <c r="A239" s="1"/>
      <c r="B239" s="253" t="str">
        <f t="shared" si="29"/>
        <v/>
      </c>
      <c r="C239" s="9" t="str">
        <f t="shared" si="32"/>
        <v xml:space="preserve"> MF9  - Low E Storm Window (electric heat only)</v>
      </c>
      <c r="D239" s="9"/>
      <c r="E239" s="9"/>
      <c r="F239" s="9"/>
      <c r="G239" s="9"/>
      <c r="H239" s="9"/>
      <c r="I239" s="9"/>
      <c r="J239" s="9"/>
      <c r="K239" s="9"/>
      <c r="L239" s="9"/>
      <c r="M239" s="9"/>
      <c r="N239" s="847" t="str">
        <f t="shared" si="36"/>
        <v/>
      </c>
      <c r="O239" s="847"/>
      <c r="P239" s="847"/>
      <c r="Q239" s="847"/>
      <c r="R239" s="847"/>
      <c r="S239" s="847"/>
      <c r="T239" s="847"/>
      <c r="U239" s="847"/>
      <c r="V239" s="847"/>
      <c r="W239" s="847"/>
      <c r="X239" s="847"/>
      <c r="Y239" s="847"/>
      <c r="Z239" s="847"/>
      <c r="AA239" s="847"/>
      <c r="AB239" s="847"/>
      <c r="AC239" s="847"/>
      <c r="AD239" s="847"/>
      <c r="AE239" s="9" t="str">
        <f>IF(AE23="","",AE23)</f>
        <v/>
      </c>
      <c r="AF239" s="9" t="str">
        <f>IF(AF23="","",AF23)</f>
        <v/>
      </c>
      <c r="AG239" s="9" t="str">
        <f>IF(AG23="","",AG23)</f>
        <v/>
      </c>
      <c r="AH239" s="9" t="str">
        <f>IF(AH23="","",AH23)</f>
        <v/>
      </c>
      <c r="AI239" s="633" t="str">
        <f t="shared" si="34"/>
        <v/>
      </c>
      <c r="AJ239" s="1"/>
      <c r="AK239" s="94"/>
      <c r="AL239" s="98"/>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684"/>
      <c r="CB239" s="684"/>
      <c r="CC239" s="684"/>
      <c r="CD239" s="684"/>
      <c r="CE239" s="684"/>
      <c r="CF239" s="684"/>
      <c r="CG239" s="684"/>
      <c r="CH239" s="684"/>
      <c r="CI239" s="684"/>
      <c r="CJ239" s="684"/>
      <c r="CK239" s="684"/>
      <c r="CL239" s="684"/>
      <c r="CM239" s="684"/>
      <c r="CN239" s="684"/>
      <c r="CO239" s="684"/>
      <c r="CP239" s="684"/>
      <c r="CQ239" s="684"/>
      <c r="CR239" s="684"/>
      <c r="CS239" s="684"/>
      <c r="CT239" s="684"/>
      <c r="CU239" s="684"/>
      <c r="CV239" s="684"/>
      <c r="CW239" s="684"/>
      <c r="CX239" s="684"/>
      <c r="CY239" s="684"/>
      <c r="CZ239" s="684"/>
      <c r="DA239" s="684"/>
      <c r="DB239" s="684"/>
      <c r="DC239" s="684"/>
    </row>
    <row r="240" spans="1:107" s="5" customFormat="1" ht="12.75" customHeight="1">
      <c r="A240" s="1"/>
      <c r="B240" s="253" t="str">
        <f t="shared" si="29"/>
        <v/>
      </c>
      <c r="C240" s="9"/>
      <c r="D240" s="9"/>
      <c r="E240" s="9"/>
      <c r="F240" s="9"/>
      <c r="G240" s="9"/>
      <c r="H240" s="9"/>
      <c r="I240" s="9"/>
      <c r="J240" s="9"/>
      <c r="K240" s="9"/>
      <c r="L240" s="9"/>
      <c r="M240" s="9"/>
      <c r="N240" s="623" t="str">
        <f t="shared" si="36"/>
        <v/>
      </c>
      <c r="O240" s="847" t="str">
        <f>IF(O24="","",O24)</f>
        <v/>
      </c>
      <c r="P240" s="847"/>
      <c r="Q240" s="847"/>
      <c r="R240" s="847"/>
      <c r="S240" s="847"/>
      <c r="T240" s="9"/>
      <c r="U240" s="9"/>
      <c r="V240" s="623" t="str">
        <f t="shared" ref="V240:W242" si="39">IF(V24="","",V24)</f>
        <v xml:space="preserve">Window area: </v>
      </c>
      <c r="W240" s="844" t="str">
        <f t="shared" si="39"/>
        <v/>
      </c>
      <c r="X240" s="845"/>
      <c r="Y240" s="9" t="str">
        <f>IF(Y24="","",Y24)</f>
        <v>sq ft</v>
      </c>
      <c r="Z240" s="9"/>
      <c r="AA240" s="9"/>
      <c r="AB240" s="9"/>
      <c r="AC240" s="9"/>
      <c r="AD240" s="623" t="str">
        <f t="shared" ref="AD240:AF245" si="40">IF(AD24="","",AD24)</f>
        <v>x $1.00 per sq ft=</v>
      </c>
      <c r="AE240" s="9" t="str">
        <f t="shared" si="40"/>
        <v>$</v>
      </c>
      <c r="AF240" s="846" t="str">
        <f t="shared" si="40"/>
        <v/>
      </c>
      <c r="AG240" s="846"/>
      <c r="AH240" s="846"/>
      <c r="AI240" s="633" t="str">
        <f t="shared" si="34"/>
        <v/>
      </c>
      <c r="AJ240" s="1"/>
      <c r="AK240" s="94"/>
      <c r="AL240" s="98"/>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684"/>
      <c r="CB240" s="684"/>
      <c r="CC240" s="684"/>
      <c r="CD240" s="684"/>
      <c r="CE240" s="684"/>
      <c r="CF240" s="684"/>
      <c r="CG240" s="684"/>
      <c r="CH240" s="684"/>
      <c r="CI240" s="684"/>
      <c r="CJ240" s="684"/>
      <c r="CK240" s="684"/>
      <c r="CL240" s="684"/>
      <c r="CM240" s="684"/>
      <c r="CN240" s="684"/>
      <c r="CO240" s="684"/>
      <c r="CP240" s="684"/>
      <c r="CQ240" s="684"/>
      <c r="CR240" s="684"/>
      <c r="CS240" s="684"/>
      <c r="CT240" s="684"/>
      <c r="CU240" s="684"/>
      <c r="CV240" s="684"/>
      <c r="CW240" s="684"/>
      <c r="CX240" s="684"/>
      <c r="CY240" s="684"/>
      <c r="CZ240" s="684"/>
      <c r="DA240" s="684"/>
      <c r="DB240" s="684"/>
      <c r="DC240" s="684"/>
    </row>
    <row r="241" spans="1:107" s="5" customFormat="1" ht="12.75" customHeight="1">
      <c r="A241" s="1"/>
      <c r="B241" s="634" t="str">
        <f t="shared" si="29"/>
        <v/>
      </c>
      <c r="C241" s="248" t="str">
        <f t="shared" ref="C241:M241" si="41">IF(C25="","",C25)</f>
        <v/>
      </c>
      <c r="D241" s="248" t="str">
        <f t="shared" si="41"/>
        <v/>
      </c>
      <c r="E241" s="248" t="str">
        <f t="shared" si="41"/>
        <v/>
      </c>
      <c r="F241" s="248" t="str">
        <f t="shared" si="41"/>
        <v/>
      </c>
      <c r="G241" s="248" t="str">
        <f t="shared" si="41"/>
        <v/>
      </c>
      <c r="H241" s="248" t="str">
        <f t="shared" si="41"/>
        <v/>
      </c>
      <c r="I241" s="248" t="str">
        <f t="shared" si="41"/>
        <v/>
      </c>
      <c r="J241" s="248" t="str">
        <f t="shared" si="41"/>
        <v/>
      </c>
      <c r="K241" s="248" t="str">
        <f t="shared" si="41"/>
        <v/>
      </c>
      <c r="L241" s="248" t="str">
        <f t="shared" si="41"/>
        <v/>
      </c>
      <c r="M241" s="248" t="str">
        <f t="shared" si="41"/>
        <v/>
      </c>
      <c r="N241" s="248" t="str">
        <f t="shared" si="36"/>
        <v/>
      </c>
      <c r="O241" s="248" t="str">
        <f>IF(O25="","",O25)</f>
        <v/>
      </c>
      <c r="P241" s="248" t="str">
        <f t="shared" ref="P241:U242" si="42">IF(P25="","",P25)</f>
        <v/>
      </c>
      <c r="Q241" s="248" t="str">
        <f t="shared" si="42"/>
        <v/>
      </c>
      <c r="R241" s="248" t="str">
        <f t="shared" si="42"/>
        <v/>
      </c>
      <c r="S241" s="248" t="str">
        <f t="shared" si="42"/>
        <v/>
      </c>
      <c r="T241" s="248" t="str">
        <f t="shared" si="42"/>
        <v/>
      </c>
      <c r="U241" s="248" t="str">
        <f t="shared" si="42"/>
        <v/>
      </c>
      <c r="V241" s="248" t="str">
        <f t="shared" si="39"/>
        <v/>
      </c>
      <c r="W241" s="248" t="str">
        <f t="shared" si="39"/>
        <v/>
      </c>
      <c r="X241" s="248" t="str">
        <f>IF(X25="","",X25)</f>
        <v/>
      </c>
      <c r="Y241" s="248" t="str">
        <f>IF(Y25="","",Y25)</f>
        <v/>
      </c>
      <c r="Z241" s="248" t="str">
        <f t="shared" ref="Z241:AC242" si="43">IF(Z25="","",Z25)</f>
        <v/>
      </c>
      <c r="AA241" s="248" t="str">
        <f t="shared" si="43"/>
        <v/>
      </c>
      <c r="AB241" s="248" t="str">
        <f t="shared" si="43"/>
        <v/>
      </c>
      <c r="AC241" s="248" t="str">
        <f t="shared" si="43"/>
        <v/>
      </c>
      <c r="AD241" s="248" t="str">
        <f t="shared" si="40"/>
        <v/>
      </c>
      <c r="AE241" s="248" t="str">
        <f t="shared" si="40"/>
        <v/>
      </c>
      <c r="AF241" s="248" t="str">
        <f t="shared" si="40"/>
        <v/>
      </c>
      <c r="AG241" s="248" t="str">
        <f>IF(AG25="","",AG25)</f>
        <v/>
      </c>
      <c r="AH241" s="248" t="str">
        <f>IF(AH25="","",AH25)</f>
        <v/>
      </c>
      <c r="AI241" s="635" t="str">
        <f t="shared" si="34"/>
        <v/>
      </c>
      <c r="AJ241" s="1"/>
      <c r="AK241" s="94"/>
      <c r="AL241" s="98"/>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684"/>
      <c r="CB241" s="684"/>
      <c r="CC241" s="684"/>
      <c r="CD241" s="684"/>
      <c r="CE241" s="684"/>
      <c r="CF241" s="684"/>
      <c r="CG241" s="684"/>
      <c r="CH241" s="684"/>
      <c r="CI241" s="684"/>
      <c r="CJ241" s="684"/>
      <c r="CK241" s="684"/>
      <c r="CL241" s="684"/>
      <c r="CM241" s="684"/>
      <c r="CN241" s="684"/>
      <c r="CO241" s="684"/>
      <c r="CP241" s="684"/>
      <c r="CQ241" s="684"/>
      <c r="CR241" s="684"/>
      <c r="CS241" s="684"/>
      <c r="CT241" s="684"/>
      <c r="CU241" s="684"/>
      <c r="CV241" s="684"/>
      <c r="CW241" s="684"/>
      <c r="CX241" s="684"/>
      <c r="CY241" s="684"/>
      <c r="CZ241" s="684"/>
      <c r="DA241" s="684"/>
      <c r="DB241" s="684"/>
      <c r="DC241" s="684"/>
    </row>
    <row r="242" spans="1:107" s="5" customFormat="1" ht="12.75" customHeight="1">
      <c r="A242" s="1"/>
      <c r="B242" s="9" t="str">
        <f t="shared" si="29"/>
        <v/>
      </c>
      <c r="C242" s="9" t="str">
        <f t="shared" ref="C242:M242" si="44">IF(C26="","",C26)</f>
        <v/>
      </c>
      <c r="D242" s="9" t="str">
        <f t="shared" si="44"/>
        <v/>
      </c>
      <c r="E242" s="9" t="str">
        <f t="shared" si="44"/>
        <v/>
      </c>
      <c r="F242" s="9" t="str">
        <f t="shared" si="44"/>
        <v/>
      </c>
      <c r="G242" s="9" t="str">
        <f t="shared" si="44"/>
        <v/>
      </c>
      <c r="H242" s="9" t="str">
        <f t="shared" si="44"/>
        <v/>
      </c>
      <c r="I242" s="9" t="str">
        <f t="shared" si="44"/>
        <v/>
      </c>
      <c r="J242" s="9" t="str">
        <f t="shared" si="44"/>
        <v/>
      </c>
      <c r="K242" s="9" t="str">
        <f t="shared" si="44"/>
        <v/>
      </c>
      <c r="L242" s="9" t="str">
        <f t="shared" si="44"/>
        <v/>
      </c>
      <c r="M242" s="9" t="str">
        <f t="shared" si="44"/>
        <v/>
      </c>
      <c r="N242" s="9" t="str">
        <f t="shared" si="36"/>
        <v/>
      </c>
      <c r="O242" s="9" t="str">
        <f>IF(O26="","",O26)</f>
        <v/>
      </c>
      <c r="P242" s="9" t="str">
        <f t="shared" si="42"/>
        <v/>
      </c>
      <c r="Q242" s="9" t="str">
        <f t="shared" si="42"/>
        <v/>
      </c>
      <c r="R242" s="9" t="str">
        <f t="shared" si="42"/>
        <v/>
      </c>
      <c r="S242" s="9" t="str">
        <f t="shared" si="42"/>
        <v/>
      </c>
      <c r="T242" s="9" t="str">
        <f t="shared" si="42"/>
        <v/>
      </c>
      <c r="U242" s="9" t="str">
        <f t="shared" si="42"/>
        <v/>
      </c>
      <c r="V242" s="9" t="str">
        <f t="shared" si="39"/>
        <v/>
      </c>
      <c r="W242" s="9" t="str">
        <f t="shared" si="39"/>
        <v/>
      </c>
      <c r="X242" s="9" t="str">
        <f>IF(X26="","",X26)</f>
        <v/>
      </c>
      <c r="Y242" s="9" t="str">
        <f>IF(Y26="","",Y26)</f>
        <v/>
      </c>
      <c r="Z242" s="9" t="str">
        <f t="shared" si="43"/>
        <v/>
      </c>
      <c r="AA242" s="9" t="str">
        <f t="shared" si="43"/>
        <v/>
      </c>
      <c r="AB242" s="9" t="str">
        <f t="shared" si="43"/>
        <v/>
      </c>
      <c r="AC242" s="9" t="str">
        <f t="shared" si="43"/>
        <v/>
      </c>
      <c r="AD242" s="9" t="str">
        <f t="shared" si="40"/>
        <v/>
      </c>
      <c r="AE242" s="9" t="str">
        <f t="shared" si="40"/>
        <v/>
      </c>
      <c r="AF242" s="9" t="str">
        <f t="shared" si="40"/>
        <v/>
      </c>
      <c r="AG242" s="9" t="str">
        <f>IF(AG26="","",AG26)</f>
        <v/>
      </c>
      <c r="AH242" s="9" t="str">
        <f>IF(AH26="","",AH26)</f>
        <v/>
      </c>
      <c r="AI242" s="9" t="str">
        <f t="shared" si="34"/>
        <v/>
      </c>
      <c r="AJ242" s="1"/>
      <c r="AK242" s="94"/>
      <c r="AL242" s="98"/>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684"/>
      <c r="CB242" s="684"/>
      <c r="CC242" s="684"/>
      <c r="CD242" s="684"/>
      <c r="CE242" s="684"/>
      <c r="CF242" s="684"/>
      <c r="CG242" s="684"/>
      <c r="CH242" s="684"/>
      <c r="CI242" s="684"/>
      <c r="CJ242" s="684"/>
      <c r="CK242" s="684"/>
      <c r="CL242" s="684"/>
      <c r="CM242" s="684"/>
      <c r="CN242" s="684"/>
      <c r="CO242" s="684"/>
      <c r="CP242" s="684"/>
      <c r="CQ242" s="684"/>
      <c r="CR242" s="684"/>
      <c r="CS242" s="684"/>
      <c r="CT242" s="684"/>
      <c r="CU242" s="684"/>
      <c r="CV242" s="684"/>
      <c r="CW242" s="684"/>
      <c r="CX242" s="684"/>
      <c r="CY242" s="684"/>
      <c r="CZ242" s="684"/>
      <c r="DA242" s="684"/>
      <c r="DB242" s="684"/>
      <c r="DC242" s="684"/>
    </row>
    <row r="243" spans="1:107" s="5" customFormat="1" ht="12.75" customHeight="1">
      <c r="A243" s="1"/>
      <c r="B243" s="9" t="str">
        <f t="shared" si="29"/>
        <v/>
      </c>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623" t="str">
        <f t="shared" si="40"/>
        <v>Total Incentive for Dwelling Units</v>
      </c>
      <c r="AE243" s="9" t="str">
        <f t="shared" si="40"/>
        <v>$</v>
      </c>
      <c r="AF243" s="846" t="str">
        <f t="shared" si="40"/>
        <v/>
      </c>
      <c r="AG243" s="846"/>
      <c r="AH243" s="846"/>
      <c r="AI243" s="9" t="str">
        <f t="shared" si="34"/>
        <v/>
      </c>
      <c r="AJ243" s="1"/>
      <c r="AK243" s="94"/>
      <c r="AL243" s="98"/>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684"/>
      <c r="CB243" s="684"/>
      <c r="CC243" s="684"/>
      <c r="CD243" s="684"/>
      <c r="CE243" s="684"/>
      <c r="CF243" s="684"/>
      <c r="CG243" s="684"/>
      <c r="CH243" s="684"/>
      <c r="CI243" s="684"/>
      <c r="CJ243" s="684"/>
      <c r="CK243" s="684"/>
      <c r="CL243" s="684"/>
      <c r="CM243" s="684"/>
      <c r="CN243" s="684"/>
      <c r="CO243" s="684"/>
      <c r="CP243" s="684"/>
      <c r="CQ243" s="684"/>
      <c r="CR243" s="684"/>
      <c r="CS243" s="684"/>
      <c r="CT243" s="684"/>
      <c r="CU243" s="684"/>
      <c r="CV243" s="684"/>
      <c r="CW243" s="684"/>
      <c r="CX243" s="684"/>
      <c r="CY243" s="684"/>
      <c r="CZ243" s="684"/>
      <c r="DA243" s="684"/>
      <c r="DB243" s="684"/>
      <c r="DC243" s="684"/>
    </row>
    <row r="244" spans="1:107" s="5" customFormat="1" ht="12.75" customHeight="1">
      <c r="A244" s="1"/>
      <c r="B244" s="9" t="str">
        <f t="shared" si="29"/>
        <v/>
      </c>
      <c r="C244" s="9" t="str">
        <f t="shared" ref="C244:AC244" si="45">IF(C28="","",C28)</f>
        <v/>
      </c>
      <c r="D244" s="9" t="str">
        <f t="shared" si="45"/>
        <v/>
      </c>
      <c r="E244" s="9" t="str">
        <f t="shared" si="45"/>
        <v/>
      </c>
      <c r="F244" s="9" t="str">
        <f t="shared" si="45"/>
        <v/>
      </c>
      <c r="G244" s="9" t="str">
        <f t="shared" si="45"/>
        <v/>
      </c>
      <c r="H244" s="9" t="str">
        <f t="shared" si="45"/>
        <v/>
      </c>
      <c r="I244" s="9" t="str">
        <f t="shared" si="45"/>
        <v/>
      </c>
      <c r="J244" s="9" t="str">
        <f t="shared" si="45"/>
        <v/>
      </c>
      <c r="K244" s="9" t="str">
        <f t="shared" si="45"/>
        <v/>
      </c>
      <c r="L244" s="9" t="str">
        <f t="shared" si="45"/>
        <v/>
      </c>
      <c r="M244" s="9" t="str">
        <f t="shared" si="45"/>
        <v/>
      </c>
      <c r="N244" s="9" t="str">
        <f t="shared" si="45"/>
        <v/>
      </c>
      <c r="O244" s="9" t="str">
        <f t="shared" si="45"/>
        <v/>
      </c>
      <c r="P244" s="9" t="str">
        <f t="shared" si="45"/>
        <v/>
      </c>
      <c r="Q244" s="9" t="str">
        <f t="shared" si="45"/>
        <v/>
      </c>
      <c r="R244" s="9" t="str">
        <f t="shared" si="45"/>
        <v/>
      </c>
      <c r="S244" s="9" t="str">
        <f t="shared" si="45"/>
        <v/>
      </c>
      <c r="T244" s="9" t="str">
        <f t="shared" si="45"/>
        <v/>
      </c>
      <c r="U244" s="9" t="str">
        <f t="shared" si="45"/>
        <v/>
      </c>
      <c r="V244" s="9" t="str">
        <f t="shared" si="45"/>
        <v/>
      </c>
      <c r="W244" s="9" t="str">
        <f t="shared" si="45"/>
        <v/>
      </c>
      <c r="X244" s="9" t="str">
        <f t="shared" si="45"/>
        <v/>
      </c>
      <c r="Y244" s="9" t="str">
        <f t="shared" si="45"/>
        <v/>
      </c>
      <c r="Z244" s="9" t="str">
        <f t="shared" si="45"/>
        <v/>
      </c>
      <c r="AA244" s="9" t="str">
        <f t="shared" si="45"/>
        <v/>
      </c>
      <c r="AB244" s="9" t="str">
        <f t="shared" si="45"/>
        <v/>
      </c>
      <c r="AC244" s="9" t="str">
        <f t="shared" si="45"/>
        <v/>
      </c>
      <c r="AD244" s="9" t="str">
        <f t="shared" si="40"/>
        <v/>
      </c>
      <c r="AE244" s="9" t="str">
        <f t="shared" si="40"/>
        <v/>
      </c>
      <c r="AF244" s="9" t="str">
        <f t="shared" si="40"/>
        <v/>
      </c>
      <c r="AG244" s="9" t="str">
        <f>IF(AG28="","",AG28)</f>
        <v/>
      </c>
      <c r="AH244" s="9" t="str">
        <f>IF(AH28="","",AH28)</f>
        <v/>
      </c>
      <c r="AI244" s="9" t="str">
        <f t="shared" si="34"/>
        <v/>
      </c>
      <c r="AJ244" s="1"/>
      <c r="AK244" s="94"/>
      <c r="AL244" s="98"/>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684"/>
      <c r="CB244" s="684"/>
      <c r="CC244" s="684"/>
      <c r="CD244" s="684"/>
      <c r="CE244" s="684"/>
      <c r="CF244" s="684"/>
      <c r="CG244" s="684"/>
      <c r="CH244" s="684"/>
      <c r="CI244" s="684"/>
      <c r="CJ244" s="684"/>
      <c r="CK244" s="684"/>
      <c r="CL244" s="684"/>
      <c r="CM244" s="684"/>
      <c r="CN244" s="684"/>
      <c r="CO244" s="684"/>
      <c r="CP244" s="684"/>
      <c r="CQ244" s="684"/>
      <c r="CR244" s="684"/>
      <c r="CS244" s="684"/>
      <c r="CT244" s="684"/>
      <c r="CU244" s="684"/>
      <c r="CV244" s="684"/>
      <c r="CW244" s="684"/>
      <c r="CX244" s="684"/>
      <c r="CY244" s="684"/>
      <c r="CZ244" s="684"/>
      <c r="DA244" s="684"/>
      <c r="DB244" s="684"/>
      <c r="DC244" s="684"/>
    </row>
    <row r="245" spans="1:107" s="5" customFormat="1" ht="6" customHeight="1">
      <c r="A245" s="1"/>
      <c r="B245" s="631" t="str">
        <f t="shared" si="29"/>
        <v/>
      </c>
      <c r="C245" s="631" t="str">
        <f t="shared" ref="C245:AC245" si="46">IF(C29="","",C29)</f>
        <v/>
      </c>
      <c r="D245" s="631" t="str">
        <f t="shared" si="46"/>
        <v/>
      </c>
      <c r="E245" s="631" t="str">
        <f t="shared" si="46"/>
        <v/>
      </c>
      <c r="F245" s="631" t="str">
        <f t="shared" si="46"/>
        <v/>
      </c>
      <c r="G245" s="631" t="str">
        <f t="shared" si="46"/>
        <v/>
      </c>
      <c r="H245" s="631" t="str">
        <f t="shared" si="46"/>
        <v/>
      </c>
      <c r="I245" s="631" t="str">
        <f t="shared" si="46"/>
        <v/>
      </c>
      <c r="J245" s="631" t="str">
        <f t="shared" si="46"/>
        <v/>
      </c>
      <c r="K245" s="631" t="str">
        <f t="shared" si="46"/>
        <v/>
      </c>
      <c r="L245" s="631" t="str">
        <f t="shared" si="46"/>
        <v/>
      </c>
      <c r="M245" s="631" t="str">
        <f t="shared" si="46"/>
        <v/>
      </c>
      <c r="N245" s="631" t="str">
        <f t="shared" si="46"/>
        <v/>
      </c>
      <c r="O245" s="631" t="str">
        <f t="shared" si="46"/>
        <v/>
      </c>
      <c r="P245" s="631" t="str">
        <f t="shared" si="46"/>
        <v/>
      </c>
      <c r="Q245" s="631" t="str">
        <f t="shared" si="46"/>
        <v/>
      </c>
      <c r="R245" s="631" t="str">
        <f t="shared" si="46"/>
        <v/>
      </c>
      <c r="S245" s="631" t="str">
        <f t="shared" si="46"/>
        <v/>
      </c>
      <c r="T245" s="631" t="str">
        <f t="shared" si="46"/>
        <v/>
      </c>
      <c r="U245" s="631" t="str">
        <f t="shared" si="46"/>
        <v/>
      </c>
      <c r="V245" s="631" t="str">
        <f t="shared" si="46"/>
        <v/>
      </c>
      <c r="W245" s="631" t="str">
        <f t="shared" si="46"/>
        <v/>
      </c>
      <c r="X245" s="631" t="str">
        <f t="shared" si="46"/>
        <v/>
      </c>
      <c r="Y245" s="631" t="str">
        <f t="shared" si="46"/>
        <v/>
      </c>
      <c r="Z245" s="631" t="str">
        <f t="shared" si="46"/>
        <v/>
      </c>
      <c r="AA245" s="631" t="str">
        <f t="shared" si="46"/>
        <v/>
      </c>
      <c r="AB245" s="631" t="str">
        <f t="shared" si="46"/>
        <v/>
      </c>
      <c r="AC245" s="631" t="str">
        <f t="shared" si="46"/>
        <v/>
      </c>
      <c r="AD245" s="631" t="str">
        <f t="shared" si="40"/>
        <v/>
      </c>
      <c r="AE245" s="631" t="str">
        <f t="shared" si="40"/>
        <v/>
      </c>
      <c r="AF245" s="631" t="str">
        <f t="shared" si="40"/>
        <v/>
      </c>
      <c r="AG245" s="631" t="str">
        <f>IF(AG29="","",AG29)</f>
        <v/>
      </c>
      <c r="AH245" s="631" t="str">
        <f>IF(AH29="","",AH29)</f>
        <v/>
      </c>
      <c r="AI245" s="631" t="str">
        <f t="shared" si="34"/>
        <v/>
      </c>
      <c r="AJ245" s="1"/>
      <c r="AK245" s="94"/>
      <c r="AL245" s="98"/>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684"/>
      <c r="CB245" s="684"/>
      <c r="CC245" s="684"/>
      <c r="CD245" s="684"/>
      <c r="CE245" s="684"/>
      <c r="CF245" s="684"/>
      <c r="CG245" s="684"/>
      <c r="CH245" s="684"/>
      <c r="CI245" s="684"/>
      <c r="CJ245" s="684"/>
      <c r="CK245" s="684"/>
      <c r="CL245" s="684"/>
      <c r="CM245" s="684"/>
      <c r="CN245" s="684"/>
      <c r="CO245" s="684"/>
      <c r="CP245" s="684"/>
      <c r="CQ245" s="684"/>
      <c r="CR245" s="684"/>
      <c r="CS245" s="684"/>
      <c r="CT245" s="684"/>
      <c r="CU245" s="684"/>
      <c r="CV245" s="684"/>
      <c r="CW245" s="684"/>
      <c r="CX245" s="684"/>
      <c r="CY245" s="684"/>
      <c r="CZ245" s="684"/>
      <c r="DA245" s="684"/>
      <c r="DB245" s="684"/>
      <c r="DC245" s="684"/>
    </row>
    <row r="246" spans="1:107" s="5" customFormat="1" ht="12.75" customHeight="1">
      <c r="A246" s="1"/>
      <c r="B246" s="625" t="str">
        <f t="shared" si="29"/>
        <v>Common Area Incentives for Retrofits</v>
      </c>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1"/>
      <c r="AK246" s="94"/>
      <c r="AL246" s="98"/>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684"/>
      <c r="CB246" s="684"/>
      <c r="CC246" s="684"/>
      <c r="CD246" s="684"/>
      <c r="CE246" s="684"/>
      <c r="CF246" s="684"/>
      <c r="CG246" s="684"/>
      <c r="CH246" s="684"/>
      <c r="CI246" s="684"/>
      <c r="CJ246" s="684"/>
      <c r="CK246" s="684"/>
      <c r="CL246" s="684"/>
      <c r="CM246" s="684"/>
      <c r="CN246" s="684"/>
      <c r="CO246" s="684"/>
      <c r="CP246" s="684"/>
      <c r="CQ246" s="684"/>
      <c r="CR246" s="684"/>
      <c r="CS246" s="684"/>
      <c r="CT246" s="684"/>
      <c r="CU246" s="684"/>
      <c r="CV246" s="684"/>
      <c r="CW246" s="684"/>
      <c r="CX246" s="684"/>
      <c r="CY246" s="684"/>
      <c r="CZ246" s="684"/>
      <c r="DA246" s="684"/>
      <c r="DB246" s="684"/>
      <c r="DC246" s="684"/>
    </row>
    <row r="247" spans="1:107" s="5" customFormat="1" ht="12.75" hidden="1" customHeight="1">
      <c r="A247" s="1"/>
      <c r="B247" s="626" t="str">
        <f t="shared" si="29"/>
        <v>Lighting</v>
      </c>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1"/>
      <c r="AK247" s="94"/>
      <c r="AL247" s="98"/>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684"/>
      <c r="CB247" s="684"/>
      <c r="CC247" s="684"/>
      <c r="CD247" s="684"/>
      <c r="CE247" s="684"/>
      <c r="CF247" s="684"/>
      <c r="CG247" s="684"/>
      <c r="CH247" s="684"/>
      <c r="CI247" s="684"/>
      <c r="CJ247" s="684"/>
      <c r="CK247" s="684"/>
      <c r="CL247" s="684"/>
      <c r="CM247" s="684"/>
      <c r="CN247" s="684"/>
      <c r="CO247" s="684"/>
      <c r="CP247" s="684"/>
      <c r="CQ247" s="684"/>
      <c r="CR247" s="684"/>
      <c r="CS247" s="684"/>
      <c r="CT247" s="684"/>
      <c r="CU247" s="684"/>
      <c r="CV247" s="684"/>
      <c r="CW247" s="684"/>
      <c r="CX247" s="684"/>
      <c r="CY247" s="684"/>
      <c r="CZ247" s="684"/>
      <c r="DA247" s="684"/>
      <c r="DB247" s="684"/>
      <c r="DC247" s="684"/>
    </row>
    <row r="248" spans="1:107" s="5" customFormat="1" ht="12.75" hidden="1" customHeight="1">
      <c r="A248" s="1"/>
      <c r="B248" s="240"/>
      <c r="C248" s="241"/>
      <c r="D248" s="241"/>
      <c r="E248" s="241"/>
      <c r="F248" s="241"/>
      <c r="G248" s="241"/>
      <c r="H248" s="241"/>
      <c r="I248" s="241"/>
      <c r="J248" s="878" t="str">
        <f t="shared" ref="J248:J256" si="47">IF(J32="","",J32)</f>
        <v>Lighting Load</v>
      </c>
      <c r="K248" s="878"/>
      <c r="L248" s="878"/>
      <c r="M248" s="878"/>
      <c r="N248" s="878"/>
      <c r="O248" s="878"/>
      <c r="P248" s="878"/>
      <c r="Q248" s="241" t="str">
        <f t="shared" ref="Q248:AA248" si="48">IF(Q32="","",Q32)</f>
        <v/>
      </c>
      <c r="R248" s="241" t="str">
        <f t="shared" si="48"/>
        <v/>
      </c>
      <c r="S248" s="241" t="str">
        <f t="shared" si="48"/>
        <v/>
      </c>
      <c r="T248" s="241" t="str">
        <f t="shared" si="48"/>
        <v/>
      </c>
      <c r="U248" s="241" t="str">
        <f t="shared" si="48"/>
        <v/>
      </c>
      <c r="V248" s="241" t="str">
        <f t="shared" si="48"/>
        <v/>
      </c>
      <c r="W248" s="241" t="str">
        <f t="shared" si="48"/>
        <v/>
      </c>
      <c r="X248" s="241" t="str">
        <f t="shared" si="48"/>
        <v/>
      </c>
      <c r="Y248" s="241" t="str">
        <f t="shared" si="48"/>
        <v/>
      </c>
      <c r="Z248" s="241" t="str">
        <f t="shared" si="48"/>
        <v/>
      </c>
      <c r="AA248" s="879" t="str">
        <f t="shared" si="48"/>
        <v>x $0.10, $0.20 or $0.30 per sq ft    (or calculated) =</v>
      </c>
      <c r="AB248" s="879"/>
      <c r="AC248" s="879"/>
      <c r="AD248" s="879"/>
      <c r="AE248" s="241" t="str">
        <f>IF(AE32="","",AE32)</f>
        <v/>
      </c>
      <c r="AF248" s="241" t="str">
        <f>IF(AF32="","",AF32)</f>
        <v/>
      </c>
      <c r="AG248" s="241" t="str">
        <f>IF(AG32="","",AG32)</f>
        <v/>
      </c>
      <c r="AH248" s="241" t="str">
        <f>IF(AH32="","",AH32)</f>
        <v/>
      </c>
      <c r="AI248" s="242" t="str">
        <f>IF(AI32="","",AI32)</f>
        <v/>
      </c>
      <c r="AJ248" s="1"/>
      <c r="AK248" s="94"/>
      <c r="AL248" s="98"/>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684"/>
      <c r="CB248" s="684"/>
      <c r="CC248" s="684"/>
      <c r="CD248" s="684"/>
      <c r="CE248" s="684"/>
      <c r="CF248" s="684"/>
      <c r="CG248" s="684"/>
      <c r="CH248" s="684"/>
      <c r="CI248" s="684"/>
      <c r="CJ248" s="684"/>
      <c r="CK248" s="684"/>
      <c r="CL248" s="684"/>
      <c r="CM248" s="684"/>
      <c r="CN248" s="684"/>
      <c r="CO248" s="684"/>
      <c r="CP248" s="684"/>
      <c r="CQ248" s="684"/>
      <c r="CR248" s="684"/>
      <c r="CS248" s="684"/>
      <c r="CT248" s="684"/>
      <c r="CU248" s="684"/>
      <c r="CV248" s="684"/>
      <c r="CW248" s="684"/>
      <c r="CX248" s="684"/>
      <c r="CY248" s="684"/>
      <c r="CZ248" s="684"/>
      <c r="DA248" s="684"/>
      <c r="DB248" s="684"/>
      <c r="DC248" s="684"/>
    </row>
    <row r="249" spans="1:107" s="5" customFormat="1" hidden="1">
      <c r="A249" s="1"/>
      <c r="B249" s="253"/>
      <c r="C249" s="9"/>
      <c r="D249" s="9"/>
      <c r="E249" s="9"/>
      <c r="F249" s="9"/>
      <c r="G249" s="9"/>
      <c r="H249" s="9"/>
      <c r="I249" s="9"/>
      <c r="J249" s="9" t="str">
        <f t="shared" si="47"/>
        <v>Actual [kW]</v>
      </c>
      <c r="K249" s="9"/>
      <c r="L249" s="9"/>
      <c r="M249" s="9" t="str">
        <f t="shared" ref="M249:M256" si="49">IF(M33="","",M33)</f>
        <v>Code [kW]</v>
      </c>
      <c r="N249" s="9"/>
      <c r="O249" s="847" t="str">
        <f t="shared" ref="O249:O256" si="50">IF(O33="","",O33)</f>
        <v>% Below Code</v>
      </c>
      <c r="P249" s="847"/>
      <c r="Q249" s="847"/>
      <c r="R249" s="847"/>
      <c r="S249" s="9" t="str">
        <f t="shared" ref="S249:S256" si="51">IF(S33="","",S33)</f>
        <v>Operating Hours</v>
      </c>
      <c r="T249" s="9"/>
      <c r="U249" s="9"/>
      <c r="V249" s="9"/>
      <c r="W249" s="9"/>
      <c r="X249" s="9"/>
      <c r="Y249" s="9"/>
      <c r="Z249" s="9"/>
      <c r="AA249" s="736"/>
      <c r="AB249" s="736"/>
      <c r="AC249" s="736"/>
      <c r="AD249" s="736"/>
      <c r="AE249" s="9"/>
      <c r="AF249" s="9" t="str">
        <f t="shared" ref="AF249:AF258" si="52">IF(AF33="","",AF33)</f>
        <v>Incentive</v>
      </c>
      <c r="AG249" s="9"/>
      <c r="AH249" s="9"/>
      <c r="AI249" s="633"/>
      <c r="AJ249" s="1"/>
      <c r="AK249" s="94"/>
      <c r="AL249" s="98"/>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684"/>
      <c r="CB249" s="684"/>
      <c r="CC249" s="684"/>
      <c r="CD249" s="684"/>
      <c r="CE249" s="684"/>
      <c r="CF249" s="684"/>
      <c r="CG249" s="684"/>
      <c r="CH249" s="684"/>
      <c r="CI249" s="684"/>
      <c r="CJ249" s="684"/>
      <c r="CK249" s="684"/>
      <c r="CL249" s="684"/>
      <c r="CM249" s="684"/>
      <c r="CN249" s="684"/>
      <c r="CO249" s="684"/>
      <c r="CP249" s="684"/>
      <c r="CQ249" s="684"/>
      <c r="CR249" s="684"/>
      <c r="CS249" s="684"/>
      <c r="CT249" s="684"/>
      <c r="CU249" s="684"/>
      <c r="CV249" s="684"/>
      <c r="CW249" s="684"/>
      <c r="CX249" s="684"/>
      <c r="CY249" s="684"/>
      <c r="CZ249" s="684"/>
      <c r="DA249" s="684"/>
      <c r="DB249" s="684"/>
      <c r="DC249" s="684"/>
    </row>
    <row r="250" spans="1:107" s="5" customFormat="1" ht="12.75" hidden="1" customHeight="1">
      <c r="A250" s="1"/>
      <c r="B250" s="253" t="str">
        <f t="shared" ref="B250:C258" si="53">IF(B34="","",B34)</f>
        <v/>
      </c>
      <c r="C250" s="9" t="str">
        <f t="shared" si="53"/>
        <v xml:space="preserve"> L1N - Interior Light Load Red.</v>
      </c>
      <c r="D250" s="9"/>
      <c r="E250" s="9"/>
      <c r="F250" s="9"/>
      <c r="G250" s="9"/>
      <c r="H250" s="9"/>
      <c r="I250" s="9"/>
      <c r="J250" s="844" t="str">
        <f t="shared" si="47"/>
        <v/>
      </c>
      <c r="K250" s="845"/>
      <c r="L250" s="9" t="str">
        <f t="shared" ref="L250:L256" si="54">IF(L34="","",L34)</f>
        <v/>
      </c>
      <c r="M250" s="844" t="str">
        <f t="shared" si="49"/>
        <v/>
      </c>
      <c r="N250" s="845"/>
      <c r="O250" s="9" t="str">
        <f t="shared" si="50"/>
        <v/>
      </c>
      <c r="P250" s="846" t="str">
        <f t="shared" ref="P250:P256" si="55">IF(P34="","",P34)</f>
        <v/>
      </c>
      <c r="Q250" s="846"/>
      <c r="R250" s="9" t="str">
        <f t="shared" ref="R250:R256" si="56">IF(R34="","",R34)</f>
        <v/>
      </c>
      <c r="S250" s="844" t="str">
        <f t="shared" si="51"/>
        <v/>
      </c>
      <c r="T250" s="845"/>
      <c r="U250" s="9"/>
      <c r="V250" s="9"/>
      <c r="W250" s="623" t="str">
        <f t="shared" ref="W250:X258" si="57">IF(W34="","",W34)</f>
        <v xml:space="preserve">Floor Area: </v>
      </c>
      <c r="X250" s="844" t="str">
        <f t="shared" si="57"/>
        <v/>
      </c>
      <c r="Y250" s="845"/>
      <c r="Z250" s="9" t="str">
        <f t="shared" ref="Z250:Z256" si="58">IF(Z34="","",Z34)</f>
        <v>sq ft</v>
      </c>
      <c r="AA250" s="736"/>
      <c r="AB250" s="736"/>
      <c r="AC250" s="736"/>
      <c r="AD250" s="736"/>
      <c r="AE250" s="9" t="str">
        <f t="shared" ref="AE250:AE258" si="59">IF(AE34="","",AE34)</f>
        <v>$</v>
      </c>
      <c r="AF250" s="846" t="str">
        <f t="shared" si="52"/>
        <v/>
      </c>
      <c r="AG250" s="846"/>
      <c r="AH250" s="846"/>
      <c r="AI250" s="633" t="str">
        <f t="shared" ref="AI250:AI258" si="60">IF(AI34="","",AI34)</f>
        <v/>
      </c>
      <c r="AJ250" s="1"/>
      <c r="AK250" s="94"/>
      <c r="AL250" s="98"/>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684"/>
      <c r="CB250" s="684"/>
      <c r="CC250" s="684"/>
      <c r="CD250" s="684"/>
      <c r="CE250" s="684"/>
      <c r="CF250" s="684"/>
      <c r="CG250" s="684"/>
      <c r="CH250" s="684"/>
      <c r="CI250" s="684"/>
      <c r="CJ250" s="684"/>
      <c r="CK250" s="684"/>
      <c r="CL250" s="684"/>
      <c r="CM250" s="684"/>
      <c r="CN250" s="684"/>
      <c r="CO250" s="684"/>
      <c r="CP250" s="684"/>
      <c r="CQ250" s="684"/>
      <c r="CR250" s="684"/>
      <c r="CS250" s="684"/>
      <c r="CT250" s="684"/>
      <c r="CU250" s="684"/>
      <c r="CV250" s="684"/>
      <c r="CW250" s="684"/>
      <c r="CX250" s="684"/>
      <c r="CY250" s="684"/>
      <c r="CZ250" s="684"/>
      <c r="DA250" s="684"/>
      <c r="DB250" s="684"/>
      <c r="DC250" s="684"/>
    </row>
    <row r="251" spans="1:107" s="5" customFormat="1" ht="12.75" hidden="1" customHeight="1">
      <c r="A251" s="1"/>
      <c r="B251" s="253" t="str">
        <f t="shared" si="53"/>
        <v/>
      </c>
      <c r="C251" s="9" t="str">
        <f t="shared" si="53"/>
        <v xml:space="preserve"> L2N - Exterior Light Load Red.</v>
      </c>
      <c r="D251" s="9"/>
      <c r="E251" s="9"/>
      <c r="F251" s="9"/>
      <c r="G251" s="9"/>
      <c r="H251" s="9"/>
      <c r="I251" s="9"/>
      <c r="J251" s="844" t="str">
        <f t="shared" si="47"/>
        <v/>
      </c>
      <c r="K251" s="845"/>
      <c r="L251" s="9" t="str">
        <f t="shared" si="54"/>
        <v/>
      </c>
      <c r="M251" s="844" t="str">
        <f t="shared" si="49"/>
        <v/>
      </c>
      <c r="N251" s="845"/>
      <c r="O251" s="9" t="str">
        <f t="shared" si="50"/>
        <v/>
      </c>
      <c r="P251" s="846" t="str">
        <f t="shared" si="55"/>
        <v/>
      </c>
      <c r="Q251" s="846"/>
      <c r="R251" s="9" t="str">
        <f t="shared" si="56"/>
        <v/>
      </c>
      <c r="S251" s="844" t="str">
        <f t="shared" si="51"/>
        <v/>
      </c>
      <c r="T251" s="845"/>
      <c r="U251" s="9"/>
      <c r="V251" s="9"/>
      <c r="W251" s="623" t="str">
        <f t="shared" si="57"/>
        <v xml:space="preserve">Reduction: </v>
      </c>
      <c r="X251" s="863" t="str">
        <f t="shared" si="57"/>
        <v/>
      </c>
      <c r="Y251" s="863"/>
      <c r="Z251" s="9" t="str">
        <f t="shared" si="58"/>
        <v>kW</v>
      </c>
      <c r="AA251" s="9"/>
      <c r="AB251" s="9"/>
      <c r="AC251" s="9"/>
      <c r="AD251" s="623" t="str">
        <f t="shared" ref="AD251:AD258" si="61">IF(AD35="","",AD35)</f>
        <v>x $200 per kW =</v>
      </c>
      <c r="AE251" s="9" t="str">
        <f t="shared" si="59"/>
        <v>$</v>
      </c>
      <c r="AF251" s="846" t="str">
        <f t="shared" si="52"/>
        <v/>
      </c>
      <c r="AG251" s="846"/>
      <c r="AH251" s="846"/>
      <c r="AI251" s="633" t="str">
        <f t="shared" si="60"/>
        <v/>
      </c>
      <c r="AJ251" s="1"/>
      <c r="AK251" s="94"/>
      <c r="AL251" s="98"/>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684"/>
      <c r="CB251" s="684"/>
      <c r="CC251" s="684"/>
      <c r="CD251" s="684"/>
      <c r="CE251" s="684"/>
      <c r="CF251" s="684"/>
      <c r="CG251" s="684"/>
      <c r="CH251" s="684"/>
      <c r="CI251" s="684"/>
      <c r="CJ251" s="684"/>
      <c r="CK251" s="684"/>
      <c r="CL251" s="684"/>
      <c r="CM251" s="684"/>
      <c r="CN251" s="684"/>
      <c r="CO251" s="684"/>
      <c r="CP251" s="684"/>
      <c r="CQ251" s="684"/>
      <c r="CR251" s="684"/>
      <c r="CS251" s="684"/>
      <c r="CT251" s="684"/>
      <c r="CU251" s="684"/>
      <c r="CV251" s="684"/>
      <c r="CW251" s="684"/>
      <c r="CX251" s="684"/>
      <c r="CY251" s="684"/>
      <c r="CZ251" s="684"/>
      <c r="DA251" s="684"/>
      <c r="DB251" s="684"/>
      <c r="DC251" s="684"/>
    </row>
    <row r="252" spans="1:107" s="630" customFormat="1" ht="12.75" hidden="1" customHeight="1">
      <c r="A252" s="504"/>
      <c r="B252" s="636" t="str">
        <f t="shared" si="53"/>
        <v/>
      </c>
      <c r="C252" s="628" t="str">
        <f t="shared" si="53"/>
        <v xml:space="preserve"> L3a - LLLC Interior (Networked)</v>
      </c>
      <c r="D252" s="628" t="str">
        <f t="shared" ref="D252:I256" si="62">IF(D36="","",D36)</f>
        <v/>
      </c>
      <c r="E252" s="628" t="str">
        <f t="shared" si="62"/>
        <v/>
      </c>
      <c r="F252" s="628" t="str">
        <f t="shared" si="62"/>
        <v/>
      </c>
      <c r="G252" s="628" t="str">
        <f t="shared" si="62"/>
        <v/>
      </c>
      <c r="H252" s="628" t="str">
        <f t="shared" si="62"/>
        <v/>
      </c>
      <c r="I252" s="628" t="str">
        <f t="shared" si="62"/>
        <v/>
      </c>
      <c r="J252" s="628" t="str">
        <f t="shared" si="47"/>
        <v/>
      </c>
      <c r="K252" s="628" t="str">
        <f>IF(K36="","",K36)</f>
        <v/>
      </c>
      <c r="L252" s="628" t="str">
        <f t="shared" si="54"/>
        <v>See L3 LLLC Tab for Req.</v>
      </c>
      <c r="M252" s="628" t="str">
        <f t="shared" si="49"/>
        <v/>
      </c>
      <c r="N252" s="628" t="str">
        <f>IF(N36="","",N36)</f>
        <v/>
      </c>
      <c r="O252" s="628" t="str">
        <f t="shared" si="50"/>
        <v/>
      </c>
      <c r="P252" s="628" t="str">
        <f t="shared" si="55"/>
        <v/>
      </c>
      <c r="Q252" s="628" t="str">
        <f>IF(Q36="","",Q36)</f>
        <v/>
      </c>
      <c r="R252" s="628" t="str">
        <f t="shared" si="56"/>
        <v/>
      </c>
      <c r="S252" s="628" t="str">
        <f t="shared" si="51"/>
        <v/>
      </c>
      <c r="T252" s="628" t="str">
        <f t="shared" ref="T252:V256" si="63">IF(T36="","",T36)</f>
        <v/>
      </c>
      <c r="U252" s="628" t="str">
        <f t="shared" si="63"/>
        <v/>
      </c>
      <c r="V252" s="628" t="str">
        <f t="shared" si="63"/>
        <v/>
      </c>
      <c r="W252" s="637" t="str">
        <f t="shared" si="57"/>
        <v xml:space="preserve">Installed: </v>
      </c>
      <c r="X252" s="857" t="str">
        <f t="shared" si="57"/>
        <v/>
      </c>
      <c r="Y252" s="858"/>
      <c r="Z252" s="628" t="str">
        <f t="shared" si="58"/>
        <v>kW</v>
      </c>
      <c r="AA252" s="628" t="str">
        <f t="shared" ref="AA252:AC256" si="64">IF(AA36="","",AA36)</f>
        <v/>
      </c>
      <c r="AB252" s="628" t="str">
        <f t="shared" si="64"/>
        <v/>
      </c>
      <c r="AC252" s="628" t="str">
        <f t="shared" si="64"/>
        <v/>
      </c>
      <c r="AD252" s="637" t="str">
        <f t="shared" si="61"/>
        <v>x $0.26 per kWh=</v>
      </c>
      <c r="AE252" s="628" t="str">
        <f t="shared" si="59"/>
        <v>$</v>
      </c>
      <c r="AF252" s="628" t="str">
        <f t="shared" si="52"/>
        <v/>
      </c>
      <c r="AG252" s="628" t="str">
        <f t="shared" ref="AG252:AH256" si="65">IF(AG36="","",AG36)</f>
        <v/>
      </c>
      <c r="AH252" s="628" t="str">
        <f t="shared" si="65"/>
        <v/>
      </c>
      <c r="AI252" s="638" t="str">
        <f t="shared" si="60"/>
        <v/>
      </c>
      <c r="AJ252" s="504"/>
      <c r="AK252" s="627"/>
      <c r="AL252" s="629"/>
      <c r="AM252" s="627"/>
      <c r="AN252" s="627"/>
      <c r="AO252" s="627"/>
      <c r="AP252" s="627"/>
      <c r="AQ252" s="627"/>
      <c r="AR252" s="627"/>
      <c r="AS252" s="627"/>
      <c r="AT252" s="627"/>
      <c r="AU252" s="627"/>
      <c r="AV252" s="627"/>
      <c r="AW252" s="627"/>
      <c r="AX252" s="627"/>
      <c r="AY252" s="627"/>
      <c r="AZ252" s="627"/>
      <c r="BA252" s="627"/>
      <c r="BB252" s="627"/>
      <c r="BC252" s="627"/>
      <c r="BD252" s="627"/>
      <c r="BE252" s="627"/>
      <c r="BF252" s="627"/>
      <c r="BG252" s="627"/>
      <c r="BH252" s="627"/>
      <c r="BI252" s="627"/>
      <c r="BJ252" s="627"/>
      <c r="BK252" s="627"/>
      <c r="BL252" s="627"/>
      <c r="BM252" s="627"/>
      <c r="BN252" s="627"/>
      <c r="BO252" s="627"/>
      <c r="BP252" s="627"/>
      <c r="BQ252" s="627"/>
      <c r="BR252" s="627"/>
      <c r="BS252" s="627"/>
      <c r="BT252" s="627"/>
      <c r="BU252" s="627"/>
      <c r="BV252" s="627"/>
      <c r="BW252" s="627"/>
      <c r="BX252" s="627"/>
      <c r="BY252" s="627"/>
      <c r="BZ252" s="627"/>
      <c r="CA252" s="690"/>
      <c r="CB252" s="690"/>
      <c r="CC252" s="690"/>
      <c r="CD252" s="690"/>
      <c r="CE252" s="690"/>
      <c r="CF252" s="690"/>
      <c r="CG252" s="690"/>
      <c r="CH252" s="690"/>
      <c r="CI252" s="690"/>
      <c r="CJ252" s="690"/>
      <c r="CK252" s="690"/>
      <c r="CL252" s="690"/>
      <c r="CM252" s="690"/>
      <c r="CN252" s="690"/>
      <c r="CO252" s="690"/>
      <c r="CP252" s="690"/>
      <c r="CQ252" s="690"/>
      <c r="CR252" s="690"/>
      <c r="CS252" s="690"/>
      <c r="CT252" s="690"/>
      <c r="CU252" s="690"/>
      <c r="CV252" s="690"/>
      <c r="CW252" s="690"/>
      <c r="CX252" s="690"/>
      <c r="CY252" s="690"/>
      <c r="CZ252" s="690"/>
      <c r="DA252" s="690"/>
      <c r="DB252" s="690"/>
      <c r="DC252" s="690"/>
    </row>
    <row r="253" spans="1:107" s="630" customFormat="1" ht="12.75" hidden="1" customHeight="1">
      <c r="A253" s="504"/>
      <c r="B253" s="636" t="str">
        <f t="shared" si="53"/>
        <v/>
      </c>
      <c r="C253" s="628" t="str">
        <f t="shared" si="53"/>
        <v/>
      </c>
      <c r="D253" s="628" t="str">
        <f t="shared" si="62"/>
        <v/>
      </c>
      <c r="E253" s="628" t="str">
        <f t="shared" si="62"/>
        <v/>
      </c>
      <c r="F253" s="628" t="str">
        <f t="shared" si="62"/>
        <v>Control Strategy 1:</v>
      </c>
      <c r="G253" s="628" t="str">
        <f t="shared" si="62"/>
        <v/>
      </c>
      <c r="H253" s="628" t="str">
        <f t="shared" si="62"/>
        <v/>
      </c>
      <c r="I253" s="628" t="str">
        <f t="shared" si="62"/>
        <v/>
      </c>
      <c r="J253" s="628" t="str">
        <f t="shared" si="47"/>
        <v/>
      </c>
      <c r="K253" s="628" t="str">
        <f>IF(K37="","",K37)</f>
        <v/>
      </c>
      <c r="L253" s="628" t="str">
        <f t="shared" si="54"/>
        <v/>
      </c>
      <c r="M253" s="628" t="str">
        <f t="shared" si="49"/>
        <v/>
      </c>
      <c r="N253" s="628" t="str">
        <f>IF(N37="","",N37)</f>
        <v/>
      </c>
      <c r="O253" s="628" t="str">
        <f t="shared" si="50"/>
        <v/>
      </c>
      <c r="P253" s="628" t="str">
        <f t="shared" si="55"/>
        <v/>
      </c>
      <c r="Q253" s="628" t="str">
        <f>IF(Q37="","",Q37)</f>
        <v/>
      </c>
      <c r="R253" s="628" t="str">
        <f t="shared" si="56"/>
        <v/>
      </c>
      <c r="S253" s="628" t="str">
        <f t="shared" si="51"/>
        <v/>
      </c>
      <c r="T253" s="628" t="str">
        <f t="shared" si="63"/>
        <v/>
      </c>
      <c r="U253" s="628" t="str">
        <f t="shared" si="63"/>
        <v/>
      </c>
      <c r="V253" s="628" t="str">
        <f t="shared" si="63"/>
        <v>Control Strategy 2:</v>
      </c>
      <c r="W253" s="628" t="str">
        <f t="shared" si="57"/>
        <v/>
      </c>
      <c r="X253" s="628" t="str">
        <f t="shared" si="57"/>
        <v/>
      </c>
      <c r="Y253" s="628" t="str">
        <f>IF(Y37="","",Y37)</f>
        <v/>
      </c>
      <c r="Z253" s="628" t="str">
        <f t="shared" si="58"/>
        <v/>
      </c>
      <c r="AA253" s="628" t="str">
        <f t="shared" si="64"/>
        <v/>
      </c>
      <c r="AB253" s="628" t="str">
        <f t="shared" si="64"/>
        <v/>
      </c>
      <c r="AC253" s="628" t="str">
        <f t="shared" si="64"/>
        <v/>
      </c>
      <c r="AD253" s="637" t="str">
        <f t="shared" si="61"/>
        <v/>
      </c>
      <c r="AE253" s="628" t="str">
        <f t="shared" si="59"/>
        <v/>
      </c>
      <c r="AF253" s="628" t="str">
        <f t="shared" si="52"/>
        <v/>
      </c>
      <c r="AG253" s="628" t="str">
        <f t="shared" si="65"/>
        <v/>
      </c>
      <c r="AH253" s="628" t="str">
        <f t="shared" si="65"/>
        <v/>
      </c>
      <c r="AI253" s="638" t="str">
        <f t="shared" si="60"/>
        <v/>
      </c>
      <c r="AJ253" s="504"/>
      <c r="AK253" s="627"/>
      <c r="AL253" s="629"/>
      <c r="AM253" s="627"/>
      <c r="AN253" s="627"/>
      <c r="AO253" s="627"/>
      <c r="AP253" s="627"/>
      <c r="AQ253" s="627"/>
      <c r="AR253" s="627"/>
      <c r="AS253" s="627"/>
      <c r="AT253" s="627"/>
      <c r="AU253" s="627"/>
      <c r="AV253" s="627"/>
      <c r="AW253" s="627"/>
      <c r="AX253" s="627"/>
      <c r="AY253" s="627"/>
      <c r="AZ253" s="627"/>
      <c r="BA253" s="627"/>
      <c r="BB253" s="627"/>
      <c r="BC253" s="627"/>
      <c r="BD253" s="627"/>
      <c r="BE253" s="627"/>
      <c r="BF253" s="627"/>
      <c r="BG253" s="627"/>
      <c r="BH253" s="627"/>
      <c r="BI253" s="627"/>
      <c r="BJ253" s="627"/>
      <c r="BK253" s="627"/>
      <c r="BL253" s="627"/>
      <c r="BM253" s="627"/>
      <c r="BN253" s="627"/>
      <c r="BO253" s="627"/>
      <c r="BP253" s="627"/>
      <c r="BQ253" s="627"/>
      <c r="BR253" s="627"/>
      <c r="BS253" s="627"/>
      <c r="BT253" s="627"/>
      <c r="BU253" s="627"/>
      <c r="BV253" s="627"/>
      <c r="BW253" s="627"/>
      <c r="BX253" s="627"/>
      <c r="BY253" s="627"/>
      <c r="BZ253" s="627"/>
      <c r="CA253" s="690"/>
      <c r="CB253" s="690"/>
      <c r="CC253" s="690"/>
      <c r="CD253" s="690"/>
      <c r="CE253" s="690"/>
      <c r="CF253" s="690"/>
      <c r="CG253" s="690"/>
      <c r="CH253" s="690"/>
      <c r="CI253" s="690"/>
      <c r="CJ253" s="690"/>
      <c r="CK253" s="690"/>
      <c r="CL253" s="690"/>
      <c r="CM253" s="690"/>
      <c r="CN253" s="690"/>
      <c r="CO253" s="690"/>
      <c r="CP253" s="690"/>
      <c r="CQ253" s="690"/>
      <c r="CR253" s="690"/>
      <c r="CS253" s="690"/>
      <c r="CT253" s="690"/>
      <c r="CU253" s="690"/>
      <c r="CV253" s="690"/>
      <c r="CW253" s="690"/>
      <c r="CX253" s="690"/>
      <c r="CY253" s="690"/>
      <c r="CZ253" s="690"/>
      <c r="DA253" s="690"/>
      <c r="DB253" s="690"/>
      <c r="DC253" s="690"/>
    </row>
    <row r="254" spans="1:107" s="630" customFormat="1" ht="12.75" hidden="1" customHeight="1">
      <c r="A254" s="504"/>
      <c r="B254" s="636" t="str">
        <f t="shared" si="53"/>
        <v/>
      </c>
      <c r="C254" s="628" t="str">
        <f t="shared" si="53"/>
        <v xml:space="preserve"> L3b - LLLC Exterior (Networked)</v>
      </c>
      <c r="D254" s="628" t="str">
        <f t="shared" si="62"/>
        <v/>
      </c>
      <c r="E254" s="628" t="str">
        <f t="shared" si="62"/>
        <v/>
      </c>
      <c r="F254" s="628" t="str">
        <f t="shared" si="62"/>
        <v/>
      </c>
      <c r="G254" s="628" t="str">
        <f t="shared" si="62"/>
        <v/>
      </c>
      <c r="H254" s="628" t="str">
        <f t="shared" si="62"/>
        <v/>
      </c>
      <c r="I254" s="628" t="str">
        <f t="shared" si="62"/>
        <v/>
      </c>
      <c r="J254" s="628" t="str">
        <f t="shared" si="47"/>
        <v/>
      </c>
      <c r="K254" s="628" t="str">
        <f>IF(K38="","",K38)</f>
        <v/>
      </c>
      <c r="L254" s="628" t="str">
        <f t="shared" si="54"/>
        <v>See L3 LLLC Tab for Req.</v>
      </c>
      <c r="M254" s="628" t="str">
        <f t="shared" si="49"/>
        <v/>
      </c>
      <c r="N254" s="628" t="str">
        <f>IF(N38="","",N38)</f>
        <v/>
      </c>
      <c r="O254" s="628" t="str">
        <f t="shared" si="50"/>
        <v/>
      </c>
      <c r="P254" s="628" t="str">
        <f t="shared" si="55"/>
        <v/>
      </c>
      <c r="Q254" s="628" t="str">
        <f>IF(Q38="","",Q38)</f>
        <v/>
      </c>
      <c r="R254" s="628" t="str">
        <f t="shared" si="56"/>
        <v/>
      </c>
      <c r="S254" s="628" t="str">
        <f t="shared" si="51"/>
        <v/>
      </c>
      <c r="T254" s="628" t="str">
        <f t="shared" si="63"/>
        <v/>
      </c>
      <c r="U254" s="628" t="str">
        <f t="shared" si="63"/>
        <v/>
      </c>
      <c r="V254" s="628" t="str">
        <f t="shared" si="63"/>
        <v/>
      </c>
      <c r="W254" s="628" t="str">
        <f t="shared" si="57"/>
        <v xml:space="preserve">Installed: </v>
      </c>
      <c r="X254" s="628" t="str">
        <f t="shared" si="57"/>
        <v/>
      </c>
      <c r="Y254" s="628" t="str">
        <f>IF(Y38="","",Y38)</f>
        <v/>
      </c>
      <c r="Z254" s="628" t="str">
        <f t="shared" si="58"/>
        <v>kW</v>
      </c>
      <c r="AA254" s="628" t="str">
        <f t="shared" si="64"/>
        <v/>
      </c>
      <c r="AB254" s="628" t="str">
        <f t="shared" si="64"/>
        <v/>
      </c>
      <c r="AC254" s="628" t="str">
        <f t="shared" si="64"/>
        <v/>
      </c>
      <c r="AD254" s="637" t="str">
        <f t="shared" si="61"/>
        <v>x $0.20 per kWh=</v>
      </c>
      <c r="AE254" s="628" t="str">
        <f t="shared" si="59"/>
        <v>$</v>
      </c>
      <c r="AF254" s="628" t="str">
        <f t="shared" si="52"/>
        <v/>
      </c>
      <c r="AG254" s="628" t="str">
        <f t="shared" si="65"/>
        <v/>
      </c>
      <c r="AH254" s="628" t="str">
        <f t="shared" si="65"/>
        <v/>
      </c>
      <c r="AI254" s="638" t="str">
        <f t="shared" si="60"/>
        <v/>
      </c>
      <c r="AJ254" s="504"/>
      <c r="AK254" s="627"/>
      <c r="AL254" s="629"/>
      <c r="AM254" s="627"/>
      <c r="AN254" s="627"/>
      <c r="AO254" s="627"/>
      <c r="AP254" s="627"/>
      <c r="AQ254" s="627"/>
      <c r="AR254" s="627"/>
      <c r="AS254" s="627"/>
      <c r="AT254" s="627"/>
      <c r="AU254" s="627"/>
      <c r="AV254" s="627"/>
      <c r="AW254" s="627"/>
      <c r="AX254" s="627"/>
      <c r="AY254" s="627"/>
      <c r="AZ254" s="627"/>
      <c r="BA254" s="627"/>
      <c r="BB254" s="627"/>
      <c r="BC254" s="627"/>
      <c r="BD254" s="627"/>
      <c r="BE254" s="627"/>
      <c r="BF254" s="627"/>
      <c r="BG254" s="627"/>
      <c r="BH254" s="627"/>
      <c r="BI254" s="627"/>
      <c r="BJ254" s="627"/>
      <c r="BK254" s="627"/>
      <c r="BL254" s="627"/>
      <c r="BM254" s="627"/>
      <c r="BN254" s="627"/>
      <c r="BO254" s="627"/>
      <c r="BP254" s="627"/>
      <c r="BQ254" s="627"/>
      <c r="BR254" s="627"/>
      <c r="BS254" s="627"/>
      <c r="BT254" s="627"/>
      <c r="BU254" s="627"/>
      <c r="BV254" s="627"/>
      <c r="BW254" s="627"/>
      <c r="BX254" s="627"/>
      <c r="BY254" s="627"/>
      <c r="BZ254" s="627"/>
      <c r="CA254" s="690"/>
      <c r="CB254" s="690"/>
      <c r="CC254" s="690"/>
      <c r="CD254" s="690"/>
      <c r="CE254" s="690"/>
      <c r="CF254" s="690"/>
      <c r="CG254" s="690"/>
      <c r="CH254" s="690"/>
      <c r="CI254" s="690"/>
      <c r="CJ254" s="690"/>
      <c r="CK254" s="690"/>
      <c r="CL254" s="690"/>
      <c r="CM254" s="690"/>
      <c r="CN254" s="690"/>
      <c r="CO254" s="690"/>
      <c r="CP254" s="690"/>
      <c r="CQ254" s="690"/>
      <c r="CR254" s="690"/>
      <c r="CS254" s="690"/>
      <c r="CT254" s="690"/>
      <c r="CU254" s="690"/>
      <c r="CV254" s="690"/>
      <c r="CW254" s="690"/>
      <c r="CX254" s="690"/>
      <c r="CY254" s="690"/>
      <c r="CZ254" s="690"/>
      <c r="DA254" s="690"/>
      <c r="DB254" s="690"/>
      <c r="DC254" s="690"/>
    </row>
    <row r="255" spans="1:107" s="630" customFormat="1" ht="12.75" hidden="1" customHeight="1">
      <c r="A255" s="504"/>
      <c r="B255" s="636" t="str">
        <f t="shared" si="53"/>
        <v/>
      </c>
      <c r="C255" s="628" t="str">
        <f t="shared" si="53"/>
        <v/>
      </c>
      <c r="D255" s="628" t="str">
        <f t="shared" si="62"/>
        <v/>
      </c>
      <c r="E255" s="628" t="str">
        <f t="shared" si="62"/>
        <v/>
      </c>
      <c r="F255" s="628" t="str">
        <f t="shared" si="62"/>
        <v>Control Strategy 1:</v>
      </c>
      <c r="G255" s="628" t="str">
        <f t="shared" si="62"/>
        <v/>
      </c>
      <c r="H255" s="628" t="str">
        <f t="shared" si="62"/>
        <v/>
      </c>
      <c r="I255" s="628" t="str">
        <f t="shared" si="62"/>
        <v/>
      </c>
      <c r="J255" s="628" t="str">
        <f t="shared" si="47"/>
        <v/>
      </c>
      <c r="K255" s="628" t="str">
        <f>IF(K39="","",K39)</f>
        <v/>
      </c>
      <c r="L255" s="628" t="str">
        <f t="shared" si="54"/>
        <v/>
      </c>
      <c r="M255" s="628" t="str">
        <f t="shared" si="49"/>
        <v/>
      </c>
      <c r="N255" s="628" t="str">
        <f>IF(N39="","",N39)</f>
        <v/>
      </c>
      <c r="O255" s="628" t="str">
        <f t="shared" si="50"/>
        <v/>
      </c>
      <c r="P255" s="628" t="str">
        <f t="shared" si="55"/>
        <v/>
      </c>
      <c r="Q255" s="628" t="str">
        <f>IF(Q39="","",Q39)</f>
        <v/>
      </c>
      <c r="R255" s="628" t="str">
        <f t="shared" si="56"/>
        <v/>
      </c>
      <c r="S255" s="628" t="str">
        <f t="shared" si="51"/>
        <v/>
      </c>
      <c r="T255" s="628" t="str">
        <f t="shared" si="63"/>
        <v/>
      </c>
      <c r="U255" s="628" t="str">
        <f t="shared" si="63"/>
        <v/>
      </c>
      <c r="V255" s="628" t="str">
        <f t="shared" si="63"/>
        <v>Control Strategy 2:</v>
      </c>
      <c r="W255" s="628" t="str">
        <f t="shared" si="57"/>
        <v/>
      </c>
      <c r="X255" s="628" t="str">
        <f t="shared" si="57"/>
        <v/>
      </c>
      <c r="Y255" s="628" t="str">
        <f>IF(Y39="","",Y39)</f>
        <v/>
      </c>
      <c r="Z255" s="628" t="str">
        <f t="shared" si="58"/>
        <v/>
      </c>
      <c r="AA255" s="628" t="str">
        <f t="shared" si="64"/>
        <v/>
      </c>
      <c r="AB255" s="628" t="str">
        <f t="shared" si="64"/>
        <v/>
      </c>
      <c r="AC255" s="628" t="str">
        <f t="shared" si="64"/>
        <v/>
      </c>
      <c r="AD255" s="637" t="str">
        <f t="shared" si="61"/>
        <v/>
      </c>
      <c r="AE255" s="628" t="str">
        <f t="shared" si="59"/>
        <v/>
      </c>
      <c r="AF255" s="628" t="str">
        <f t="shared" si="52"/>
        <v/>
      </c>
      <c r="AG255" s="628" t="str">
        <f t="shared" si="65"/>
        <v/>
      </c>
      <c r="AH255" s="628" t="str">
        <f t="shared" si="65"/>
        <v/>
      </c>
      <c r="AI255" s="638" t="str">
        <f t="shared" si="60"/>
        <v/>
      </c>
      <c r="AJ255" s="504"/>
      <c r="AK255" s="627"/>
      <c r="AL255" s="629"/>
      <c r="AM255" s="627"/>
      <c r="AN255" s="627"/>
      <c r="AO255" s="627"/>
      <c r="AP255" s="627"/>
      <c r="AQ255" s="627"/>
      <c r="AR255" s="627"/>
      <c r="AS255" s="627"/>
      <c r="AT255" s="627"/>
      <c r="AU255" s="627"/>
      <c r="AV255" s="627"/>
      <c r="AW255" s="627"/>
      <c r="AX255" s="627"/>
      <c r="AY255" s="627"/>
      <c r="AZ255" s="627"/>
      <c r="BA255" s="627"/>
      <c r="BB255" s="627"/>
      <c r="BC255" s="627"/>
      <c r="BD255" s="627"/>
      <c r="BE255" s="627"/>
      <c r="BF255" s="627"/>
      <c r="BG255" s="627"/>
      <c r="BH255" s="627"/>
      <c r="BI255" s="627"/>
      <c r="BJ255" s="627"/>
      <c r="BK255" s="627"/>
      <c r="BL255" s="627"/>
      <c r="BM255" s="627"/>
      <c r="BN255" s="627"/>
      <c r="BO255" s="627"/>
      <c r="BP255" s="627"/>
      <c r="BQ255" s="627"/>
      <c r="BR255" s="627"/>
      <c r="BS255" s="627"/>
      <c r="BT255" s="627"/>
      <c r="BU255" s="627"/>
      <c r="BV255" s="627"/>
      <c r="BW255" s="627"/>
      <c r="BX255" s="627"/>
      <c r="BY255" s="627"/>
      <c r="BZ255" s="627"/>
      <c r="CA255" s="690"/>
      <c r="CB255" s="690"/>
      <c r="CC255" s="690"/>
      <c r="CD255" s="690"/>
      <c r="CE255" s="690"/>
      <c r="CF255" s="690"/>
      <c r="CG255" s="690"/>
      <c r="CH255" s="690"/>
      <c r="CI255" s="690"/>
      <c r="CJ255" s="690"/>
      <c r="CK255" s="690"/>
      <c r="CL255" s="690"/>
      <c r="CM255" s="690"/>
      <c r="CN255" s="690"/>
      <c r="CO255" s="690"/>
      <c r="CP255" s="690"/>
      <c r="CQ255" s="690"/>
      <c r="CR255" s="690"/>
      <c r="CS255" s="690"/>
      <c r="CT255" s="690"/>
      <c r="CU255" s="690"/>
      <c r="CV255" s="690"/>
      <c r="CW255" s="690"/>
      <c r="CX255" s="690"/>
      <c r="CY255" s="690"/>
      <c r="CZ255" s="690"/>
      <c r="DA255" s="690"/>
      <c r="DB255" s="690"/>
      <c r="DC255" s="690"/>
    </row>
    <row r="256" spans="1:107" s="630" customFormat="1" ht="12.75" hidden="1" customHeight="1">
      <c r="A256" s="504"/>
      <c r="B256" s="636" t="str">
        <f t="shared" si="53"/>
        <v/>
      </c>
      <c r="C256" s="628" t="str">
        <f t="shared" si="53"/>
        <v xml:space="preserve"> L4 - Occupancy Sensors*</v>
      </c>
      <c r="D256" s="628" t="str">
        <f t="shared" si="62"/>
        <v/>
      </c>
      <c r="E256" s="628" t="str">
        <f t="shared" si="62"/>
        <v/>
      </c>
      <c r="F256" s="628" t="str">
        <f t="shared" si="62"/>
        <v/>
      </c>
      <c r="G256" s="628" t="str">
        <f t="shared" si="62"/>
        <v/>
      </c>
      <c r="H256" s="628" t="str">
        <f t="shared" si="62"/>
        <v/>
      </c>
      <c r="I256" s="628" t="str">
        <f t="shared" si="62"/>
        <v/>
      </c>
      <c r="J256" s="628" t="str">
        <f t="shared" si="47"/>
        <v/>
      </c>
      <c r="K256" s="628" t="str">
        <f>IF(K40="","",K40)</f>
        <v/>
      </c>
      <c r="L256" s="628" t="str">
        <f t="shared" si="54"/>
        <v/>
      </c>
      <c r="M256" s="628" t="str">
        <f t="shared" si="49"/>
        <v/>
      </c>
      <c r="N256" s="628" t="str">
        <f>IF(N40="","",N40)</f>
        <v/>
      </c>
      <c r="O256" s="628" t="str">
        <f t="shared" si="50"/>
        <v/>
      </c>
      <c r="P256" s="628" t="str">
        <f t="shared" si="55"/>
        <v/>
      </c>
      <c r="Q256" s="628" t="str">
        <f>IF(Q40="","",Q40)</f>
        <v/>
      </c>
      <c r="R256" s="628" t="str">
        <f t="shared" si="56"/>
        <v/>
      </c>
      <c r="S256" s="628" t="str">
        <f t="shared" si="51"/>
        <v/>
      </c>
      <c r="T256" s="628" t="str">
        <f t="shared" si="63"/>
        <v/>
      </c>
      <c r="U256" s="628" t="str">
        <f t="shared" si="63"/>
        <v/>
      </c>
      <c r="V256" s="628" t="str">
        <f t="shared" si="63"/>
        <v/>
      </c>
      <c r="W256" s="628" t="str">
        <f t="shared" si="57"/>
        <v xml:space="preserve">Qty: </v>
      </c>
      <c r="X256" s="628" t="str">
        <f t="shared" si="57"/>
        <v/>
      </c>
      <c r="Y256" s="628" t="str">
        <f>IF(Y40="","",Y40)</f>
        <v/>
      </c>
      <c r="Z256" s="628" t="str">
        <f t="shared" si="58"/>
        <v/>
      </c>
      <c r="AA256" s="628" t="str">
        <f t="shared" si="64"/>
        <v/>
      </c>
      <c r="AB256" s="628" t="str">
        <f t="shared" si="64"/>
        <v/>
      </c>
      <c r="AC256" s="628" t="str">
        <f t="shared" si="64"/>
        <v/>
      </c>
      <c r="AD256" s="637" t="str">
        <f t="shared" si="61"/>
        <v>x $25 per sensor=</v>
      </c>
      <c r="AE256" s="628" t="str">
        <f t="shared" si="59"/>
        <v>$</v>
      </c>
      <c r="AF256" s="628" t="str">
        <f t="shared" si="52"/>
        <v/>
      </c>
      <c r="AG256" s="628" t="str">
        <f t="shared" si="65"/>
        <v/>
      </c>
      <c r="AH256" s="628" t="str">
        <f t="shared" si="65"/>
        <v/>
      </c>
      <c r="AI256" s="638" t="str">
        <f t="shared" si="60"/>
        <v/>
      </c>
      <c r="AJ256" s="504"/>
      <c r="AK256" s="627"/>
      <c r="AL256" s="629"/>
      <c r="AM256" s="627"/>
      <c r="AN256" s="627"/>
      <c r="AO256" s="627"/>
      <c r="AP256" s="627"/>
      <c r="AQ256" s="627"/>
      <c r="AR256" s="627"/>
      <c r="AS256" s="627"/>
      <c r="AT256" s="627"/>
      <c r="AU256" s="627"/>
      <c r="AV256" s="627"/>
      <c r="AW256" s="627"/>
      <c r="AX256" s="627"/>
      <c r="AY256" s="627"/>
      <c r="AZ256" s="627"/>
      <c r="BA256" s="627"/>
      <c r="BB256" s="627"/>
      <c r="BC256" s="627"/>
      <c r="BD256" s="627"/>
      <c r="BE256" s="627"/>
      <c r="BF256" s="627"/>
      <c r="BG256" s="627"/>
      <c r="BH256" s="627"/>
      <c r="BI256" s="627"/>
      <c r="BJ256" s="627"/>
      <c r="BK256" s="627"/>
      <c r="BL256" s="627"/>
      <c r="BM256" s="627"/>
      <c r="BN256" s="627"/>
      <c r="BO256" s="627"/>
      <c r="BP256" s="627"/>
      <c r="BQ256" s="627"/>
      <c r="BR256" s="627"/>
      <c r="BS256" s="627"/>
      <c r="BT256" s="627"/>
      <c r="BU256" s="627"/>
      <c r="BV256" s="627"/>
      <c r="BW256" s="627"/>
      <c r="BX256" s="627"/>
      <c r="BY256" s="627"/>
      <c r="BZ256" s="627"/>
      <c r="CA256" s="690"/>
      <c r="CB256" s="690"/>
      <c r="CC256" s="690"/>
      <c r="CD256" s="690"/>
      <c r="CE256" s="690"/>
      <c r="CF256" s="690"/>
      <c r="CG256" s="690"/>
      <c r="CH256" s="690"/>
      <c r="CI256" s="690"/>
      <c r="CJ256" s="690"/>
      <c r="CK256" s="690"/>
      <c r="CL256" s="690"/>
      <c r="CM256" s="690"/>
      <c r="CN256" s="690"/>
      <c r="CO256" s="690"/>
      <c r="CP256" s="690"/>
      <c r="CQ256" s="690"/>
      <c r="CR256" s="690"/>
      <c r="CS256" s="690"/>
      <c r="CT256" s="690"/>
      <c r="CU256" s="690"/>
      <c r="CV256" s="690"/>
      <c r="CW256" s="690"/>
      <c r="CX256" s="690"/>
      <c r="CY256" s="690"/>
      <c r="CZ256" s="690"/>
      <c r="DA256" s="690"/>
      <c r="DB256" s="690"/>
      <c r="DC256" s="690"/>
    </row>
    <row r="257" spans="1:107" s="5" customFormat="1" ht="12.75" hidden="1" customHeight="1">
      <c r="A257" s="1"/>
      <c r="B257" s="253" t="str">
        <f t="shared" si="53"/>
        <v/>
      </c>
      <c r="C257" s="9" t="str">
        <f t="shared" si="53"/>
        <v xml:space="preserve"> L5N - High Efficiency Exit Signs</v>
      </c>
      <c r="D257" s="9"/>
      <c r="E257" s="9"/>
      <c r="F257" s="9"/>
      <c r="G257" s="9"/>
      <c r="H257" s="9"/>
      <c r="I257" s="9"/>
      <c r="J257" s="9"/>
      <c r="K257" s="9"/>
      <c r="L257" s="9"/>
      <c r="M257" s="9"/>
      <c r="N257" s="9"/>
      <c r="O257" s="9"/>
      <c r="P257" s="9"/>
      <c r="Q257" s="9"/>
      <c r="R257" s="9"/>
      <c r="S257" s="9"/>
      <c r="T257" s="9"/>
      <c r="U257" s="9"/>
      <c r="V257" s="9"/>
      <c r="W257" s="9" t="str">
        <f t="shared" si="57"/>
        <v xml:space="preserve">Qty: </v>
      </c>
      <c r="X257" s="857" t="str">
        <f t="shared" si="57"/>
        <v/>
      </c>
      <c r="Y257" s="858"/>
      <c r="Z257" s="9"/>
      <c r="AA257" s="9"/>
      <c r="AB257" s="9"/>
      <c r="AC257" s="9"/>
      <c r="AD257" s="623" t="str">
        <f t="shared" si="61"/>
        <v>x $7.50 per sign=</v>
      </c>
      <c r="AE257" s="9" t="str">
        <f t="shared" si="59"/>
        <v>$</v>
      </c>
      <c r="AF257" s="846" t="str">
        <f t="shared" si="52"/>
        <v/>
      </c>
      <c r="AG257" s="846"/>
      <c r="AH257" s="846"/>
      <c r="AI257" s="633" t="str">
        <f t="shared" si="60"/>
        <v/>
      </c>
      <c r="AJ257" s="1"/>
      <c r="AK257" s="94"/>
      <c r="AL257" s="98"/>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684"/>
      <c r="CB257" s="684"/>
      <c r="CC257" s="684"/>
      <c r="CD257" s="684"/>
      <c r="CE257" s="684"/>
      <c r="CF257" s="684"/>
      <c r="CG257" s="684"/>
      <c r="CH257" s="684"/>
      <c r="CI257" s="684"/>
      <c r="CJ257" s="684"/>
      <c r="CK257" s="684"/>
      <c r="CL257" s="684"/>
      <c r="CM257" s="684"/>
      <c r="CN257" s="684"/>
      <c r="CO257" s="684"/>
      <c r="CP257" s="684"/>
      <c r="CQ257" s="684"/>
      <c r="CR257" s="684"/>
      <c r="CS257" s="684"/>
      <c r="CT257" s="684"/>
      <c r="CU257" s="684"/>
      <c r="CV257" s="684"/>
      <c r="CW257" s="684"/>
      <c r="CX257" s="684"/>
      <c r="CY257" s="684"/>
      <c r="CZ257" s="684"/>
      <c r="DA257" s="684"/>
      <c r="DB257" s="684"/>
      <c r="DC257" s="684"/>
    </row>
    <row r="258" spans="1:107" s="5" customFormat="1" ht="12.75" hidden="1" customHeight="1">
      <c r="A258" s="1"/>
      <c r="B258" s="634" t="str">
        <f t="shared" si="53"/>
        <v/>
      </c>
      <c r="C258" s="248" t="str">
        <f t="shared" si="53"/>
        <v/>
      </c>
      <c r="D258" s="248" t="str">
        <f t="shared" ref="D258:V258" si="66">IF(D42="","",D42)</f>
        <v/>
      </c>
      <c r="E258" s="248" t="str">
        <f t="shared" si="66"/>
        <v/>
      </c>
      <c r="F258" s="248" t="str">
        <f t="shared" si="66"/>
        <v/>
      </c>
      <c r="G258" s="248" t="str">
        <f t="shared" si="66"/>
        <v/>
      </c>
      <c r="H258" s="248" t="str">
        <f t="shared" si="66"/>
        <v/>
      </c>
      <c r="I258" s="248" t="str">
        <f t="shared" si="66"/>
        <v/>
      </c>
      <c r="J258" s="248" t="str">
        <f t="shared" si="66"/>
        <v/>
      </c>
      <c r="K258" s="248" t="str">
        <f t="shared" si="66"/>
        <v/>
      </c>
      <c r="L258" s="248" t="str">
        <f t="shared" si="66"/>
        <v/>
      </c>
      <c r="M258" s="248" t="str">
        <f t="shared" si="66"/>
        <v/>
      </c>
      <c r="N258" s="248" t="str">
        <f t="shared" si="66"/>
        <v/>
      </c>
      <c r="O258" s="248" t="str">
        <f t="shared" si="66"/>
        <v/>
      </c>
      <c r="P258" s="248" t="str">
        <f t="shared" si="66"/>
        <v/>
      </c>
      <c r="Q258" s="248" t="str">
        <f t="shared" si="66"/>
        <v/>
      </c>
      <c r="R258" s="248" t="str">
        <f t="shared" si="66"/>
        <v/>
      </c>
      <c r="S258" s="248" t="str">
        <f t="shared" si="66"/>
        <v/>
      </c>
      <c r="T258" s="248" t="str">
        <f t="shared" si="66"/>
        <v/>
      </c>
      <c r="U258" s="248" t="str">
        <f t="shared" si="66"/>
        <v/>
      </c>
      <c r="V258" s="248" t="str">
        <f t="shared" si="66"/>
        <v/>
      </c>
      <c r="W258" s="248" t="str">
        <f t="shared" si="57"/>
        <v/>
      </c>
      <c r="X258" s="248" t="str">
        <f t="shared" si="57"/>
        <v/>
      </c>
      <c r="Y258" s="248" t="str">
        <f>IF(Y42="","",Y42)</f>
        <v/>
      </c>
      <c r="Z258" s="248" t="str">
        <f>IF(Z42="","",Z42)</f>
        <v/>
      </c>
      <c r="AA258" s="248" t="str">
        <f>IF(AA42="","",AA42)</f>
        <v/>
      </c>
      <c r="AB258" s="248" t="str">
        <f>IF(AB42="","",AB42)</f>
        <v/>
      </c>
      <c r="AC258" s="248" t="str">
        <f>IF(AC42="","",AC42)</f>
        <v/>
      </c>
      <c r="AD258" s="248" t="str">
        <f t="shared" si="61"/>
        <v/>
      </c>
      <c r="AE258" s="248" t="str">
        <f t="shared" si="59"/>
        <v/>
      </c>
      <c r="AF258" s="248" t="str">
        <f t="shared" si="52"/>
        <v/>
      </c>
      <c r="AG258" s="248" t="str">
        <f>IF(AG42="","",AG42)</f>
        <v/>
      </c>
      <c r="AH258" s="248" t="str">
        <f>IF(AH42="","",AH42)</f>
        <v/>
      </c>
      <c r="AI258" s="635" t="str">
        <f t="shared" si="60"/>
        <v/>
      </c>
      <c r="AJ258" s="1"/>
      <c r="AK258" s="94"/>
      <c r="AL258" s="98"/>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684"/>
      <c r="CB258" s="684"/>
      <c r="CC258" s="684"/>
      <c r="CD258" s="684"/>
      <c r="CE258" s="684"/>
      <c r="CF258" s="684"/>
      <c r="CG258" s="684"/>
      <c r="CH258" s="684"/>
      <c r="CI258" s="684"/>
      <c r="CJ258" s="684"/>
      <c r="CK258" s="684"/>
      <c r="CL258" s="684"/>
      <c r="CM258" s="684"/>
      <c r="CN258" s="684"/>
      <c r="CO258" s="684"/>
      <c r="CP258" s="684"/>
      <c r="CQ258" s="684"/>
      <c r="CR258" s="684"/>
      <c r="CS258" s="684"/>
      <c r="CT258" s="684"/>
      <c r="CU258" s="684"/>
      <c r="CV258" s="684"/>
      <c r="CW258" s="684"/>
      <c r="CX258" s="684"/>
      <c r="CY258" s="684"/>
      <c r="CZ258" s="684"/>
      <c r="DA258" s="684"/>
      <c r="DB258" s="684"/>
      <c r="DC258" s="684"/>
    </row>
    <row r="259" spans="1:107" s="5" customFormat="1" ht="19.5" hidden="1" customHeight="1">
      <c r="A259" s="1"/>
      <c r="B259" s="781" t="str">
        <f>IF(B43="","",B43)</f>
        <v>LEDs must be on one of the following QPLs (qualified product lists), DLC, LDL or ENERGY STAR® (exceptions are  granted if an architect or engineer specified the product and completed COMcheck or if there is not a QPL category for proposed product). If a project is 60% or more below code and/or has high operating hours, a non-standard incentive may be available.</v>
      </c>
      <c r="C259" s="781"/>
      <c r="D259" s="781"/>
      <c r="E259" s="781"/>
      <c r="F259" s="781"/>
      <c r="G259" s="781"/>
      <c r="H259" s="781"/>
      <c r="I259" s="781"/>
      <c r="J259" s="781"/>
      <c r="K259" s="781"/>
      <c r="L259" s="781"/>
      <c r="M259" s="781"/>
      <c r="N259" s="781"/>
      <c r="O259" s="781"/>
      <c r="P259" s="781"/>
      <c r="Q259" s="781"/>
      <c r="R259" s="781"/>
      <c r="S259" s="781"/>
      <c r="T259" s="781"/>
      <c r="U259" s="781"/>
      <c r="V259" s="781"/>
      <c r="W259" s="781"/>
      <c r="X259" s="781"/>
      <c r="Y259" s="781"/>
      <c r="Z259" s="781"/>
      <c r="AA259" s="781"/>
      <c r="AB259" s="781"/>
      <c r="AC259" s="781"/>
      <c r="AD259" s="781"/>
      <c r="AE259" s="781"/>
      <c r="AF259" s="781"/>
      <c r="AG259" s="781"/>
      <c r="AH259" s="781"/>
      <c r="AI259" s="781"/>
      <c r="AJ259" s="1"/>
      <c r="AK259" s="94"/>
      <c r="AL259" s="98"/>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684"/>
      <c r="CB259" s="684"/>
      <c r="CC259" s="684"/>
      <c r="CD259" s="684"/>
      <c r="CE259" s="684"/>
      <c r="CF259" s="684"/>
      <c r="CG259" s="684"/>
      <c r="CH259" s="684"/>
      <c r="CI259" s="684"/>
      <c r="CJ259" s="684"/>
      <c r="CK259" s="684"/>
      <c r="CL259" s="684"/>
      <c r="CM259" s="684"/>
      <c r="CN259" s="684"/>
      <c r="CO259" s="684"/>
      <c r="CP259" s="684"/>
      <c r="CQ259" s="684"/>
      <c r="CR259" s="684"/>
      <c r="CS259" s="684"/>
      <c r="CT259" s="684"/>
      <c r="CU259" s="684"/>
      <c r="CV259" s="684"/>
      <c r="CW259" s="684"/>
      <c r="CX259" s="684"/>
      <c r="CY259" s="684"/>
      <c r="CZ259" s="684"/>
      <c r="DA259" s="684"/>
      <c r="DB259" s="684"/>
      <c r="DC259" s="684"/>
    </row>
    <row r="260" spans="1:107" s="5" customFormat="1" ht="19.5" hidden="1" customHeight="1">
      <c r="A260" s="1"/>
      <c r="B260" s="781"/>
      <c r="C260" s="781"/>
      <c r="D260" s="781"/>
      <c r="E260" s="781"/>
      <c r="F260" s="781"/>
      <c r="G260" s="781"/>
      <c r="H260" s="781"/>
      <c r="I260" s="781"/>
      <c r="J260" s="781"/>
      <c r="K260" s="781"/>
      <c r="L260" s="781"/>
      <c r="M260" s="781"/>
      <c r="N260" s="781"/>
      <c r="O260" s="781"/>
      <c r="P260" s="781"/>
      <c r="Q260" s="781"/>
      <c r="R260" s="781"/>
      <c r="S260" s="781"/>
      <c r="T260" s="781"/>
      <c r="U260" s="781"/>
      <c r="V260" s="781"/>
      <c r="W260" s="781"/>
      <c r="X260" s="781"/>
      <c r="Y260" s="781"/>
      <c r="Z260" s="781"/>
      <c r="AA260" s="781"/>
      <c r="AB260" s="781"/>
      <c r="AC260" s="781"/>
      <c r="AD260" s="781"/>
      <c r="AE260" s="781"/>
      <c r="AF260" s="781"/>
      <c r="AG260" s="781"/>
      <c r="AH260" s="781"/>
      <c r="AI260" s="781"/>
      <c r="AJ260" s="1"/>
      <c r="AK260" s="94"/>
      <c r="AL260" s="98"/>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684"/>
      <c r="CB260" s="684"/>
      <c r="CC260" s="684"/>
      <c r="CD260" s="684"/>
      <c r="CE260" s="684"/>
      <c r="CF260" s="684"/>
      <c r="CG260" s="684"/>
      <c r="CH260" s="684"/>
      <c r="CI260" s="684"/>
      <c r="CJ260" s="684"/>
      <c r="CK260" s="684"/>
      <c r="CL260" s="684"/>
      <c r="CM260" s="684"/>
      <c r="CN260" s="684"/>
      <c r="CO260" s="684"/>
      <c r="CP260" s="684"/>
      <c r="CQ260" s="684"/>
      <c r="CR260" s="684"/>
      <c r="CS260" s="684"/>
      <c r="CT260" s="684"/>
      <c r="CU260" s="684"/>
      <c r="CV260" s="684"/>
      <c r="CW260" s="684"/>
      <c r="CX260" s="684"/>
      <c r="CY260" s="684"/>
      <c r="CZ260" s="684"/>
      <c r="DA260" s="684"/>
      <c r="DB260" s="684"/>
      <c r="DC260" s="684"/>
    </row>
    <row r="261" spans="1:107" s="5" customFormat="1" ht="12.75" hidden="1" customHeight="1">
      <c r="A261" s="1"/>
      <c r="B261" s="9" t="str">
        <f t="shared" ref="B261:AI261" si="67">IF(B45="","",B45)</f>
        <v/>
      </c>
      <c r="C261" s="9" t="str">
        <f t="shared" si="67"/>
        <v/>
      </c>
      <c r="D261" s="9" t="str">
        <f t="shared" si="67"/>
        <v/>
      </c>
      <c r="E261" s="9" t="str">
        <f t="shared" si="67"/>
        <v/>
      </c>
      <c r="F261" s="9" t="str">
        <f t="shared" si="67"/>
        <v/>
      </c>
      <c r="G261" s="9" t="str">
        <f t="shared" si="67"/>
        <v/>
      </c>
      <c r="H261" s="9" t="str">
        <f t="shared" si="67"/>
        <v/>
      </c>
      <c r="I261" s="9" t="str">
        <f t="shared" si="67"/>
        <v/>
      </c>
      <c r="J261" s="9" t="str">
        <f t="shared" si="67"/>
        <v/>
      </c>
      <c r="K261" s="9" t="str">
        <f t="shared" si="67"/>
        <v/>
      </c>
      <c r="L261" s="9" t="str">
        <f t="shared" si="67"/>
        <v/>
      </c>
      <c r="M261" s="9" t="str">
        <f t="shared" si="67"/>
        <v/>
      </c>
      <c r="N261" s="9" t="str">
        <f t="shared" si="67"/>
        <v/>
      </c>
      <c r="O261" s="9" t="str">
        <f t="shared" si="67"/>
        <v/>
      </c>
      <c r="P261" s="9" t="str">
        <f t="shared" si="67"/>
        <v/>
      </c>
      <c r="Q261" s="9" t="str">
        <f t="shared" si="67"/>
        <v/>
      </c>
      <c r="R261" s="9" t="str">
        <f t="shared" si="67"/>
        <v/>
      </c>
      <c r="S261" s="9" t="str">
        <f t="shared" si="67"/>
        <v/>
      </c>
      <c r="T261" s="9" t="str">
        <f t="shared" si="67"/>
        <v/>
      </c>
      <c r="U261" s="9" t="str">
        <f t="shared" si="67"/>
        <v/>
      </c>
      <c r="V261" s="9" t="str">
        <f t="shared" si="67"/>
        <v/>
      </c>
      <c r="W261" s="9" t="str">
        <f t="shared" si="67"/>
        <v/>
      </c>
      <c r="X261" s="9" t="str">
        <f t="shared" si="67"/>
        <v/>
      </c>
      <c r="Y261" s="9" t="str">
        <f t="shared" si="67"/>
        <v/>
      </c>
      <c r="Z261" s="9" t="str">
        <f t="shared" si="67"/>
        <v/>
      </c>
      <c r="AA261" s="9" t="str">
        <f t="shared" si="67"/>
        <v/>
      </c>
      <c r="AB261" s="9" t="str">
        <f t="shared" si="67"/>
        <v/>
      </c>
      <c r="AC261" s="9" t="str">
        <f t="shared" si="67"/>
        <v/>
      </c>
      <c r="AD261" s="9" t="str">
        <f t="shared" si="67"/>
        <v/>
      </c>
      <c r="AE261" s="9" t="str">
        <f t="shared" si="67"/>
        <v/>
      </c>
      <c r="AF261" s="9" t="str">
        <f t="shared" si="67"/>
        <v/>
      </c>
      <c r="AG261" s="9" t="str">
        <f t="shared" si="67"/>
        <v/>
      </c>
      <c r="AH261" s="9" t="str">
        <f t="shared" si="67"/>
        <v/>
      </c>
      <c r="AI261" s="9" t="str">
        <f t="shared" si="67"/>
        <v/>
      </c>
      <c r="AJ261" s="1"/>
      <c r="AK261" s="94"/>
      <c r="AL261" s="98"/>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684"/>
      <c r="CB261" s="684"/>
      <c r="CC261" s="684"/>
      <c r="CD261" s="684"/>
      <c r="CE261" s="684"/>
      <c r="CF261" s="684"/>
      <c r="CG261" s="684"/>
      <c r="CH261" s="684"/>
      <c r="CI261" s="684"/>
      <c r="CJ261" s="684"/>
      <c r="CK261" s="684"/>
      <c r="CL261" s="684"/>
      <c r="CM261" s="684"/>
      <c r="CN261" s="684"/>
      <c r="CO261" s="684"/>
      <c r="CP261" s="684"/>
      <c r="CQ261" s="684"/>
      <c r="CR261" s="684"/>
      <c r="CS261" s="684"/>
      <c r="CT261" s="684"/>
      <c r="CU261" s="684"/>
      <c r="CV261" s="684"/>
      <c r="CW261" s="684"/>
      <c r="CX261" s="684"/>
      <c r="CY261" s="684"/>
      <c r="CZ261" s="684"/>
      <c r="DA261" s="684"/>
      <c r="DB261" s="684"/>
      <c r="DC261" s="684"/>
    </row>
    <row r="262" spans="1:107" s="5" customFormat="1" ht="12.75" hidden="1" customHeight="1">
      <c r="A262" s="1"/>
      <c r="B262" s="9" t="str">
        <f t="shared" ref="B262:AI262" si="68">IF(B46="","",B46)</f>
        <v/>
      </c>
      <c r="C262" s="9" t="str">
        <f t="shared" si="68"/>
        <v/>
      </c>
      <c r="D262" s="9" t="str">
        <f t="shared" si="68"/>
        <v/>
      </c>
      <c r="E262" s="9" t="str">
        <f t="shared" si="68"/>
        <v/>
      </c>
      <c r="F262" s="9" t="str">
        <f t="shared" si="68"/>
        <v/>
      </c>
      <c r="G262" s="9" t="str">
        <f t="shared" si="68"/>
        <v/>
      </c>
      <c r="H262" s="9" t="str">
        <f t="shared" si="68"/>
        <v/>
      </c>
      <c r="I262" s="9" t="str">
        <f t="shared" si="68"/>
        <v/>
      </c>
      <c r="J262" s="9" t="str">
        <f t="shared" si="68"/>
        <v/>
      </c>
      <c r="K262" s="9" t="str">
        <f t="shared" si="68"/>
        <v/>
      </c>
      <c r="L262" s="9" t="str">
        <f t="shared" si="68"/>
        <v/>
      </c>
      <c r="M262" s="9" t="str">
        <f t="shared" si="68"/>
        <v/>
      </c>
      <c r="N262" s="9" t="str">
        <f t="shared" si="68"/>
        <v/>
      </c>
      <c r="O262" s="9" t="str">
        <f t="shared" si="68"/>
        <v/>
      </c>
      <c r="P262" s="9" t="str">
        <f t="shared" si="68"/>
        <v/>
      </c>
      <c r="Q262" s="9" t="str">
        <f t="shared" si="68"/>
        <v/>
      </c>
      <c r="R262" s="9" t="str">
        <f t="shared" si="68"/>
        <v/>
      </c>
      <c r="S262" s="9" t="str">
        <f t="shared" si="68"/>
        <v/>
      </c>
      <c r="T262" s="9" t="str">
        <f t="shared" si="68"/>
        <v/>
      </c>
      <c r="U262" s="9" t="str">
        <f t="shared" si="68"/>
        <v/>
      </c>
      <c r="V262" s="9" t="str">
        <f t="shared" si="68"/>
        <v/>
      </c>
      <c r="W262" s="9" t="str">
        <f t="shared" si="68"/>
        <v/>
      </c>
      <c r="X262" s="9" t="str">
        <f t="shared" si="68"/>
        <v/>
      </c>
      <c r="Y262" s="9" t="str">
        <f t="shared" si="68"/>
        <v/>
      </c>
      <c r="Z262" s="9" t="str">
        <f t="shared" si="68"/>
        <v/>
      </c>
      <c r="AA262" s="9" t="str">
        <f t="shared" si="68"/>
        <v/>
      </c>
      <c r="AB262" s="9" t="str">
        <f t="shared" si="68"/>
        <v/>
      </c>
      <c r="AC262" s="9" t="str">
        <f t="shared" si="68"/>
        <v/>
      </c>
      <c r="AD262" s="9" t="str">
        <f t="shared" si="68"/>
        <v/>
      </c>
      <c r="AE262" s="9" t="str">
        <f t="shared" si="68"/>
        <v/>
      </c>
      <c r="AF262" s="9" t="str">
        <f t="shared" si="68"/>
        <v/>
      </c>
      <c r="AG262" s="9" t="str">
        <f t="shared" si="68"/>
        <v/>
      </c>
      <c r="AH262" s="9" t="str">
        <f t="shared" si="68"/>
        <v/>
      </c>
      <c r="AI262" s="9" t="str">
        <f t="shared" si="68"/>
        <v/>
      </c>
      <c r="AJ262" s="1"/>
      <c r="AK262" s="94"/>
      <c r="AL262" s="98"/>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684"/>
      <c r="CB262" s="684"/>
      <c r="CC262" s="684"/>
      <c r="CD262" s="684"/>
      <c r="CE262" s="684"/>
      <c r="CF262" s="684"/>
      <c r="CG262" s="684"/>
      <c r="CH262" s="684"/>
      <c r="CI262" s="684"/>
      <c r="CJ262" s="684"/>
      <c r="CK262" s="684"/>
      <c r="CL262" s="684"/>
      <c r="CM262" s="684"/>
      <c r="CN262" s="684"/>
      <c r="CO262" s="684"/>
      <c r="CP262" s="684"/>
      <c r="CQ262" s="684"/>
      <c r="CR262" s="684"/>
      <c r="CS262" s="684"/>
      <c r="CT262" s="684"/>
      <c r="CU262" s="684"/>
      <c r="CV262" s="684"/>
      <c r="CW262" s="684"/>
      <c r="CX262" s="684"/>
      <c r="CY262" s="684"/>
      <c r="CZ262" s="684"/>
      <c r="DA262" s="684"/>
      <c r="DB262" s="684"/>
      <c r="DC262" s="684"/>
    </row>
    <row r="263" spans="1:107" s="5" customFormat="1" ht="12.75" customHeight="1">
      <c r="A263" s="1"/>
      <c r="B263" s="626" t="str">
        <f t="shared" ref="B263:B294" si="69">IF(B47="","",B47)</f>
        <v>Air-Conditioning</v>
      </c>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1"/>
      <c r="AK263" s="94"/>
      <c r="AL263" s="98"/>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684"/>
      <c r="CB263" s="684"/>
      <c r="CC263" s="684"/>
      <c r="CD263" s="684"/>
      <c r="CE263" s="684"/>
      <c r="CF263" s="684"/>
      <c r="CG263" s="684"/>
      <c r="CH263" s="684"/>
      <c r="CI263" s="684"/>
      <c r="CJ263" s="684"/>
      <c r="CK263" s="684"/>
      <c r="CL263" s="684"/>
      <c r="CM263" s="684"/>
      <c r="CN263" s="684"/>
      <c r="CO263" s="684"/>
      <c r="CP263" s="684"/>
      <c r="CQ263" s="684"/>
      <c r="CR263" s="684"/>
      <c r="CS263" s="684"/>
      <c r="CT263" s="684"/>
      <c r="CU263" s="684"/>
      <c r="CV263" s="684"/>
      <c r="CW263" s="684"/>
      <c r="CX263" s="684"/>
      <c r="CY263" s="684"/>
      <c r="CZ263" s="684"/>
      <c r="DA263" s="684"/>
      <c r="DB263" s="684"/>
      <c r="DC263" s="684"/>
    </row>
    <row r="264" spans="1:107" s="5" customFormat="1" ht="12.75" customHeight="1">
      <c r="A264" s="1"/>
      <c r="B264" s="240" t="str">
        <f t="shared" si="69"/>
        <v/>
      </c>
      <c r="C264" s="241" t="str">
        <f t="shared" ref="C264:AF264" si="70">IF(C48="","",C48)</f>
        <v/>
      </c>
      <c r="D264" s="241" t="str">
        <f t="shared" si="70"/>
        <v/>
      </c>
      <c r="E264" s="241" t="str">
        <f t="shared" si="70"/>
        <v/>
      </c>
      <c r="F264" s="241" t="str">
        <f t="shared" si="70"/>
        <v/>
      </c>
      <c r="G264" s="241" t="str">
        <f t="shared" si="70"/>
        <v/>
      </c>
      <c r="H264" s="241" t="str">
        <f t="shared" si="70"/>
        <v/>
      </c>
      <c r="I264" s="241" t="str">
        <f t="shared" si="70"/>
        <v/>
      </c>
      <c r="J264" s="241" t="str">
        <f t="shared" si="70"/>
        <v/>
      </c>
      <c r="K264" s="241" t="str">
        <f t="shared" si="70"/>
        <v/>
      </c>
      <c r="L264" s="241" t="str">
        <f t="shared" si="70"/>
        <v/>
      </c>
      <c r="M264" s="241" t="str">
        <f t="shared" si="70"/>
        <v/>
      </c>
      <c r="N264" s="241" t="str">
        <f t="shared" si="70"/>
        <v/>
      </c>
      <c r="O264" s="241" t="str">
        <f t="shared" si="70"/>
        <v/>
      </c>
      <c r="P264" s="241" t="str">
        <f t="shared" si="70"/>
        <v/>
      </c>
      <c r="Q264" s="241" t="str">
        <f t="shared" si="70"/>
        <v/>
      </c>
      <c r="R264" s="241" t="str">
        <f t="shared" si="70"/>
        <v/>
      </c>
      <c r="S264" s="241" t="str">
        <f t="shared" si="70"/>
        <v/>
      </c>
      <c r="T264" s="241" t="str">
        <f t="shared" si="70"/>
        <v/>
      </c>
      <c r="U264" s="241" t="str">
        <f t="shared" si="70"/>
        <v/>
      </c>
      <c r="V264" s="241" t="str">
        <f t="shared" si="70"/>
        <v/>
      </c>
      <c r="W264" s="241" t="str">
        <f t="shared" si="70"/>
        <v/>
      </c>
      <c r="X264" s="241" t="str">
        <f t="shared" si="70"/>
        <v/>
      </c>
      <c r="Y264" s="241" t="str">
        <f t="shared" si="70"/>
        <v/>
      </c>
      <c r="Z264" s="241" t="str">
        <f t="shared" si="70"/>
        <v/>
      </c>
      <c r="AA264" s="241" t="str">
        <f t="shared" si="70"/>
        <v/>
      </c>
      <c r="AB264" s="241" t="str">
        <f t="shared" si="70"/>
        <v/>
      </c>
      <c r="AC264" s="241" t="str">
        <f t="shared" si="70"/>
        <v/>
      </c>
      <c r="AD264" s="241" t="str">
        <f t="shared" si="70"/>
        <v/>
      </c>
      <c r="AE264" s="241" t="str">
        <f t="shared" si="70"/>
        <v/>
      </c>
      <c r="AF264" s="241" t="str">
        <f t="shared" si="70"/>
        <v>Incentive</v>
      </c>
      <c r="AG264" s="241"/>
      <c r="AH264" s="241"/>
      <c r="AI264" s="242"/>
      <c r="AJ264" s="1"/>
      <c r="AK264" s="94"/>
      <c r="AL264" s="98"/>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684"/>
      <c r="CB264" s="684"/>
      <c r="CC264" s="684"/>
      <c r="CD264" s="684"/>
      <c r="CE264" s="684"/>
      <c r="CF264" s="684"/>
      <c r="CG264" s="684"/>
      <c r="CH264" s="684"/>
      <c r="CI264" s="684"/>
      <c r="CJ264" s="684"/>
      <c r="CK264" s="684"/>
      <c r="CL264" s="684"/>
      <c r="CM264" s="684"/>
      <c r="CN264" s="684"/>
      <c r="CO264" s="684"/>
      <c r="CP264" s="684"/>
      <c r="CQ264" s="684"/>
      <c r="CR264" s="684"/>
      <c r="CS264" s="684"/>
      <c r="CT264" s="684"/>
      <c r="CU264" s="684"/>
      <c r="CV264" s="684"/>
      <c r="CW264" s="684"/>
      <c r="CX264" s="684"/>
      <c r="CY264" s="684"/>
      <c r="CZ264" s="684"/>
      <c r="DA264" s="684"/>
      <c r="DB264" s="684"/>
      <c r="DC264" s="684"/>
    </row>
    <row r="265" spans="1:107" s="5" customFormat="1" ht="12.75" customHeight="1">
      <c r="A265" s="1"/>
      <c r="B265" s="253" t="str">
        <f t="shared" si="69"/>
        <v/>
      </c>
      <c r="C265" s="9" t="str">
        <f t="shared" ref="C265:C275" si="71">IF(C49="","",C49)</f>
        <v xml:space="preserve"> A1R - Efficient AC &amp; HP Units*</v>
      </c>
      <c r="D265" s="9"/>
      <c r="E265" s="9"/>
      <c r="F265" s="9"/>
      <c r="G265" s="9"/>
      <c r="H265" s="9"/>
      <c r="I265" s="9"/>
      <c r="J265" s="9"/>
      <c r="K265" s="848" t="str">
        <f>IF(K49="","",K49)</f>
        <v>Complete Retro HVAC Worksheet</v>
      </c>
      <c r="L265" s="848"/>
      <c r="M265" s="848"/>
      <c r="N265" s="848"/>
      <c r="O265" s="848"/>
      <c r="P265" s="848"/>
      <c r="Q265" s="848"/>
      <c r="R265" s="9"/>
      <c r="S265" s="9"/>
      <c r="T265" s="9"/>
      <c r="U265" s="9"/>
      <c r="V265" s="9"/>
      <c r="W265" s="9"/>
      <c r="X265" s="9"/>
      <c r="Y265" s="9"/>
      <c r="Z265" s="9"/>
      <c r="AA265" s="9"/>
      <c r="AB265" s="9"/>
      <c r="AC265" s="9"/>
      <c r="AD265" s="623" t="str">
        <f t="shared" ref="AD265:AF275" si="72">IF(AD49="","",AD49)</f>
        <v>x $50 to $130 per ton=</v>
      </c>
      <c r="AE265" s="9" t="str">
        <f t="shared" si="72"/>
        <v>$</v>
      </c>
      <c r="AF265" s="846" t="str">
        <f t="shared" si="72"/>
        <v/>
      </c>
      <c r="AG265" s="846"/>
      <c r="AH265" s="846"/>
      <c r="AI265" s="633" t="str">
        <f t="shared" ref="AI265:AI275" si="73">IF(AI49="","",AI49)</f>
        <v/>
      </c>
      <c r="AJ265" s="1"/>
      <c r="AK265" s="94"/>
      <c r="AL265" s="98"/>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684"/>
      <c r="CB265" s="684"/>
      <c r="CC265" s="684"/>
      <c r="CD265" s="684"/>
      <c r="CE265" s="684"/>
      <c r="CF265" s="684"/>
      <c r="CG265" s="684"/>
      <c r="CH265" s="684"/>
      <c r="CI265" s="684"/>
      <c r="CJ265" s="684"/>
      <c r="CK265" s="684"/>
      <c r="CL265" s="684"/>
      <c r="CM265" s="684"/>
      <c r="CN265" s="684"/>
      <c r="CO265" s="684"/>
      <c r="CP265" s="684"/>
      <c r="CQ265" s="684"/>
      <c r="CR265" s="684"/>
      <c r="CS265" s="684"/>
      <c r="CT265" s="684"/>
      <c r="CU265" s="684"/>
      <c r="CV265" s="684"/>
      <c r="CW265" s="684"/>
      <c r="CX265" s="684"/>
      <c r="CY265" s="684"/>
      <c r="CZ265" s="684"/>
      <c r="DA265" s="684"/>
      <c r="DB265" s="684"/>
      <c r="DC265" s="684"/>
    </row>
    <row r="266" spans="1:107" s="630" customFormat="1" ht="12.75" hidden="1" customHeight="1">
      <c r="A266" s="504"/>
      <c r="B266" s="636" t="str">
        <f t="shared" si="69"/>
        <v/>
      </c>
      <c r="C266" s="628" t="str">
        <f t="shared" si="71"/>
        <v xml:space="preserve"> A2 - Efficient VRF Units*</v>
      </c>
      <c r="D266" s="628"/>
      <c r="E266" s="628"/>
      <c r="F266" s="628"/>
      <c r="G266" s="628"/>
      <c r="H266" s="628"/>
      <c r="I266" s="628"/>
      <c r="J266" s="628"/>
      <c r="K266" s="640" t="str">
        <f>IF(K50="","",K50)</f>
        <v>Complete HVAC Worksheet</v>
      </c>
      <c r="L266" s="640" t="str">
        <f t="shared" ref="L266:Q266" si="74">IF(L50="","",L50)</f>
        <v/>
      </c>
      <c r="M266" s="640" t="str">
        <f t="shared" si="74"/>
        <v/>
      </c>
      <c r="N266" s="640" t="str">
        <f t="shared" si="74"/>
        <v/>
      </c>
      <c r="O266" s="640" t="str">
        <f t="shared" si="74"/>
        <v/>
      </c>
      <c r="P266" s="640" t="str">
        <f t="shared" si="74"/>
        <v/>
      </c>
      <c r="Q266" s="640" t="str">
        <f t="shared" si="74"/>
        <v/>
      </c>
      <c r="R266" s="628"/>
      <c r="S266" s="628"/>
      <c r="T266" s="628"/>
      <c r="U266" s="628"/>
      <c r="V266" s="628"/>
      <c r="W266" s="628"/>
      <c r="X266" s="628"/>
      <c r="Y266" s="628"/>
      <c r="Z266" s="628"/>
      <c r="AA266" s="628"/>
      <c r="AB266" s="628"/>
      <c r="AC266" s="628"/>
      <c r="AD266" s="637" t="str">
        <f t="shared" si="72"/>
        <v>x $35 to $100 per ton=</v>
      </c>
      <c r="AE266" s="628" t="str">
        <f t="shared" si="72"/>
        <v>$</v>
      </c>
      <c r="AF266" s="846" t="str">
        <f t="shared" si="72"/>
        <v/>
      </c>
      <c r="AG266" s="846"/>
      <c r="AH266" s="846"/>
      <c r="AI266" s="638" t="str">
        <f t="shared" si="73"/>
        <v/>
      </c>
      <c r="AJ266" s="504"/>
      <c r="AK266" s="627"/>
      <c r="AL266" s="629"/>
      <c r="AM266" s="627"/>
      <c r="AN266" s="627"/>
      <c r="AO266" s="627"/>
      <c r="AP266" s="627"/>
      <c r="AQ266" s="627"/>
      <c r="AR266" s="627"/>
      <c r="AS266" s="627"/>
      <c r="AT266" s="627"/>
      <c r="AU266" s="627"/>
      <c r="AV266" s="627"/>
      <c r="AW266" s="627"/>
      <c r="AX266" s="627"/>
      <c r="AY266" s="627"/>
      <c r="AZ266" s="627"/>
      <c r="BA266" s="627"/>
      <c r="BB266" s="627"/>
      <c r="BC266" s="627"/>
      <c r="BD266" s="627"/>
      <c r="BE266" s="627"/>
      <c r="BF266" s="627"/>
      <c r="BG266" s="627"/>
      <c r="BH266" s="627"/>
      <c r="BI266" s="627"/>
      <c r="BJ266" s="627"/>
      <c r="BK266" s="627"/>
      <c r="BL266" s="627"/>
      <c r="BM266" s="627"/>
      <c r="BN266" s="627"/>
      <c r="BO266" s="627"/>
      <c r="BP266" s="627"/>
      <c r="BQ266" s="627"/>
      <c r="BR266" s="627"/>
      <c r="BS266" s="627"/>
      <c r="BT266" s="627"/>
      <c r="BU266" s="627"/>
      <c r="BV266" s="627"/>
      <c r="BW266" s="627"/>
      <c r="BX266" s="627"/>
      <c r="BY266" s="627"/>
      <c r="BZ266" s="627"/>
      <c r="CA266" s="690"/>
      <c r="CB266" s="690"/>
      <c r="CC266" s="690"/>
      <c r="CD266" s="690"/>
      <c r="CE266" s="690"/>
      <c r="CF266" s="690"/>
      <c r="CG266" s="690"/>
      <c r="CH266" s="690"/>
      <c r="CI266" s="690"/>
      <c r="CJ266" s="690"/>
      <c r="CK266" s="690"/>
      <c r="CL266" s="690"/>
      <c r="CM266" s="690"/>
      <c r="CN266" s="690"/>
      <c r="CO266" s="690"/>
      <c r="CP266" s="690"/>
      <c r="CQ266" s="690"/>
      <c r="CR266" s="690"/>
      <c r="CS266" s="690"/>
      <c r="CT266" s="690"/>
      <c r="CU266" s="690"/>
      <c r="CV266" s="690"/>
      <c r="CW266" s="690"/>
      <c r="CX266" s="690"/>
      <c r="CY266" s="690"/>
      <c r="CZ266" s="690"/>
      <c r="DA266" s="690"/>
      <c r="DB266" s="690"/>
      <c r="DC266" s="690"/>
    </row>
    <row r="267" spans="1:107" s="5" customFormat="1" ht="12.75" customHeight="1">
      <c r="A267" s="1"/>
      <c r="B267" s="253" t="str">
        <f t="shared" si="69"/>
        <v/>
      </c>
      <c r="C267" s="9" t="str">
        <f t="shared" si="71"/>
        <v xml:space="preserve"> A3R - Efficient Chillers*</v>
      </c>
      <c r="D267" s="9"/>
      <c r="E267" s="9"/>
      <c r="F267" s="9"/>
      <c r="G267" s="9"/>
      <c r="H267" s="9"/>
      <c r="I267" s="9"/>
      <c r="J267" s="9"/>
      <c r="K267" s="848" t="str">
        <f>IF(K51="","",K51)</f>
        <v>Complete Retro HVAC Worksheet</v>
      </c>
      <c r="L267" s="848"/>
      <c r="M267" s="848"/>
      <c r="N267" s="848"/>
      <c r="O267" s="848"/>
      <c r="P267" s="848"/>
      <c r="Q267" s="848"/>
      <c r="R267" s="9"/>
      <c r="S267" s="9"/>
      <c r="T267" s="9"/>
      <c r="U267" s="9"/>
      <c r="V267" s="9"/>
      <c r="W267" s="9"/>
      <c r="X267" s="9"/>
      <c r="Y267" s="9"/>
      <c r="Z267" s="9"/>
      <c r="AA267" s="9"/>
      <c r="AB267" s="9"/>
      <c r="AC267" s="9"/>
      <c r="AD267" s="623" t="str">
        <f t="shared" si="72"/>
        <v>x $60 or $110 per ton=</v>
      </c>
      <c r="AE267" s="9" t="str">
        <f t="shared" si="72"/>
        <v>$</v>
      </c>
      <c r="AF267" s="846" t="str">
        <f t="shared" si="72"/>
        <v/>
      </c>
      <c r="AG267" s="846"/>
      <c r="AH267" s="846"/>
      <c r="AI267" s="633" t="str">
        <f t="shared" si="73"/>
        <v/>
      </c>
      <c r="AJ267" s="1"/>
      <c r="AK267" s="94"/>
      <c r="AL267" s="98"/>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684"/>
      <c r="CB267" s="684"/>
      <c r="CC267" s="684"/>
      <c r="CD267" s="684"/>
      <c r="CE267" s="684"/>
      <c r="CF267" s="684"/>
      <c r="CG267" s="684"/>
      <c r="CH267" s="684"/>
      <c r="CI267" s="684"/>
      <c r="CJ267" s="684"/>
      <c r="CK267" s="684"/>
      <c r="CL267" s="684"/>
      <c r="CM267" s="684"/>
      <c r="CN267" s="684"/>
      <c r="CO267" s="684"/>
      <c r="CP267" s="684"/>
      <c r="CQ267" s="684"/>
      <c r="CR267" s="684"/>
      <c r="CS267" s="684"/>
      <c r="CT267" s="684"/>
      <c r="CU267" s="684"/>
      <c r="CV267" s="684"/>
      <c r="CW267" s="684"/>
      <c r="CX267" s="684"/>
      <c r="CY267" s="684"/>
      <c r="CZ267" s="684"/>
      <c r="DA267" s="684"/>
      <c r="DB267" s="684"/>
      <c r="DC267" s="684"/>
    </row>
    <row r="268" spans="1:107" s="5" customFormat="1" ht="12.75" customHeight="1">
      <c r="A268" s="1"/>
      <c r="B268" s="253" t="str">
        <f t="shared" si="69"/>
        <v/>
      </c>
      <c r="C268" s="9" t="str">
        <f t="shared" si="71"/>
        <v xml:space="preserve"> A4R - Economizer (Air Cooled)</v>
      </c>
      <c r="D268" s="9"/>
      <c r="E268" s="9"/>
      <c r="F268" s="9"/>
      <c r="G268" s="9"/>
      <c r="H268" s="9"/>
      <c r="I268" s="9"/>
      <c r="J268" s="9"/>
      <c r="K268" s="9"/>
      <c r="L268" s="9"/>
      <c r="M268" s="9"/>
      <c r="N268" s="623" t="str">
        <f t="shared" ref="N268:Q268" si="75">IF(N52="","",N52)</f>
        <v xml:space="preserve">New - Total Eligible: </v>
      </c>
      <c r="O268" s="844" t="str">
        <f t="shared" si="75"/>
        <v/>
      </c>
      <c r="P268" s="845"/>
      <c r="Q268" s="9" t="str">
        <f t="shared" si="75"/>
        <v>tons</v>
      </c>
      <c r="R268" s="9"/>
      <c r="S268" s="9"/>
      <c r="T268" s="9"/>
      <c r="U268" s="9"/>
      <c r="V268" s="623" t="str">
        <f t="shared" ref="V268:W275" si="76">IF(V52="","",V52)</f>
        <v xml:space="preserve">Repair - Total Eligible: </v>
      </c>
      <c r="W268" s="844" t="str">
        <f t="shared" si="76"/>
        <v/>
      </c>
      <c r="X268" s="845"/>
      <c r="Y268" s="9" t="str">
        <f t="shared" ref="Y268:Y275" si="77">IF(Y52="","",Y52)</f>
        <v>tons</v>
      </c>
      <c r="Z268" s="9"/>
      <c r="AA268" s="9"/>
      <c r="AB268" s="9"/>
      <c r="AC268" s="9"/>
      <c r="AD268" s="623" t="str">
        <f t="shared" si="72"/>
        <v>x $100 or $50 per ton=</v>
      </c>
      <c r="AE268" s="9" t="str">
        <f t="shared" si="72"/>
        <v>$</v>
      </c>
      <c r="AF268" s="846" t="str">
        <f t="shared" si="72"/>
        <v/>
      </c>
      <c r="AG268" s="846"/>
      <c r="AH268" s="846"/>
      <c r="AI268" s="633" t="str">
        <f t="shared" si="73"/>
        <v/>
      </c>
      <c r="AJ268" s="1"/>
      <c r="AK268" s="94"/>
      <c r="AL268" s="98"/>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684"/>
      <c r="CB268" s="684"/>
      <c r="CC268" s="684"/>
      <c r="CD268" s="684"/>
      <c r="CE268" s="684"/>
      <c r="CF268" s="684"/>
      <c r="CG268" s="684"/>
      <c r="CH268" s="684"/>
      <c r="CI268" s="684"/>
      <c r="CJ268" s="684"/>
      <c r="CK268" s="684"/>
      <c r="CL268" s="684"/>
      <c r="CM268" s="684"/>
      <c r="CN268" s="684"/>
      <c r="CO268" s="684"/>
      <c r="CP268" s="684"/>
      <c r="CQ268" s="684"/>
      <c r="CR268" s="684"/>
      <c r="CS268" s="684"/>
      <c r="CT268" s="684"/>
      <c r="CU268" s="684"/>
      <c r="CV268" s="684"/>
      <c r="CW268" s="684"/>
      <c r="CX268" s="684"/>
      <c r="CY268" s="684"/>
      <c r="CZ268" s="684"/>
      <c r="DA268" s="684"/>
      <c r="DB268" s="684"/>
      <c r="DC268" s="684"/>
    </row>
    <row r="269" spans="1:107" s="630" customFormat="1" ht="12.75" hidden="1" customHeight="1">
      <c r="A269" s="504"/>
      <c r="B269" s="636" t="str">
        <f t="shared" si="69"/>
        <v/>
      </c>
      <c r="C269" s="628" t="str">
        <f t="shared" si="71"/>
        <v xml:space="preserve"> A4Nb - Economizer (Water Cooled)*</v>
      </c>
      <c r="D269" s="628" t="str">
        <f t="shared" ref="D269:U269" si="78">IF(D53="","",D53)</f>
        <v/>
      </c>
      <c r="E269" s="628" t="str">
        <f t="shared" si="78"/>
        <v/>
      </c>
      <c r="F269" s="628" t="str">
        <f t="shared" si="78"/>
        <v/>
      </c>
      <c r="G269" s="628" t="str">
        <f t="shared" si="78"/>
        <v/>
      </c>
      <c r="H269" s="628" t="str">
        <f t="shared" si="78"/>
        <v/>
      </c>
      <c r="I269" s="628" t="str">
        <f t="shared" si="78"/>
        <v/>
      </c>
      <c r="J269" s="628" t="str">
        <f t="shared" si="78"/>
        <v/>
      </c>
      <c r="K269" s="628" t="str">
        <f t="shared" si="78"/>
        <v/>
      </c>
      <c r="L269" s="628" t="str">
        <f t="shared" si="78"/>
        <v/>
      </c>
      <c r="M269" s="628" t="str">
        <f t="shared" si="78"/>
        <v/>
      </c>
      <c r="N269" s="628" t="str">
        <f t="shared" si="78"/>
        <v/>
      </c>
      <c r="O269" s="628" t="str">
        <f t="shared" si="78"/>
        <v/>
      </c>
      <c r="P269" s="628" t="str">
        <f t="shared" si="78"/>
        <v/>
      </c>
      <c r="Q269" s="628" t="str">
        <f t="shared" si="78"/>
        <v/>
      </c>
      <c r="R269" s="628" t="str">
        <f t="shared" si="78"/>
        <v/>
      </c>
      <c r="S269" s="628" t="str">
        <f t="shared" si="78"/>
        <v/>
      </c>
      <c r="T269" s="628" t="str">
        <f t="shared" si="78"/>
        <v/>
      </c>
      <c r="U269" s="628" t="str">
        <f t="shared" si="78"/>
        <v/>
      </c>
      <c r="V269" s="637" t="str">
        <f t="shared" si="76"/>
        <v xml:space="preserve">Total Eligible: </v>
      </c>
      <c r="W269" s="628" t="str">
        <f t="shared" si="76"/>
        <v/>
      </c>
      <c r="X269" s="628" t="str">
        <f>IF(X53="","",X53)</f>
        <v/>
      </c>
      <c r="Y269" s="628" t="str">
        <f t="shared" si="77"/>
        <v>tons</v>
      </c>
      <c r="Z269" s="628"/>
      <c r="AA269" s="628"/>
      <c r="AB269" s="628"/>
      <c r="AC269" s="628"/>
      <c r="AD269" s="637" t="str">
        <f t="shared" si="72"/>
        <v>x $50 per ton=</v>
      </c>
      <c r="AE269" s="628" t="str">
        <f t="shared" si="72"/>
        <v>$</v>
      </c>
      <c r="AF269" s="628" t="str">
        <f t="shared" si="72"/>
        <v/>
      </c>
      <c r="AG269" s="628" t="str">
        <f t="shared" ref="AG269:AH271" si="79">IF(AG53="","",AG53)</f>
        <v/>
      </c>
      <c r="AH269" s="628" t="str">
        <f t="shared" si="79"/>
        <v/>
      </c>
      <c r="AI269" s="638" t="str">
        <f t="shared" si="73"/>
        <v/>
      </c>
      <c r="AJ269" s="504"/>
      <c r="AK269" s="627"/>
      <c r="AL269" s="629"/>
      <c r="AM269" s="627"/>
      <c r="AN269" s="627"/>
      <c r="AO269" s="627"/>
      <c r="AP269" s="627"/>
      <c r="AQ269" s="627"/>
      <c r="AR269" s="627"/>
      <c r="AS269" s="627"/>
      <c r="AT269" s="627"/>
      <c r="AU269" s="627"/>
      <c r="AV269" s="627"/>
      <c r="AW269" s="627"/>
      <c r="AX269" s="627"/>
      <c r="AY269" s="627"/>
      <c r="AZ269" s="627"/>
      <c r="BA269" s="627"/>
      <c r="BB269" s="627"/>
      <c r="BC269" s="627"/>
      <c r="BD269" s="627"/>
      <c r="BE269" s="627"/>
      <c r="BF269" s="627"/>
      <c r="BG269" s="627"/>
      <c r="BH269" s="627"/>
      <c r="BI269" s="627"/>
      <c r="BJ269" s="627"/>
      <c r="BK269" s="627"/>
      <c r="BL269" s="627"/>
      <c r="BM269" s="627"/>
      <c r="BN269" s="627"/>
      <c r="BO269" s="627"/>
      <c r="BP269" s="627"/>
      <c r="BQ269" s="627"/>
      <c r="BR269" s="627"/>
      <c r="BS269" s="627"/>
      <c r="BT269" s="627"/>
      <c r="BU269" s="627"/>
      <c r="BV269" s="627"/>
      <c r="BW269" s="627"/>
      <c r="BX269" s="627"/>
      <c r="BY269" s="627"/>
      <c r="BZ269" s="627"/>
      <c r="CA269" s="690"/>
      <c r="CB269" s="690"/>
      <c r="CC269" s="690"/>
      <c r="CD269" s="690"/>
      <c r="CE269" s="690"/>
      <c r="CF269" s="690"/>
      <c r="CG269" s="690"/>
      <c r="CH269" s="690"/>
      <c r="CI269" s="690"/>
      <c r="CJ269" s="690"/>
      <c r="CK269" s="690"/>
      <c r="CL269" s="690"/>
      <c r="CM269" s="690"/>
      <c r="CN269" s="690"/>
      <c r="CO269" s="690"/>
      <c r="CP269" s="690"/>
      <c r="CQ269" s="690"/>
      <c r="CR269" s="690"/>
      <c r="CS269" s="690"/>
      <c r="CT269" s="690"/>
      <c r="CU269" s="690"/>
      <c r="CV269" s="690"/>
      <c r="CW269" s="690"/>
      <c r="CX269" s="690"/>
      <c r="CY269" s="690"/>
      <c r="CZ269" s="690"/>
      <c r="DA269" s="690"/>
      <c r="DB269" s="690"/>
      <c r="DC269" s="690"/>
    </row>
    <row r="270" spans="1:107" s="630" customFormat="1" ht="12.75" hidden="1" customHeight="1">
      <c r="A270" s="504"/>
      <c r="B270" s="636" t="str">
        <f t="shared" si="69"/>
        <v/>
      </c>
      <c r="C270" s="628" t="str">
        <f t="shared" si="71"/>
        <v xml:space="preserve"> A5a - Evaporative Coolers (Direct)*</v>
      </c>
      <c r="D270" s="628" t="str">
        <f t="shared" ref="D270:U270" si="80">IF(D54="","",D54)</f>
        <v/>
      </c>
      <c r="E270" s="628" t="str">
        <f t="shared" si="80"/>
        <v/>
      </c>
      <c r="F270" s="628" t="str">
        <f t="shared" si="80"/>
        <v/>
      </c>
      <c r="G270" s="628" t="str">
        <f t="shared" si="80"/>
        <v/>
      </c>
      <c r="H270" s="628" t="str">
        <f t="shared" si="80"/>
        <v/>
      </c>
      <c r="I270" s="628" t="str">
        <f t="shared" si="80"/>
        <v/>
      </c>
      <c r="J270" s="628" t="str">
        <f t="shared" si="80"/>
        <v/>
      </c>
      <c r="K270" s="628" t="str">
        <f t="shared" si="80"/>
        <v/>
      </c>
      <c r="L270" s="628" t="str">
        <f t="shared" si="80"/>
        <v/>
      </c>
      <c r="M270" s="628" t="str">
        <f t="shared" si="80"/>
        <v/>
      </c>
      <c r="N270" s="628" t="str">
        <f t="shared" si="80"/>
        <v/>
      </c>
      <c r="O270" s="628" t="str">
        <f t="shared" si="80"/>
        <v/>
      </c>
      <c r="P270" s="628" t="str">
        <f t="shared" si="80"/>
        <v/>
      </c>
      <c r="Q270" s="628" t="str">
        <f t="shared" si="80"/>
        <v/>
      </c>
      <c r="R270" s="628" t="str">
        <f t="shared" si="80"/>
        <v/>
      </c>
      <c r="S270" s="628" t="str">
        <f t="shared" si="80"/>
        <v/>
      </c>
      <c r="T270" s="628" t="str">
        <f t="shared" si="80"/>
        <v/>
      </c>
      <c r="U270" s="628" t="str">
        <f t="shared" si="80"/>
        <v/>
      </c>
      <c r="V270" s="637" t="str">
        <f t="shared" si="76"/>
        <v xml:space="preserve">Total Eligible: </v>
      </c>
      <c r="W270" s="628" t="str">
        <f t="shared" si="76"/>
        <v/>
      </c>
      <c r="X270" s="628" t="str">
        <f>IF(X54="","",X54)</f>
        <v/>
      </c>
      <c r="Y270" s="628" t="str">
        <f t="shared" si="77"/>
        <v>tons</v>
      </c>
      <c r="Z270" s="628"/>
      <c r="AA270" s="628"/>
      <c r="AB270" s="628"/>
      <c r="AC270" s="628"/>
      <c r="AD270" s="637" t="str">
        <f t="shared" si="72"/>
        <v>x $200 per ton=</v>
      </c>
      <c r="AE270" s="628" t="str">
        <f t="shared" si="72"/>
        <v>$</v>
      </c>
      <c r="AF270" s="628" t="str">
        <f t="shared" si="72"/>
        <v/>
      </c>
      <c r="AG270" s="628" t="str">
        <f t="shared" si="79"/>
        <v/>
      </c>
      <c r="AH270" s="628" t="str">
        <f t="shared" si="79"/>
        <v/>
      </c>
      <c r="AI270" s="638" t="str">
        <f t="shared" si="73"/>
        <v/>
      </c>
      <c r="AJ270" s="504"/>
      <c r="AK270" s="627"/>
      <c r="AL270" s="629"/>
      <c r="AM270" s="627"/>
      <c r="AN270" s="627"/>
      <c r="AO270" s="627"/>
      <c r="AP270" s="627"/>
      <c r="AQ270" s="627"/>
      <c r="AR270" s="627"/>
      <c r="AS270" s="627"/>
      <c r="AT270" s="627"/>
      <c r="AU270" s="627"/>
      <c r="AV270" s="627"/>
      <c r="AW270" s="627"/>
      <c r="AX270" s="627"/>
      <c r="AY270" s="627"/>
      <c r="AZ270" s="627"/>
      <c r="BA270" s="627"/>
      <c r="BB270" s="627"/>
      <c r="BC270" s="627"/>
      <c r="BD270" s="627"/>
      <c r="BE270" s="627"/>
      <c r="BF270" s="627"/>
      <c r="BG270" s="627"/>
      <c r="BH270" s="627"/>
      <c r="BI270" s="627"/>
      <c r="BJ270" s="627"/>
      <c r="BK270" s="627"/>
      <c r="BL270" s="627"/>
      <c r="BM270" s="627"/>
      <c r="BN270" s="627"/>
      <c r="BO270" s="627"/>
      <c r="BP270" s="627"/>
      <c r="BQ270" s="627"/>
      <c r="BR270" s="627"/>
      <c r="BS270" s="627"/>
      <c r="BT270" s="627"/>
      <c r="BU270" s="627"/>
      <c r="BV270" s="627"/>
      <c r="BW270" s="627"/>
      <c r="BX270" s="627"/>
      <c r="BY270" s="627"/>
      <c r="BZ270" s="627"/>
      <c r="CA270" s="690"/>
      <c r="CB270" s="690"/>
      <c r="CC270" s="690"/>
      <c r="CD270" s="690"/>
      <c r="CE270" s="690"/>
      <c r="CF270" s="690"/>
      <c r="CG270" s="690"/>
      <c r="CH270" s="690"/>
      <c r="CI270" s="690"/>
      <c r="CJ270" s="690"/>
      <c r="CK270" s="690"/>
      <c r="CL270" s="690"/>
      <c r="CM270" s="690"/>
      <c r="CN270" s="690"/>
      <c r="CO270" s="690"/>
      <c r="CP270" s="690"/>
      <c r="CQ270" s="690"/>
      <c r="CR270" s="690"/>
      <c r="CS270" s="690"/>
      <c r="CT270" s="690"/>
      <c r="CU270" s="690"/>
      <c r="CV270" s="690"/>
      <c r="CW270" s="690"/>
      <c r="CX270" s="690"/>
      <c r="CY270" s="690"/>
      <c r="CZ270" s="690"/>
      <c r="DA270" s="690"/>
      <c r="DB270" s="690"/>
      <c r="DC270" s="690"/>
    </row>
    <row r="271" spans="1:107" s="630" customFormat="1" ht="12.75" hidden="1" customHeight="1">
      <c r="A271" s="504"/>
      <c r="B271" s="636" t="str">
        <f t="shared" si="69"/>
        <v/>
      </c>
      <c r="C271" s="628" t="str">
        <f t="shared" si="71"/>
        <v xml:space="preserve"> A5b - Evaporative Coolers (Indirect)*</v>
      </c>
      <c r="D271" s="628" t="str">
        <f t="shared" ref="D271:U271" si="81">IF(D55="","",D55)</f>
        <v/>
      </c>
      <c r="E271" s="628" t="str">
        <f t="shared" si="81"/>
        <v/>
      </c>
      <c r="F271" s="628" t="str">
        <f t="shared" si="81"/>
        <v/>
      </c>
      <c r="G271" s="628" t="str">
        <f t="shared" si="81"/>
        <v/>
      </c>
      <c r="H271" s="628" t="str">
        <f t="shared" si="81"/>
        <v/>
      </c>
      <c r="I271" s="628" t="str">
        <f t="shared" si="81"/>
        <v/>
      </c>
      <c r="J271" s="628" t="str">
        <f t="shared" si="81"/>
        <v/>
      </c>
      <c r="K271" s="628" t="str">
        <f t="shared" si="81"/>
        <v/>
      </c>
      <c r="L271" s="628" t="str">
        <f t="shared" si="81"/>
        <v/>
      </c>
      <c r="M271" s="628" t="str">
        <f t="shared" si="81"/>
        <v/>
      </c>
      <c r="N271" s="628" t="str">
        <f t="shared" si="81"/>
        <v/>
      </c>
      <c r="O271" s="628" t="str">
        <f t="shared" si="81"/>
        <v/>
      </c>
      <c r="P271" s="628" t="str">
        <f t="shared" si="81"/>
        <v/>
      </c>
      <c r="Q271" s="628" t="str">
        <f t="shared" si="81"/>
        <v/>
      </c>
      <c r="R271" s="628" t="str">
        <f t="shared" si="81"/>
        <v/>
      </c>
      <c r="S271" s="628" t="str">
        <f t="shared" si="81"/>
        <v/>
      </c>
      <c r="T271" s="628" t="str">
        <f t="shared" si="81"/>
        <v/>
      </c>
      <c r="U271" s="628" t="str">
        <f t="shared" si="81"/>
        <v/>
      </c>
      <c r="V271" s="637" t="str">
        <f t="shared" si="76"/>
        <v xml:space="preserve">Total Eligible: </v>
      </c>
      <c r="W271" s="628" t="str">
        <f t="shared" si="76"/>
        <v/>
      </c>
      <c r="X271" s="628" t="str">
        <f>IF(X55="","",X55)</f>
        <v/>
      </c>
      <c r="Y271" s="628" t="str">
        <f t="shared" si="77"/>
        <v>tons</v>
      </c>
      <c r="Z271" s="628"/>
      <c r="AA271" s="628"/>
      <c r="AB271" s="628"/>
      <c r="AC271" s="628"/>
      <c r="AD271" s="637" t="str">
        <f t="shared" si="72"/>
        <v>x $130 per ton=</v>
      </c>
      <c r="AE271" s="628" t="str">
        <f t="shared" si="72"/>
        <v>$</v>
      </c>
      <c r="AF271" s="628" t="str">
        <f t="shared" si="72"/>
        <v/>
      </c>
      <c r="AG271" s="628" t="str">
        <f t="shared" si="79"/>
        <v/>
      </c>
      <c r="AH271" s="628" t="str">
        <f t="shared" si="79"/>
        <v/>
      </c>
      <c r="AI271" s="638" t="str">
        <f t="shared" si="73"/>
        <v/>
      </c>
      <c r="AJ271" s="504"/>
      <c r="AK271" s="627"/>
      <c r="AL271" s="629"/>
      <c r="AM271" s="627"/>
      <c r="AN271" s="627"/>
      <c r="AO271" s="627"/>
      <c r="AP271" s="627"/>
      <c r="AQ271" s="627"/>
      <c r="AR271" s="627"/>
      <c r="AS271" s="627"/>
      <c r="AT271" s="627"/>
      <c r="AU271" s="627"/>
      <c r="AV271" s="627"/>
      <c r="AW271" s="627"/>
      <c r="AX271" s="627"/>
      <c r="AY271" s="627"/>
      <c r="AZ271" s="627"/>
      <c r="BA271" s="627"/>
      <c r="BB271" s="627"/>
      <c r="BC271" s="627"/>
      <c r="BD271" s="627"/>
      <c r="BE271" s="627"/>
      <c r="BF271" s="627"/>
      <c r="BG271" s="627"/>
      <c r="BH271" s="627"/>
      <c r="BI271" s="627"/>
      <c r="BJ271" s="627"/>
      <c r="BK271" s="627"/>
      <c r="BL271" s="627"/>
      <c r="BM271" s="627"/>
      <c r="BN271" s="627"/>
      <c r="BO271" s="627"/>
      <c r="BP271" s="627"/>
      <c r="BQ271" s="627"/>
      <c r="BR271" s="627"/>
      <c r="BS271" s="627"/>
      <c r="BT271" s="627"/>
      <c r="BU271" s="627"/>
      <c r="BV271" s="627"/>
      <c r="BW271" s="627"/>
      <c r="BX271" s="627"/>
      <c r="BY271" s="627"/>
      <c r="BZ271" s="627"/>
      <c r="CA271" s="690"/>
      <c r="CB271" s="690"/>
      <c r="CC271" s="690"/>
      <c r="CD271" s="690"/>
      <c r="CE271" s="690"/>
      <c r="CF271" s="690"/>
      <c r="CG271" s="690"/>
      <c r="CH271" s="690"/>
      <c r="CI271" s="690"/>
      <c r="CJ271" s="690"/>
      <c r="CK271" s="690"/>
      <c r="CL271" s="690"/>
      <c r="CM271" s="690"/>
      <c r="CN271" s="690"/>
      <c r="CO271" s="690"/>
      <c r="CP271" s="690"/>
      <c r="CQ271" s="690"/>
      <c r="CR271" s="690"/>
      <c r="CS271" s="690"/>
      <c r="CT271" s="690"/>
      <c r="CU271" s="690"/>
      <c r="CV271" s="690"/>
      <c r="CW271" s="690"/>
      <c r="CX271" s="690"/>
      <c r="CY271" s="690"/>
      <c r="CZ271" s="690"/>
      <c r="DA271" s="690"/>
      <c r="DB271" s="690"/>
      <c r="DC271" s="690"/>
    </row>
    <row r="272" spans="1:107" s="5" customFormat="1" ht="12.75" customHeight="1">
      <c r="A272" s="1"/>
      <c r="B272" s="253" t="str">
        <f t="shared" si="69"/>
        <v/>
      </c>
      <c r="C272" s="9" t="str">
        <f t="shared" si="71"/>
        <v xml:space="preserve"> A6R - High Volume Low Speed Fans</v>
      </c>
      <c r="D272" s="9"/>
      <c r="E272" s="9"/>
      <c r="F272" s="9"/>
      <c r="G272" s="9"/>
      <c r="H272" s="9"/>
      <c r="I272" s="9"/>
      <c r="J272" s="9"/>
      <c r="K272" s="9"/>
      <c r="L272" s="9"/>
      <c r="M272" s="9"/>
      <c r="N272" s="9"/>
      <c r="O272" s="9"/>
      <c r="P272" s="9"/>
      <c r="Q272" s="9"/>
      <c r="R272" s="9"/>
      <c r="S272" s="9"/>
      <c r="T272" s="9"/>
      <c r="U272" s="9"/>
      <c r="V272" s="623" t="str">
        <f t="shared" si="76"/>
        <v xml:space="preserve">Qty: </v>
      </c>
      <c r="W272" s="844" t="str">
        <f t="shared" si="76"/>
        <v/>
      </c>
      <c r="X272" s="845"/>
      <c r="Y272" s="9" t="str">
        <f t="shared" si="77"/>
        <v>fans</v>
      </c>
      <c r="Z272" s="9"/>
      <c r="AA272" s="9"/>
      <c r="AB272" s="9"/>
      <c r="AC272" s="9"/>
      <c r="AD272" s="623" t="str">
        <f t="shared" si="72"/>
        <v>x $2,000 per fan=</v>
      </c>
      <c r="AE272" s="9" t="str">
        <f t="shared" si="72"/>
        <v>$</v>
      </c>
      <c r="AF272" s="846" t="str">
        <f t="shared" si="72"/>
        <v/>
      </c>
      <c r="AG272" s="846"/>
      <c r="AH272" s="846"/>
      <c r="AI272" s="633" t="str">
        <f t="shared" si="73"/>
        <v/>
      </c>
      <c r="AJ272" s="1"/>
      <c r="AK272" s="94"/>
      <c r="AL272" s="98"/>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684"/>
      <c r="CB272" s="684"/>
      <c r="CC272" s="684"/>
      <c r="CD272" s="684"/>
      <c r="CE272" s="684"/>
      <c r="CF272" s="684"/>
      <c r="CG272" s="684"/>
      <c r="CH272" s="684"/>
      <c r="CI272" s="684"/>
      <c r="CJ272" s="684"/>
      <c r="CK272" s="684"/>
      <c r="CL272" s="684"/>
      <c r="CM272" s="684"/>
      <c r="CN272" s="684"/>
      <c r="CO272" s="684"/>
      <c r="CP272" s="684"/>
      <c r="CQ272" s="684"/>
      <c r="CR272" s="684"/>
      <c r="CS272" s="684"/>
      <c r="CT272" s="684"/>
      <c r="CU272" s="684"/>
      <c r="CV272" s="684"/>
      <c r="CW272" s="684"/>
      <c r="CX272" s="684"/>
      <c r="CY272" s="684"/>
      <c r="CZ272" s="684"/>
      <c r="DA272" s="684"/>
      <c r="DB272" s="684"/>
      <c r="DC272" s="684"/>
    </row>
    <row r="273" spans="1:107" s="630" customFormat="1" ht="12.75" hidden="1" customHeight="1">
      <c r="A273" s="504"/>
      <c r="B273" s="636" t="str">
        <f t="shared" si="69"/>
        <v/>
      </c>
      <c r="C273" s="628" t="str">
        <f t="shared" si="71"/>
        <v xml:space="preserve"> A7 - Evaporative Pre-coolers on Air-Cooled Condensers (HVAC)*</v>
      </c>
      <c r="D273" s="628" t="str">
        <f t="shared" ref="D273:U273" si="82">IF(D57="","",D57)</f>
        <v/>
      </c>
      <c r="E273" s="628" t="str">
        <f t="shared" si="82"/>
        <v/>
      </c>
      <c r="F273" s="628" t="str">
        <f t="shared" si="82"/>
        <v/>
      </c>
      <c r="G273" s="628" t="str">
        <f t="shared" si="82"/>
        <v/>
      </c>
      <c r="H273" s="628" t="str">
        <f t="shared" si="82"/>
        <v/>
      </c>
      <c r="I273" s="628" t="str">
        <f t="shared" si="82"/>
        <v/>
      </c>
      <c r="J273" s="628" t="str">
        <f t="shared" si="82"/>
        <v/>
      </c>
      <c r="K273" s="628" t="str">
        <f t="shared" si="82"/>
        <v/>
      </c>
      <c r="L273" s="628" t="str">
        <f t="shared" si="82"/>
        <v/>
      </c>
      <c r="M273" s="628" t="str">
        <f t="shared" si="82"/>
        <v/>
      </c>
      <c r="N273" s="628" t="str">
        <f t="shared" si="82"/>
        <v/>
      </c>
      <c r="O273" s="628" t="str">
        <f t="shared" si="82"/>
        <v/>
      </c>
      <c r="P273" s="628" t="str">
        <f t="shared" si="82"/>
        <v/>
      </c>
      <c r="Q273" s="628" t="str">
        <f t="shared" si="82"/>
        <v/>
      </c>
      <c r="R273" s="628" t="str">
        <f t="shared" si="82"/>
        <v/>
      </c>
      <c r="S273" s="628" t="str">
        <f t="shared" si="82"/>
        <v/>
      </c>
      <c r="T273" s="628" t="str">
        <f t="shared" si="82"/>
        <v/>
      </c>
      <c r="U273" s="628" t="str">
        <f t="shared" si="82"/>
        <v/>
      </c>
      <c r="V273" s="637" t="str">
        <f t="shared" si="76"/>
        <v xml:space="preserve">Total Eligible: </v>
      </c>
      <c r="W273" s="628" t="str">
        <f t="shared" si="76"/>
        <v/>
      </c>
      <c r="X273" s="628" t="str">
        <f>IF(X57="","",X57)</f>
        <v/>
      </c>
      <c r="Y273" s="628" t="str">
        <f t="shared" si="77"/>
        <v>tons</v>
      </c>
      <c r="Z273" s="628"/>
      <c r="AA273" s="628"/>
      <c r="AB273" s="628"/>
      <c r="AC273" s="628"/>
      <c r="AD273" s="637" t="str">
        <f t="shared" si="72"/>
        <v>x $30 per ton=</v>
      </c>
      <c r="AE273" s="628" t="str">
        <f t="shared" si="72"/>
        <v>$</v>
      </c>
      <c r="AF273" s="628" t="str">
        <f t="shared" si="72"/>
        <v/>
      </c>
      <c r="AG273" s="628" t="str">
        <f t="shared" ref="AG273:AH275" si="83">IF(AG57="","",AG57)</f>
        <v/>
      </c>
      <c r="AH273" s="628" t="str">
        <f t="shared" si="83"/>
        <v/>
      </c>
      <c r="AI273" s="638" t="str">
        <f t="shared" si="73"/>
        <v/>
      </c>
      <c r="AJ273" s="504"/>
      <c r="AK273" s="627"/>
      <c r="AL273" s="629"/>
      <c r="AM273" s="627"/>
      <c r="AN273" s="627"/>
      <c r="AO273" s="627"/>
      <c r="AP273" s="627"/>
      <c r="AQ273" s="627"/>
      <c r="AR273" s="627"/>
      <c r="AS273" s="627"/>
      <c r="AT273" s="627"/>
      <c r="AU273" s="627"/>
      <c r="AV273" s="627"/>
      <c r="AW273" s="627"/>
      <c r="AX273" s="627"/>
      <c r="AY273" s="627"/>
      <c r="AZ273" s="627"/>
      <c r="BA273" s="627"/>
      <c r="BB273" s="627"/>
      <c r="BC273" s="627"/>
      <c r="BD273" s="627"/>
      <c r="BE273" s="627"/>
      <c r="BF273" s="627"/>
      <c r="BG273" s="627"/>
      <c r="BH273" s="627"/>
      <c r="BI273" s="627"/>
      <c r="BJ273" s="627"/>
      <c r="BK273" s="627"/>
      <c r="BL273" s="627"/>
      <c r="BM273" s="627"/>
      <c r="BN273" s="627"/>
      <c r="BO273" s="627"/>
      <c r="BP273" s="627"/>
      <c r="BQ273" s="627"/>
      <c r="BR273" s="627"/>
      <c r="BS273" s="627"/>
      <c r="BT273" s="627"/>
      <c r="BU273" s="627"/>
      <c r="BV273" s="627"/>
      <c r="BW273" s="627"/>
      <c r="BX273" s="627"/>
      <c r="BY273" s="627"/>
      <c r="BZ273" s="627"/>
      <c r="CA273" s="690"/>
      <c r="CB273" s="690"/>
      <c r="CC273" s="690"/>
      <c r="CD273" s="690"/>
      <c r="CE273" s="690"/>
      <c r="CF273" s="690"/>
      <c r="CG273" s="690"/>
      <c r="CH273" s="690"/>
      <c r="CI273" s="690"/>
      <c r="CJ273" s="690"/>
      <c r="CK273" s="690"/>
      <c r="CL273" s="690"/>
      <c r="CM273" s="690"/>
      <c r="CN273" s="690"/>
      <c r="CO273" s="690"/>
      <c r="CP273" s="690"/>
      <c r="CQ273" s="690"/>
      <c r="CR273" s="690"/>
      <c r="CS273" s="690"/>
      <c r="CT273" s="690"/>
      <c r="CU273" s="690"/>
      <c r="CV273" s="690"/>
      <c r="CW273" s="690"/>
      <c r="CX273" s="690"/>
      <c r="CY273" s="690"/>
      <c r="CZ273" s="690"/>
      <c r="DA273" s="690"/>
      <c r="DB273" s="690"/>
      <c r="DC273" s="690"/>
    </row>
    <row r="274" spans="1:107" s="5" customFormat="1" ht="12.75" customHeight="1">
      <c r="A274" s="1"/>
      <c r="B274" s="634" t="str">
        <f t="shared" si="69"/>
        <v/>
      </c>
      <c r="C274" s="248" t="str">
        <f t="shared" si="71"/>
        <v/>
      </c>
      <c r="D274" s="248" t="str">
        <f t="shared" ref="D274:U274" si="84">IF(D58="","",D58)</f>
        <v/>
      </c>
      <c r="E274" s="248" t="str">
        <f t="shared" si="84"/>
        <v/>
      </c>
      <c r="F274" s="248" t="str">
        <f t="shared" si="84"/>
        <v/>
      </c>
      <c r="G274" s="248" t="str">
        <f t="shared" si="84"/>
        <v/>
      </c>
      <c r="H274" s="248" t="str">
        <f t="shared" si="84"/>
        <v/>
      </c>
      <c r="I274" s="248" t="str">
        <f t="shared" si="84"/>
        <v/>
      </c>
      <c r="J274" s="248" t="str">
        <f t="shared" si="84"/>
        <v/>
      </c>
      <c r="K274" s="248" t="str">
        <f t="shared" si="84"/>
        <v/>
      </c>
      <c r="L274" s="248" t="str">
        <f t="shared" si="84"/>
        <v/>
      </c>
      <c r="M274" s="248" t="str">
        <f t="shared" si="84"/>
        <v/>
      </c>
      <c r="N274" s="248" t="str">
        <f t="shared" si="84"/>
        <v/>
      </c>
      <c r="O274" s="248" t="str">
        <f t="shared" si="84"/>
        <v/>
      </c>
      <c r="P274" s="248" t="str">
        <f t="shared" si="84"/>
        <v/>
      </c>
      <c r="Q274" s="248" t="str">
        <f t="shared" si="84"/>
        <v/>
      </c>
      <c r="R274" s="248" t="str">
        <f t="shared" si="84"/>
        <v/>
      </c>
      <c r="S274" s="248" t="str">
        <f t="shared" si="84"/>
        <v/>
      </c>
      <c r="T274" s="248" t="str">
        <f t="shared" si="84"/>
        <v/>
      </c>
      <c r="U274" s="248" t="str">
        <f t="shared" si="84"/>
        <v/>
      </c>
      <c r="V274" s="248" t="str">
        <f t="shared" si="76"/>
        <v/>
      </c>
      <c r="W274" s="248" t="str">
        <f t="shared" si="76"/>
        <v/>
      </c>
      <c r="X274" s="248" t="str">
        <f>IF(X58="","",X58)</f>
        <v/>
      </c>
      <c r="Y274" s="248" t="str">
        <f t="shared" si="77"/>
        <v/>
      </c>
      <c r="Z274" s="248" t="str">
        <f t="shared" ref="Z274:AC275" si="85">IF(Z58="","",Z58)</f>
        <v/>
      </c>
      <c r="AA274" s="248" t="str">
        <f t="shared" si="85"/>
        <v/>
      </c>
      <c r="AB274" s="248" t="str">
        <f t="shared" si="85"/>
        <v/>
      </c>
      <c r="AC274" s="248" t="str">
        <f t="shared" si="85"/>
        <v/>
      </c>
      <c r="AD274" s="248" t="str">
        <f t="shared" si="72"/>
        <v/>
      </c>
      <c r="AE274" s="248" t="str">
        <f t="shared" si="72"/>
        <v/>
      </c>
      <c r="AF274" s="248" t="str">
        <f t="shared" si="72"/>
        <v/>
      </c>
      <c r="AG274" s="248" t="str">
        <f t="shared" si="83"/>
        <v/>
      </c>
      <c r="AH274" s="248" t="str">
        <f t="shared" si="83"/>
        <v/>
      </c>
      <c r="AI274" s="635" t="str">
        <f t="shared" si="73"/>
        <v/>
      </c>
      <c r="AJ274" s="1"/>
      <c r="AK274" s="94"/>
      <c r="AL274" s="98"/>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684"/>
      <c r="CB274" s="684"/>
      <c r="CC274" s="684"/>
      <c r="CD274" s="684"/>
      <c r="CE274" s="684"/>
      <c r="CF274" s="684"/>
      <c r="CG274" s="684"/>
      <c r="CH274" s="684"/>
      <c r="CI274" s="684"/>
      <c r="CJ274" s="684"/>
      <c r="CK274" s="684"/>
      <c r="CL274" s="684"/>
      <c r="CM274" s="684"/>
      <c r="CN274" s="684"/>
      <c r="CO274" s="684"/>
      <c r="CP274" s="684"/>
      <c r="CQ274" s="684"/>
      <c r="CR274" s="684"/>
      <c r="CS274" s="684"/>
      <c r="CT274" s="684"/>
      <c r="CU274" s="684"/>
      <c r="CV274" s="684"/>
      <c r="CW274" s="684"/>
      <c r="CX274" s="684"/>
      <c r="CY274" s="684"/>
      <c r="CZ274" s="684"/>
      <c r="DA274" s="684"/>
      <c r="DB274" s="684"/>
      <c r="DC274" s="684"/>
    </row>
    <row r="275" spans="1:107" s="5" customFormat="1" ht="12.75" customHeight="1">
      <c r="A275" s="1"/>
      <c r="B275" s="9" t="str">
        <f t="shared" si="69"/>
        <v/>
      </c>
      <c r="C275" s="9" t="str">
        <f t="shared" si="71"/>
        <v/>
      </c>
      <c r="D275" s="9" t="str">
        <f t="shared" ref="D275:U275" si="86">IF(D59="","",D59)</f>
        <v/>
      </c>
      <c r="E275" s="9" t="str">
        <f t="shared" si="86"/>
        <v/>
      </c>
      <c r="F275" s="9" t="str">
        <f t="shared" si="86"/>
        <v/>
      </c>
      <c r="G275" s="9" t="str">
        <f t="shared" si="86"/>
        <v/>
      </c>
      <c r="H275" s="9" t="str">
        <f t="shared" si="86"/>
        <v/>
      </c>
      <c r="I275" s="9" t="str">
        <f t="shared" si="86"/>
        <v/>
      </c>
      <c r="J275" s="9" t="str">
        <f t="shared" si="86"/>
        <v/>
      </c>
      <c r="K275" s="9" t="str">
        <f t="shared" si="86"/>
        <v/>
      </c>
      <c r="L275" s="9" t="str">
        <f t="shared" si="86"/>
        <v/>
      </c>
      <c r="M275" s="9" t="str">
        <f t="shared" si="86"/>
        <v/>
      </c>
      <c r="N275" s="9" t="str">
        <f t="shared" si="86"/>
        <v/>
      </c>
      <c r="O275" s="9" t="str">
        <f t="shared" si="86"/>
        <v/>
      </c>
      <c r="P275" s="9" t="str">
        <f t="shared" si="86"/>
        <v/>
      </c>
      <c r="Q275" s="9" t="str">
        <f t="shared" si="86"/>
        <v/>
      </c>
      <c r="R275" s="9" t="str">
        <f t="shared" si="86"/>
        <v/>
      </c>
      <c r="S275" s="9" t="str">
        <f t="shared" si="86"/>
        <v/>
      </c>
      <c r="T275" s="9" t="str">
        <f t="shared" si="86"/>
        <v/>
      </c>
      <c r="U275" s="9" t="str">
        <f t="shared" si="86"/>
        <v/>
      </c>
      <c r="V275" s="9" t="str">
        <f t="shared" si="76"/>
        <v/>
      </c>
      <c r="W275" s="9" t="str">
        <f t="shared" si="76"/>
        <v/>
      </c>
      <c r="X275" s="9" t="str">
        <f>IF(X59="","",X59)</f>
        <v/>
      </c>
      <c r="Y275" s="9" t="str">
        <f t="shared" si="77"/>
        <v/>
      </c>
      <c r="Z275" s="9" t="str">
        <f t="shared" si="85"/>
        <v/>
      </c>
      <c r="AA275" s="9" t="str">
        <f t="shared" si="85"/>
        <v/>
      </c>
      <c r="AB275" s="9" t="str">
        <f t="shared" si="85"/>
        <v/>
      </c>
      <c r="AC275" s="9" t="str">
        <f t="shared" si="85"/>
        <v/>
      </c>
      <c r="AD275" s="9" t="str">
        <f t="shared" si="72"/>
        <v/>
      </c>
      <c r="AE275" s="9" t="str">
        <f t="shared" si="72"/>
        <v/>
      </c>
      <c r="AF275" s="9" t="str">
        <f t="shared" si="72"/>
        <v/>
      </c>
      <c r="AG275" s="9" t="str">
        <f t="shared" si="83"/>
        <v/>
      </c>
      <c r="AH275" s="9" t="str">
        <f t="shared" si="83"/>
        <v/>
      </c>
      <c r="AI275" s="9" t="str">
        <f t="shared" si="73"/>
        <v/>
      </c>
      <c r="AJ275" s="1"/>
      <c r="AK275" s="94"/>
      <c r="AL275" s="98"/>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684"/>
      <c r="CB275" s="684"/>
      <c r="CC275" s="684"/>
      <c r="CD275" s="684"/>
      <c r="CE275" s="684"/>
      <c r="CF275" s="684"/>
      <c r="CG275" s="684"/>
      <c r="CH275" s="684"/>
      <c r="CI275" s="684"/>
      <c r="CJ275" s="684"/>
      <c r="CK275" s="684"/>
      <c r="CL275" s="684"/>
      <c r="CM275" s="684"/>
      <c r="CN275" s="684"/>
      <c r="CO275" s="684"/>
      <c r="CP275" s="684"/>
      <c r="CQ275" s="684"/>
      <c r="CR275" s="684"/>
      <c r="CS275" s="684"/>
      <c r="CT275" s="684"/>
      <c r="CU275" s="684"/>
      <c r="CV275" s="684"/>
      <c r="CW275" s="684"/>
      <c r="CX275" s="684"/>
      <c r="CY275" s="684"/>
      <c r="CZ275" s="684"/>
      <c r="DA275" s="684"/>
      <c r="DB275" s="684"/>
      <c r="DC275" s="684"/>
    </row>
    <row r="276" spans="1:107" s="5" customFormat="1" ht="12.75" customHeight="1">
      <c r="A276" s="1"/>
      <c r="B276" s="626" t="str">
        <f t="shared" si="69"/>
        <v>Building Shell</v>
      </c>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1"/>
      <c r="AK276" s="94"/>
      <c r="AL276" s="98"/>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684"/>
      <c r="CB276" s="684"/>
      <c r="CC276" s="684"/>
      <c r="CD276" s="684"/>
      <c r="CE276" s="684"/>
      <c r="CF276" s="684"/>
      <c r="CG276" s="684"/>
      <c r="CH276" s="684"/>
      <c r="CI276" s="684"/>
      <c r="CJ276" s="684"/>
      <c r="CK276" s="684"/>
      <c r="CL276" s="684"/>
      <c r="CM276" s="684"/>
      <c r="CN276" s="684"/>
      <c r="CO276" s="684"/>
      <c r="CP276" s="684"/>
      <c r="CQ276" s="684"/>
      <c r="CR276" s="684"/>
      <c r="CS276" s="684"/>
      <c r="CT276" s="684"/>
      <c r="CU276" s="684"/>
      <c r="CV276" s="684"/>
      <c r="CW276" s="684"/>
      <c r="CX276" s="684"/>
      <c r="CY276" s="684"/>
      <c r="CZ276" s="684"/>
      <c r="DA276" s="684"/>
      <c r="DB276" s="684"/>
      <c r="DC276" s="684"/>
    </row>
    <row r="277" spans="1:107" s="5" customFormat="1" ht="12.75" customHeight="1">
      <c r="A277" s="1"/>
      <c r="B277" s="240" t="str">
        <f t="shared" si="69"/>
        <v/>
      </c>
      <c r="C277" s="241" t="str">
        <f t="shared" ref="C277:AF277" si="87">IF(C61="","",C61)</f>
        <v/>
      </c>
      <c r="D277" s="241" t="str">
        <f t="shared" si="87"/>
        <v/>
      </c>
      <c r="E277" s="241" t="str">
        <f t="shared" si="87"/>
        <v/>
      </c>
      <c r="F277" s="241" t="str">
        <f t="shared" si="87"/>
        <v/>
      </c>
      <c r="G277" s="241" t="str">
        <f t="shared" si="87"/>
        <v/>
      </c>
      <c r="H277" s="241" t="str">
        <f t="shared" si="87"/>
        <v/>
      </c>
      <c r="I277" s="241" t="str">
        <f t="shared" si="87"/>
        <v/>
      </c>
      <c r="J277" s="241" t="str">
        <f t="shared" si="87"/>
        <v/>
      </c>
      <c r="K277" s="241" t="str">
        <f t="shared" si="87"/>
        <v/>
      </c>
      <c r="L277" s="241" t="str">
        <f t="shared" si="87"/>
        <v/>
      </c>
      <c r="M277" s="241" t="str">
        <f t="shared" si="87"/>
        <v/>
      </c>
      <c r="N277" s="241" t="str">
        <f t="shared" si="87"/>
        <v/>
      </c>
      <c r="O277" s="241" t="str">
        <f t="shared" si="87"/>
        <v/>
      </c>
      <c r="P277" s="241" t="str">
        <f t="shared" si="87"/>
        <v/>
      </c>
      <c r="Q277" s="241" t="str">
        <f t="shared" si="87"/>
        <v/>
      </c>
      <c r="R277" s="241" t="str">
        <f t="shared" si="87"/>
        <v/>
      </c>
      <c r="S277" s="241" t="str">
        <f t="shared" si="87"/>
        <v/>
      </c>
      <c r="T277" s="241" t="str">
        <f t="shared" si="87"/>
        <v/>
      </c>
      <c r="U277" s="241" t="str">
        <f t="shared" si="87"/>
        <v/>
      </c>
      <c r="V277" s="241" t="str">
        <f t="shared" si="87"/>
        <v/>
      </c>
      <c r="W277" s="241" t="str">
        <f t="shared" si="87"/>
        <v/>
      </c>
      <c r="X277" s="241" t="str">
        <f t="shared" si="87"/>
        <v/>
      </c>
      <c r="Y277" s="241" t="str">
        <f t="shared" si="87"/>
        <v/>
      </c>
      <c r="Z277" s="241" t="str">
        <f t="shared" si="87"/>
        <v/>
      </c>
      <c r="AA277" s="241" t="str">
        <f t="shared" si="87"/>
        <v/>
      </c>
      <c r="AB277" s="241" t="str">
        <f t="shared" si="87"/>
        <v/>
      </c>
      <c r="AC277" s="241" t="str">
        <f t="shared" si="87"/>
        <v/>
      </c>
      <c r="AD277" s="241" t="str">
        <f t="shared" si="87"/>
        <v/>
      </c>
      <c r="AE277" s="241" t="str">
        <f t="shared" si="87"/>
        <v/>
      </c>
      <c r="AF277" s="241" t="str">
        <f t="shared" si="87"/>
        <v>Incentive</v>
      </c>
      <c r="AG277" s="241"/>
      <c r="AH277" s="241"/>
      <c r="AI277" s="242"/>
      <c r="AJ277" s="1"/>
      <c r="AK277" s="94"/>
      <c r="AL277" s="98"/>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684"/>
      <c r="CB277" s="684"/>
      <c r="CC277" s="684"/>
      <c r="CD277" s="684"/>
      <c r="CE277" s="684"/>
      <c r="CF277" s="684"/>
      <c r="CG277" s="684"/>
      <c r="CH277" s="684"/>
      <c r="CI277" s="684"/>
      <c r="CJ277" s="684"/>
      <c r="CK277" s="684"/>
      <c r="CL277" s="684"/>
      <c r="CM277" s="684"/>
      <c r="CN277" s="684"/>
      <c r="CO277" s="684"/>
      <c r="CP277" s="684"/>
      <c r="CQ277" s="684"/>
      <c r="CR277" s="684"/>
      <c r="CS277" s="684"/>
      <c r="CT277" s="684"/>
      <c r="CU277" s="684"/>
      <c r="CV277" s="684"/>
      <c r="CW277" s="684"/>
      <c r="CX277" s="684"/>
      <c r="CY277" s="684"/>
      <c r="CZ277" s="684"/>
      <c r="DA277" s="684"/>
      <c r="DB277" s="684"/>
      <c r="DC277" s="684"/>
    </row>
    <row r="278" spans="1:107" s="5" customFormat="1" ht="12.75" customHeight="1">
      <c r="A278" s="1"/>
      <c r="B278" s="253" t="str">
        <f t="shared" si="69"/>
        <v/>
      </c>
      <c r="C278" s="9" t="str">
        <f t="shared" ref="C278:C291" si="88">IF(C62="","",C62)</f>
        <v xml:space="preserve"> B1R - Reflective Roof Treatment (sq ft over common areas only)</v>
      </c>
      <c r="D278" s="9"/>
      <c r="E278" s="9"/>
      <c r="F278" s="9"/>
      <c r="G278" s="9"/>
      <c r="H278" s="9"/>
      <c r="I278" s="9"/>
      <c r="J278" s="9"/>
      <c r="K278" s="9"/>
      <c r="L278" s="9"/>
      <c r="M278" s="9"/>
      <c r="N278" s="9"/>
      <c r="O278" s="9"/>
      <c r="P278" s="9"/>
      <c r="Q278" s="9"/>
      <c r="R278" s="9"/>
      <c r="S278" s="9"/>
      <c r="T278" s="9"/>
      <c r="U278" s="9"/>
      <c r="V278" s="623" t="str">
        <f t="shared" ref="V278:W291" si="89">IF(V62="","",V62)</f>
        <v xml:space="preserve">Roof Area: </v>
      </c>
      <c r="W278" s="844" t="str">
        <f t="shared" si="89"/>
        <v/>
      </c>
      <c r="X278" s="845"/>
      <c r="Y278" s="9" t="str">
        <f t="shared" ref="Y278:Y291" si="90">IF(Y62="","",Y62)</f>
        <v>sq ft</v>
      </c>
      <c r="Z278" s="9"/>
      <c r="AA278" s="9"/>
      <c r="AB278" s="9"/>
      <c r="AC278" s="9"/>
      <c r="AD278" s="623" t="str">
        <f t="shared" ref="AD278:AF291" si="91">IF(AD62="","",AD62)</f>
        <v>x $0.05 per sq ft=</v>
      </c>
      <c r="AE278" s="9" t="str">
        <f t="shared" si="91"/>
        <v>$</v>
      </c>
      <c r="AF278" s="846" t="str">
        <f t="shared" si="91"/>
        <v/>
      </c>
      <c r="AG278" s="846"/>
      <c r="AH278" s="846"/>
      <c r="AI278" s="633" t="str">
        <f t="shared" ref="AI278:AI291" si="92">IF(AI62="","",AI62)</f>
        <v/>
      </c>
      <c r="AJ278" s="1"/>
      <c r="AK278" s="94"/>
      <c r="AL278" s="98"/>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684"/>
      <c r="CB278" s="684"/>
      <c r="CC278" s="684"/>
      <c r="CD278" s="684"/>
      <c r="CE278" s="684"/>
      <c r="CF278" s="684"/>
      <c r="CG278" s="684"/>
      <c r="CH278" s="684"/>
      <c r="CI278" s="684"/>
      <c r="CJ278" s="684"/>
      <c r="CK278" s="684"/>
      <c r="CL278" s="684"/>
      <c r="CM278" s="684"/>
      <c r="CN278" s="684"/>
      <c r="CO278" s="684"/>
      <c r="CP278" s="684"/>
      <c r="CQ278" s="684"/>
      <c r="CR278" s="684"/>
      <c r="CS278" s="684"/>
      <c r="CT278" s="684"/>
      <c r="CU278" s="684"/>
      <c r="CV278" s="684"/>
      <c r="CW278" s="684"/>
      <c r="CX278" s="684"/>
      <c r="CY278" s="684"/>
      <c r="CZ278" s="684"/>
      <c r="DA278" s="684"/>
      <c r="DB278" s="684"/>
      <c r="DC278" s="684"/>
    </row>
    <row r="279" spans="1:107" s="5" customFormat="1" ht="12.75" customHeight="1">
      <c r="A279" s="1"/>
      <c r="B279" s="634" t="str">
        <f t="shared" si="69"/>
        <v/>
      </c>
      <c r="C279" s="248" t="str">
        <f t="shared" si="88"/>
        <v/>
      </c>
      <c r="D279" s="248" t="str">
        <f t="shared" ref="D279:U279" si="93">IF(D63="","",D63)</f>
        <v/>
      </c>
      <c r="E279" s="248" t="str">
        <f t="shared" si="93"/>
        <v/>
      </c>
      <c r="F279" s="248" t="str">
        <f t="shared" si="93"/>
        <v/>
      </c>
      <c r="G279" s="248" t="str">
        <f t="shared" si="93"/>
        <v/>
      </c>
      <c r="H279" s="248" t="str">
        <f t="shared" si="93"/>
        <v/>
      </c>
      <c r="I279" s="248" t="str">
        <f t="shared" si="93"/>
        <v/>
      </c>
      <c r="J279" s="248" t="str">
        <f t="shared" si="93"/>
        <v/>
      </c>
      <c r="K279" s="248" t="str">
        <f t="shared" si="93"/>
        <v/>
      </c>
      <c r="L279" s="248" t="str">
        <f t="shared" si="93"/>
        <v/>
      </c>
      <c r="M279" s="248" t="str">
        <f t="shared" si="93"/>
        <v/>
      </c>
      <c r="N279" s="248" t="str">
        <f t="shared" si="93"/>
        <v/>
      </c>
      <c r="O279" s="248" t="str">
        <f t="shared" si="93"/>
        <v/>
      </c>
      <c r="P279" s="248" t="str">
        <f t="shared" si="93"/>
        <v/>
      </c>
      <c r="Q279" s="248" t="str">
        <f t="shared" si="93"/>
        <v/>
      </c>
      <c r="R279" s="248" t="str">
        <f t="shared" si="93"/>
        <v/>
      </c>
      <c r="S279" s="248" t="str">
        <f t="shared" si="93"/>
        <v/>
      </c>
      <c r="T279" s="248" t="str">
        <f t="shared" si="93"/>
        <v/>
      </c>
      <c r="U279" s="248" t="str">
        <f t="shared" si="93"/>
        <v/>
      </c>
      <c r="V279" s="248" t="str">
        <f t="shared" si="89"/>
        <v/>
      </c>
      <c r="W279" s="248" t="str">
        <f t="shared" si="89"/>
        <v/>
      </c>
      <c r="X279" s="248" t="str">
        <f t="shared" ref="X279:X291" si="94">IF(X63="","",X63)</f>
        <v/>
      </c>
      <c r="Y279" s="248" t="str">
        <f t="shared" si="90"/>
        <v/>
      </c>
      <c r="Z279" s="248" t="str">
        <f t="shared" ref="Z279:AC291" si="95">IF(Z63="","",Z63)</f>
        <v/>
      </c>
      <c r="AA279" s="248" t="str">
        <f t="shared" si="95"/>
        <v/>
      </c>
      <c r="AB279" s="248" t="str">
        <f t="shared" si="95"/>
        <v/>
      </c>
      <c r="AC279" s="248" t="str">
        <f t="shared" si="95"/>
        <v/>
      </c>
      <c r="AD279" s="248" t="str">
        <f t="shared" si="91"/>
        <v/>
      </c>
      <c r="AE279" s="248" t="str">
        <f t="shared" si="91"/>
        <v/>
      </c>
      <c r="AF279" s="248" t="str">
        <f t="shared" si="91"/>
        <v/>
      </c>
      <c r="AG279" s="248" t="str">
        <f t="shared" ref="AG279:AH291" si="96">IF(AG63="","",AG63)</f>
        <v/>
      </c>
      <c r="AH279" s="248" t="str">
        <f t="shared" si="96"/>
        <v/>
      </c>
      <c r="AI279" s="635" t="str">
        <f t="shared" si="92"/>
        <v/>
      </c>
      <c r="AJ279" s="1"/>
      <c r="AK279" s="94"/>
      <c r="AL279" s="98"/>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684"/>
      <c r="CB279" s="684"/>
      <c r="CC279" s="684"/>
      <c r="CD279" s="684"/>
      <c r="CE279" s="684"/>
      <c r="CF279" s="684"/>
      <c r="CG279" s="684"/>
      <c r="CH279" s="684"/>
      <c r="CI279" s="684"/>
      <c r="CJ279" s="684"/>
      <c r="CK279" s="684"/>
      <c r="CL279" s="684"/>
      <c r="CM279" s="684"/>
      <c r="CN279" s="684"/>
      <c r="CO279" s="684"/>
      <c r="CP279" s="684"/>
      <c r="CQ279" s="684"/>
      <c r="CR279" s="684"/>
      <c r="CS279" s="684"/>
      <c r="CT279" s="684"/>
      <c r="CU279" s="684"/>
      <c r="CV279" s="684"/>
      <c r="CW279" s="684"/>
      <c r="CX279" s="684"/>
      <c r="CY279" s="684"/>
      <c r="CZ279" s="684"/>
      <c r="DA279" s="684"/>
      <c r="DB279" s="684"/>
      <c r="DC279" s="684"/>
    </row>
    <row r="280" spans="1:107" s="5" customFormat="1" ht="12.75" customHeight="1">
      <c r="A280" s="1"/>
      <c r="B280" s="9" t="str">
        <f t="shared" si="69"/>
        <v/>
      </c>
      <c r="C280" s="9" t="str">
        <f t="shared" si="88"/>
        <v/>
      </c>
      <c r="D280" s="9" t="str">
        <f t="shared" ref="D280:U280" si="97">IF(D64="","",D64)</f>
        <v/>
      </c>
      <c r="E280" s="9" t="str">
        <f t="shared" si="97"/>
        <v/>
      </c>
      <c r="F280" s="9" t="str">
        <f t="shared" si="97"/>
        <v/>
      </c>
      <c r="G280" s="9" t="str">
        <f t="shared" si="97"/>
        <v/>
      </c>
      <c r="H280" s="9" t="str">
        <f t="shared" si="97"/>
        <v/>
      </c>
      <c r="I280" s="9" t="str">
        <f t="shared" si="97"/>
        <v/>
      </c>
      <c r="J280" s="9" t="str">
        <f t="shared" si="97"/>
        <v/>
      </c>
      <c r="K280" s="9" t="str">
        <f t="shared" si="97"/>
        <v/>
      </c>
      <c r="L280" s="9" t="str">
        <f t="shared" si="97"/>
        <v/>
      </c>
      <c r="M280" s="9" t="str">
        <f t="shared" si="97"/>
        <v/>
      </c>
      <c r="N280" s="9" t="str">
        <f t="shared" si="97"/>
        <v/>
      </c>
      <c r="O280" s="9" t="str">
        <f t="shared" si="97"/>
        <v/>
      </c>
      <c r="P280" s="9" t="str">
        <f t="shared" si="97"/>
        <v/>
      </c>
      <c r="Q280" s="9" t="str">
        <f t="shared" si="97"/>
        <v/>
      </c>
      <c r="R280" s="9" t="str">
        <f t="shared" si="97"/>
        <v/>
      </c>
      <c r="S280" s="9" t="str">
        <f t="shared" si="97"/>
        <v/>
      </c>
      <c r="T280" s="9" t="str">
        <f t="shared" si="97"/>
        <v/>
      </c>
      <c r="U280" s="9" t="str">
        <f t="shared" si="97"/>
        <v/>
      </c>
      <c r="V280" s="9" t="str">
        <f t="shared" si="89"/>
        <v/>
      </c>
      <c r="W280" s="9" t="str">
        <f t="shared" si="89"/>
        <v/>
      </c>
      <c r="X280" s="9" t="str">
        <f t="shared" si="94"/>
        <v/>
      </c>
      <c r="Y280" s="9" t="str">
        <f t="shared" si="90"/>
        <v/>
      </c>
      <c r="Z280" s="9" t="str">
        <f t="shared" si="95"/>
        <v/>
      </c>
      <c r="AA280" s="9" t="str">
        <f t="shared" si="95"/>
        <v/>
      </c>
      <c r="AB280" s="9" t="str">
        <f t="shared" si="95"/>
        <v/>
      </c>
      <c r="AC280" s="9" t="str">
        <f t="shared" si="95"/>
        <v/>
      </c>
      <c r="AD280" s="9" t="str">
        <f t="shared" si="91"/>
        <v/>
      </c>
      <c r="AE280" s="9" t="str">
        <f t="shared" si="91"/>
        <v/>
      </c>
      <c r="AF280" s="9" t="str">
        <f t="shared" si="91"/>
        <v/>
      </c>
      <c r="AG280" s="9" t="str">
        <f t="shared" si="96"/>
        <v/>
      </c>
      <c r="AH280" s="9" t="str">
        <f t="shared" si="96"/>
        <v/>
      </c>
      <c r="AI280" s="9" t="str">
        <f t="shared" si="92"/>
        <v/>
      </c>
      <c r="AJ280" s="1"/>
      <c r="AK280" s="94"/>
      <c r="AL280" s="98"/>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684"/>
      <c r="CB280" s="684"/>
      <c r="CC280" s="684"/>
      <c r="CD280" s="684"/>
      <c r="CE280" s="684"/>
      <c r="CF280" s="684"/>
      <c r="CG280" s="684"/>
      <c r="CH280" s="684"/>
      <c r="CI280" s="684"/>
      <c r="CJ280" s="684"/>
      <c r="CK280" s="684"/>
      <c r="CL280" s="684"/>
      <c r="CM280" s="684"/>
      <c r="CN280" s="684"/>
      <c r="CO280" s="684"/>
      <c r="CP280" s="684"/>
      <c r="CQ280" s="684"/>
      <c r="CR280" s="684"/>
      <c r="CS280" s="684"/>
      <c r="CT280" s="684"/>
      <c r="CU280" s="684"/>
      <c r="CV280" s="684"/>
      <c r="CW280" s="684"/>
      <c r="CX280" s="684"/>
      <c r="CY280" s="684"/>
      <c r="CZ280" s="684"/>
      <c r="DA280" s="684"/>
      <c r="DB280" s="684"/>
      <c r="DC280" s="684"/>
    </row>
    <row r="281" spans="1:107" s="630" customFormat="1" ht="12.75" hidden="1" customHeight="1">
      <c r="A281" s="504"/>
      <c r="B281" s="628" t="str">
        <f t="shared" si="69"/>
        <v>Controls</v>
      </c>
      <c r="C281" s="628" t="str">
        <f t="shared" si="88"/>
        <v/>
      </c>
      <c r="D281" s="628" t="str">
        <f t="shared" ref="D281:U281" si="98">IF(D65="","",D65)</f>
        <v/>
      </c>
      <c r="E281" s="628" t="str">
        <f t="shared" si="98"/>
        <v/>
      </c>
      <c r="F281" s="628" t="str">
        <f t="shared" si="98"/>
        <v/>
      </c>
      <c r="G281" s="628" t="str">
        <f t="shared" si="98"/>
        <v/>
      </c>
      <c r="H281" s="628" t="str">
        <f t="shared" si="98"/>
        <v/>
      </c>
      <c r="I281" s="628" t="str">
        <f t="shared" si="98"/>
        <v/>
      </c>
      <c r="J281" s="628" t="str">
        <f t="shared" si="98"/>
        <v/>
      </c>
      <c r="K281" s="628" t="str">
        <f t="shared" si="98"/>
        <v/>
      </c>
      <c r="L281" s="628" t="str">
        <f t="shared" si="98"/>
        <v/>
      </c>
      <c r="M281" s="628" t="str">
        <f t="shared" si="98"/>
        <v/>
      </c>
      <c r="N281" s="628" t="str">
        <f t="shared" si="98"/>
        <v/>
      </c>
      <c r="O281" s="628" t="str">
        <f t="shared" si="98"/>
        <v/>
      </c>
      <c r="P281" s="628" t="str">
        <f t="shared" si="98"/>
        <v/>
      </c>
      <c r="Q281" s="628" t="str">
        <f t="shared" si="98"/>
        <v/>
      </c>
      <c r="R281" s="628" t="str">
        <f t="shared" si="98"/>
        <v/>
      </c>
      <c r="S281" s="628" t="str">
        <f t="shared" si="98"/>
        <v/>
      </c>
      <c r="T281" s="628" t="str">
        <f t="shared" si="98"/>
        <v/>
      </c>
      <c r="U281" s="628" t="str">
        <f t="shared" si="98"/>
        <v/>
      </c>
      <c r="V281" s="628" t="str">
        <f t="shared" si="89"/>
        <v/>
      </c>
      <c r="W281" s="628" t="str">
        <f t="shared" si="89"/>
        <v/>
      </c>
      <c r="X281" s="628" t="str">
        <f t="shared" si="94"/>
        <v/>
      </c>
      <c r="Y281" s="628" t="str">
        <f t="shared" si="90"/>
        <v/>
      </c>
      <c r="Z281" s="628" t="str">
        <f t="shared" si="95"/>
        <v/>
      </c>
      <c r="AA281" s="628" t="str">
        <f t="shared" si="95"/>
        <v/>
      </c>
      <c r="AB281" s="628" t="str">
        <f t="shared" si="95"/>
        <v/>
      </c>
      <c r="AC281" s="628" t="str">
        <f t="shared" si="95"/>
        <v/>
      </c>
      <c r="AD281" s="628" t="str">
        <f t="shared" si="91"/>
        <v/>
      </c>
      <c r="AE281" s="628" t="str">
        <f t="shared" si="91"/>
        <v/>
      </c>
      <c r="AF281" s="628" t="str">
        <f t="shared" si="91"/>
        <v/>
      </c>
      <c r="AG281" s="628" t="str">
        <f t="shared" si="96"/>
        <v/>
      </c>
      <c r="AH281" s="628" t="str">
        <f t="shared" si="96"/>
        <v/>
      </c>
      <c r="AI281" s="628" t="str">
        <f t="shared" si="92"/>
        <v/>
      </c>
      <c r="AJ281" s="504"/>
      <c r="AK281" s="627"/>
      <c r="AL281" s="629"/>
      <c r="AM281" s="627"/>
      <c r="AN281" s="627"/>
      <c r="AO281" s="627"/>
      <c r="AP281" s="627"/>
      <c r="AQ281" s="627"/>
      <c r="AR281" s="627"/>
      <c r="AS281" s="627"/>
      <c r="AT281" s="627"/>
      <c r="AU281" s="627"/>
      <c r="AV281" s="627"/>
      <c r="AW281" s="627"/>
      <c r="AX281" s="627"/>
      <c r="AY281" s="627"/>
      <c r="AZ281" s="627"/>
      <c r="BA281" s="627"/>
      <c r="BB281" s="627"/>
      <c r="BC281" s="627"/>
      <c r="BD281" s="627"/>
      <c r="BE281" s="627"/>
      <c r="BF281" s="627"/>
      <c r="BG281" s="627"/>
      <c r="BH281" s="627"/>
      <c r="BI281" s="627"/>
      <c r="BJ281" s="627"/>
      <c r="BK281" s="627"/>
      <c r="BL281" s="627"/>
      <c r="BM281" s="627"/>
      <c r="BN281" s="627"/>
      <c r="BO281" s="627"/>
      <c r="BP281" s="627"/>
      <c r="BQ281" s="627"/>
      <c r="BR281" s="627"/>
      <c r="BS281" s="627"/>
      <c r="BT281" s="627"/>
      <c r="BU281" s="627"/>
      <c r="BV281" s="627"/>
      <c r="BW281" s="627"/>
      <c r="BX281" s="627"/>
      <c r="BY281" s="627"/>
      <c r="BZ281" s="627"/>
      <c r="CA281" s="690"/>
      <c r="CB281" s="690"/>
      <c r="CC281" s="690"/>
      <c r="CD281" s="690"/>
      <c r="CE281" s="690"/>
      <c r="CF281" s="690"/>
      <c r="CG281" s="690"/>
      <c r="CH281" s="690"/>
      <c r="CI281" s="690"/>
      <c r="CJ281" s="690"/>
      <c r="CK281" s="690"/>
      <c r="CL281" s="690"/>
      <c r="CM281" s="690"/>
      <c r="CN281" s="690"/>
      <c r="CO281" s="690"/>
      <c r="CP281" s="690"/>
      <c r="CQ281" s="690"/>
      <c r="CR281" s="690"/>
      <c r="CS281" s="690"/>
      <c r="CT281" s="690"/>
      <c r="CU281" s="690"/>
      <c r="CV281" s="690"/>
      <c r="CW281" s="690"/>
      <c r="CX281" s="690"/>
      <c r="CY281" s="690"/>
      <c r="CZ281" s="690"/>
      <c r="DA281" s="690"/>
      <c r="DB281" s="690"/>
      <c r="DC281" s="690"/>
    </row>
    <row r="282" spans="1:107" s="630" customFormat="1" ht="12.75" hidden="1" customHeight="1">
      <c r="A282" s="504"/>
      <c r="B282" s="628" t="str">
        <f t="shared" si="69"/>
        <v/>
      </c>
      <c r="C282" s="628" t="str">
        <f t="shared" si="88"/>
        <v/>
      </c>
      <c r="D282" s="628" t="str">
        <f t="shared" ref="D282:U282" si="99">IF(D66="","",D66)</f>
        <v/>
      </c>
      <c r="E282" s="628" t="str">
        <f t="shared" si="99"/>
        <v/>
      </c>
      <c r="F282" s="628" t="str">
        <f t="shared" si="99"/>
        <v/>
      </c>
      <c r="G282" s="628" t="str">
        <f t="shared" si="99"/>
        <v/>
      </c>
      <c r="H282" s="628" t="str">
        <f t="shared" si="99"/>
        <v/>
      </c>
      <c r="I282" s="628" t="str">
        <f t="shared" si="99"/>
        <v/>
      </c>
      <c r="J282" s="628" t="str">
        <f t="shared" si="99"/>
        <v/>
      </c>
      <c r="K282" s="628" t="str">
        <f t="shared" si="99"/>
        <v/>
      </c>
      <c r="L282" s="628" t="str">
        <f t="shared" si="99"/>
        <v/>
      </c>
      <c r="M282" s="628" t="str">
        <f t="shared" si="99"/>
        <v/>
      </c>
      <c r="N282" s="628" t="str">
        <f t="shared" si="99"/>
        <v/>
      </c>
      <c r="O282" s="628" t="str">
        <f t="shared" si="99"/>
        <v/>
      </c>
      <c r="P282" s="628" t="str">
        <f t="shared" si="99"/>
        <v/>
      </c>
      <c r="Q282" s="628" t="str">
        <f t="shared" si="99"/>
        <v/>
      </c>
      <c r="R282" s="628" t="str">
        <f t="shared" si="99"/>
        <v/>
      </c>
      <c r="S282" s="628" t="str">
        <f t="shared" si="99"/>
        <v/>
      </c>
      <c r="T282" s="628" t="str">
        <f t="shared" si="99"/>
        <v/>
      </c>
      <c r="U282" s="628" t="str">
        <f t="shared" si="99"/>
        <v/>
      </c>
      <c r="V282" s="628" t="str">
        <f t="shared" si="89"/>
        <v/>
      </c>
      <c r="W282" s="628" t="str">
        <f t="shared" si="89"/>
        <v/>
      </c>
      <c r="X282" s="628" t="str">
        <f t="shared" si="94"/>
        <v/>
      </c>
      <c r="Y282" s="628" t="str">
        <f t="shared" si="90"/>
        <v/>
      </c>
      <c r="Z282" s="628" t="str">
        <f t="shared" si="95"/>
        <v>x $60*, $80, $100, or $120 per ton=</v>
      </c>
      <c r="AA282" s="628" t="str">
        <f t="shared" si="95"/>
        <v/>
      </c>
      <c r="AB282" s="628" t="str">
        <f t="shared" si="95"/>
        <v/>
      </c>
      <c r="AC282" s="628" t="str">
        <f t="shared" si="95"/>
        <v/>
      </c>
      <c r="AD282" s="628" t="str">
        <f t="shared" si="91"/>
        <v/>
      </c>
      <c r="AE282" s="628" t="str">
        <f t="shared" si="91"/>
        <v/>
      </c>
      <c r="AF282" s="628" t="str">
        <f t="shared" si="91"/>
        <v>Incentive</v>
      </c>
      <c r="AG282" s="628" t="str">
        <f t="shared" si="96"/>
        <v/>
      </c>
      <c r="AH282" s="628" t="str">
        <f t="shared" si="96"/>
        <v/>
      </c>
      <c r="AI282" s="628" t="str">
        <f t="shared" si="92"/>
        <v/>
      </c>
      <c r="AJ282" s="504"/>
      <c r="AK282" s="627"/>
      <c r="AL282" s="629"/>
      <c r="AM282" s="627"/>
      <c r="AN282" s="627"/>
      <c r="AO282" s="627"/>
      <c r="AP282" s="627"/>
      <c r="AQ282" s="627"/>
      <c r="AR282" s="627"/>
      <c r="AS282" s="627"/>
      <c r="AT282" s="627"/>
      <c r="AU282" s="627"/>
      <c r="AV282" s="627"/>
      <c r="AW282" s="627"/>
      <c r="AX282" s="627"/>
      <c r="AY282" s="627"/>
      <c r="AZ282" s="627"/>
      <c r="BA282" s="627"/>
      <c r="BB282" s="627"/>
      <c r="BC282" s="627"/>
      <c r="BD282" s="627"/>
      <c r="BE282" s="627"/>
      <c r="BF282" s="627"/>
      <c r="BG282" s="627"/>
      <c r="BH282" s="627"/>
      <c r="BI282" s="627"/>
      <c r="BJ282" s="627"/>
      <c r="BK282" s="627"/>
      <c r="BL282" s="627"/>
      <c r="BM282" s="627"/>
      <c r="BN282" s="627"/>
      <c r="BO282" s="627"/>
      <c r="BP282" s="627"/>
      <c r="BQ282" s="627"/>
      <c r="BR282" s="627"/>
      <c r="BS282" s="627"/>
      <c r="BT282" s="627"/>
      <c r="BU282" s="627"/>
      <c r="BV282" s="627"/>
      <c r="BW282" s="627"/>
      <c r="BX282" s="627"/>
      <c r="BY282" s="627"/>
      <c r="BZ282" s="627"/>
      <c r="CA282" s="690"/>
      <c r="CB282" s="690"/>
      <c r="CC282" s="690"/>
      <c r="CD282" s="690"/>
      <c r="CE282" s="690"/>
      <c r="CF282" s="690"/>
      <c r="CG282" s="690"/>
      <c r="CH282" s="690"/>
      <c r="CI282" s="690"/>
      <c r="CJ282" s="690"/>
      <c r="CK282" s="690"/>
      <c r="CL282" s="690"/>
      <c r="CM282" s="690"/>
      <c r="CN282" s="690"/>
      <c r="CO282" s="690"/>
      <c r="CP282" s="690"/>
      <c r="CQ282" s="690"/>
      <c r="CR282" s="690"/>
      <c r="CS282" s="690"/>
      <c r="CT282" s="690"/>
      <c r="CU282" s="690"/>
      <c r="CV282" s="690"/>
      <c r="CW282" s="690"/>
      <c r="CX282" s="690"/>
      <c r="CY282" s="690"/>
      <c r="CZ282" s="690"/>
      <c r="DA282" s="690"/>
      <c r="DB282" s="690"/>
      <c r="DC282" s="690"/>
    </row>
    <row r="283" spans="1:107" s="630" customFormat="1" ht="12.75" hidden="1" customHeight="1">
      <c r="A283" s="504"/>
      <c r="B283" s="628" t="str">
        <f t="shared" si="69"/>
        <v/>
      </c>
      <c r="C283" s="628" t="str">
        <f t="shared" si="88"/>
        <v xml:space="preserve"> C1 - Energy Management Control Systems*</v>
      </c>
      <c r="D283" s="628" t="str">
        <f t="shared" ref="D283:U283" si="100">IF(D67="","",D67)</f>
        <v/>
      </c>
      <c r="E283" s="628" t="str">
        <f t="shared" si="100"/>
        <v/>
      </c>
      <c r="F283" s="628" t="str">
        <f t="shared" si="100"/>
        <v/>
      </c>
      <c r="G283" s="628" t="str">
        <f t="shared" si="100"/>
        <v/>
      </c>
      <c r="H283" s="628" t="str">
        <f t="shared" si="100"/>
        <v/>
      </c>
      <c r="I283" s="628" t="str">
        <f t="shared" si="100"/>
        <v/>
      </c>
      <c r="J283" s="628" t="str">
        <f t="shared" si="100"/>
        <v/>
      </c>
      <c r="K283" s="628" t="str">
        <f t="shared" si="100"/>
        <v/>
      </c>
      <c r="L283" s="628" t="str">
        <f t="shared" si="100"/>
        <v/>
      </c>
      <c r="M283" s="628" t="str">
        <f t="shared" si="100"/>
        <v/>
      </c>
      <c r="N283" s="628" t="str">
        <f t="shared" si="100"/>
        <v/>
      </c>
      <c r="O283" s="628" t="str">
        <f t="shared" si="100"/>
        <v/>
      </c>
      <c r="P283" s="628" t="str">
        <f t="shared" si="100"/>
        <v/>
      </c>
      <c r="Q283" s="628" t="str">
        <f t="shared" si="100"/>
        <v/>
      </c>
      <c r="R283" s="628" t="str">
        <f t="shared" si="100"/>
        <v>Complete Controls Worksheet</v>
      </c>
      <c r="S283" s="628" t="str">
        <f t="shared" si="100"/>
        <v/>
      </c>
      <c r="T283" s="628" t="str">
        <f t="shared" si="100"/>
        <v/>
      </c>
      <c r="U283" s="628" t="str">
        <f t="shared" si="100"/>
        <v/>
      </c>
      <c r="V283" s="628" t="str">
        <f t="shared" si="89"/>
        <v/>
      </c>
      <c r="W283" s="628" t="str">
        <f t="shared" si="89"/>
        <v/>
      </c>
      <c r="X283" s="628" t="str">
        <f t="shared" si="94"/>
        <v/>
      </c>
      <c r="Y283" s="628" t="str">
        <f t="shared" si="90"/>
        <v/>
      </c>
      <c r="Z283" s="628" t="str">
        <f t="shared" si="95"/>
        <v/>
      </c>
      <c r="AA283" s="628" t="str">
        <f t="shared" si="95"/>
        <v/>
      </c>
      <c r="AB283" s="628" t="str">
        <f t="shared" si="95"/>
        <v/>
      </c>
      <c r="AC283" s="628" t="str">
        <f t="shared" si="95"/>
        <v/>
      </c>
      <c r="AD283" s="628" t="str">
        <f t="shared" si="91"/>
        <v/>
      </c>
      <c r="AE283" s="628" t="str">
        <f t="shared" si="91"/>
        <v>$</v>
      </c>
      <c r="AF283" s="628" t="str">
        <f t="shared" si="91"/>
        <v/>
      </c>
      <c r="AG283" s="628" t="str">
        <f t="shared" si="96"/>
        <v/>
      </c>
      <c r="AH283" s="628" t="str">
        <f t="shared" si="96"/>
        <v/>
      </c>
      <c r="AI283" s="628" t="str">
        <f t="shared" si="92"/>
        <v/>
      </c>
      <c r="AJ283" s="504"/>
      <c r="AK283" s="627"/>
      <c r="AL283" s="629"/>
      <c r="AM283" s="627"/>
      <c r="AN283" s="627"/>
      <c r="AO283" s="627"/>
      <c r="AP283" s="627"/>
      <c r="AQ283" s="627"/>
      <c r="AR283" s="627"/>
      <c r="AS283" s="627"/>
      <c r="AT283" s="627"/>
      <c r="AU283" s="627"/>
      <c r="AV283" s="627"/>
      <c r="AW283" s="627"/>
      <c r="AX283" s="627"/>
      <c r="AY283" s="627"/>
      <c r="AZ283" s="627"/>
      <c r="BA283" s="627"/>
      <c r="BB283" s="627"/>
      <c r="BC283" s="627"/>
      <c r="BD283" s="627"/>
      <c r="BE283" s="627"/>
      <c r="BF283" s="627"/>
      <c r="BG283" s="627"/>
      <c r="BH283" s="627"/>
      <c r="BI283" s="627"/>
      <c r="BJ283" s="627"/>
      <c r="BK283" s="627"/>
      <c r="BL283" s="627"/>
      <c r="BM283" s="627"/>
      <c r="BN283" s="627"/>
      <c r="BO283" s="627"/>
      <c r="BP283" s="627"/>
      <c r="BQ283" s="627"/>
      <c r="BR283" s="627"/>
      <c r="BS283" s="627"/>
      <c r="BT283" s="627"/>
      <c r="BU283" s="627"/>
      <c r="BV283" s="627"/>
      <c r="BW283" s="627"/>
      <c r="BX283" s="627"/>
      <c r="BY283" s="627"/>
      <c r="BZ283" s="627"/>
      <c r="CA283" s="690"/>
      <c r="CB283" s="690"/>
      <c r="CC283" s="690"/>
      <c r="CD283" s="690"/>
      <c r="CE283" s="690"/>
      <c r="CF283" s="690"/>
      <c r="CG283" s="690"/>
      <c r="CH283" s="690"/>
      <c r="CI283" s="690"/>
      <c r="CJ283" s="690"/>
      <c r="CK283" s="690"/>
      <c r="CL283" s="690"/>
      <c r="CM283" s="690"/>
      <c r="CN283" s="690"/>
      <c r="CO283" s="690"/>
      <c r="CP283" s="690"/>
      <c r="CQ283" s="690"/>
      <c r="CR283" s="690"/>
      <c r="CS283" s="690"/>
      <c r="CT283" s="690"/>
      <c r="CU283" s="690"/>
      <c r="CV283" s="690"/>
      <c r="CW283" s="690"/>
      <c r="CX283" s="690"/>
      <c r="CY283" s="690"/>
      <c r="CZ283" s="690"/>
      <c r="DA283" s="690"/>
      <c r="DB283" s="690"/>
      <c r="DC283" s="690"/>
    </row>
    <row r="284" spans="1:107" s="630" customFormat="1" ht="12.75" hidden="1" customHeight="1">
      <c r="A284" s="504"/>
      <c r="B284" s="628" t="str">
        <f t="shared" si="69"/>
        <v/>
      </c>
      <c r="C284" s="628" t="str">
        <f t="shared" si="88"/>
        <v xml:space="preserve"> C2 - Guest Room EMS  -Must use electric heat-</v>
      </c>
      <c r="D284" s="628" t="str">
        <f t="shared" ref="D284:U284" si="101">IF(D68="","",D68)</f>
        <v/>
      </c>
      <c r="E284" s="628" t="str">
        <f t="shared" si="101"/>
        <v/>
      </c>
      <c r="F284" s="628" t="str">
        <f t="shared" si="101"/>
        <v/>
      </c>
      <c r="G284" s="628" t="str">
        <f t="shared" si="101"/>
        <v/>
      </c>
      <c r="H284" s="628" t="str">
        <f t="shared" si="101"/>
        <v/>
      </c>
      <c r="I284" s="628" t="str">
        <f t="shared" si="101"/>
        <v/>
      </c>
      <c r="J284" s="628" t="str">
        <f t="shared" si="101"/>
        <v/>
      </c>
      <c r="K284" s="628" t="str">
        <f t="shared" si="101"/>
        <v/>
      </c>
      <c r="L284" s="628" t="str">
        <f t="shared" si="101"/>
        <v/>
      </c>
      <c r="M284" s="628" t="str">
        <f t="shared" si="101"/>
        <v/>
      </c>
      <c r="N284" s="628" t="str">
        <f t="shared" si="101"/>
        <v/>
      </c>
      <c r="O284" s="628" t="str">
        <f t="shared" si="101"/>
        <v/>
      </c>
      <c r="P284" s="628" t="str">
        <f t="shared" si="101"/>
        <v/>
      </c>
      <c r="Q284" s="628" t="str">
        <f t="shared" si="101"/>
        <v/>
      </c>
      <c r="R284" s="628" t="str">
        <f t="shared" si="101"/>
        <v/>
      </c>
      <c r="S284" s="628" t="str">
        <f t="shared" si="101"/>
        <v/>
      </c>
      <c r="T284" s="628" t="str">
        <f t="shared" si="101"/>
        <v/>
      </c>
      <c r="U284" s="628" t="str">
        <f t="shared" si="101"/>
        <v/>
      </c>
      <c r="V284" s="628" t="str">
        <f t="shared" si="89"/>
        <v xml:space="preserve">Total Eligible (cooling): </v>
      </c>
      <c r="W284" s="628" t="str">
        <f t="shared" si="89"/>
        <v/>
      </c>
      <c r="X284" s="628" t="str">
        <f t="shared" si="94"/>
        <v/>
      </c>
      <c r="Y284" s="628" t="str">
        <f t="shared" si="90"/>
        <v>unit(s)</v>
      </c>
      <c r="Z284" s="628" t="str">
        <f t="shared" si="95"/>
        <v/>
      </c>
      <c r="AA284" s="628" t="str">
        <f t="shared" si="95"/>
        <v/>
      </c>
      <c r="AB284" s="628" t="str">
        <f t="shared" si="95"/>
        <v/>
      </c>
      <c r="AC284" s="628" t="str">
        <f t="shared" si="95"/>
        <v/>
      </c>
      <c r="AD284" s="628" t="str">
        <f t="shared" si="91"/>
        <v>x $50 per unit=</v>
      </c>
      <c r="AE284" s="628" t="str">
        <f t="shared" si="91"/>
        <v>$</v>
      </c>
      <c r="AF284" s="628" t="str">
        <f t="shared" si="91"/>
        <v/>
      </c>
      <c r="AG284" s="628" t="str">
        <f t="shared" si="96"/>
        <v/>
      </c>
      <c r="AH284" s="628" t="str">
        <f t="shared" si="96"/>
        <v/>
      </c>
      <c r="AI284" s="628" t="str">
        <f t="shared" si="92"/>
        <v/>
      </c>
      <c r="AJ284" s="504"/>
      <c r="AK284" s="627"/>
      <c r="AL284" s="629"/>
      <c r="AM284" s="627"/>
      <c r="AN284" s="627"/>
      <c r="AO284" s="627"/>
      <c r="AP284" s="627"/>
      <c r="AQ284" s="627"/>
      <c r="AR284" s="627"/>
      <c r="AS284" s="627"/>
      <c r="AT284" s="627"/>
      <c r="AU284" s="627"/>
      <c r="AV284" s="627"/>
      <c r="AW284" s="627"/>
      <c r="AX284" s="627"/>
      <c r="AY284" s="627"/>
      <c r="AZ284" s="627"/>
      <c r="BA284" s="627"/>
      <c r="BB284" s="627"/>
      <c r="BC284" s="627"/>
      <c r="BD284" s="627"/>
      <c r="BE284" s="627"/>
      <c r="BF284" s="627"/>
      <c r="BG284" s="627"/>
      <c r="BH284" s="627"/>
      <c r="BI284" s="627"/>
      <c r="BJ284" s="627"/>
      <c r="BK284" s="627"/>
      <c r="BL284" s="627"/>
      <c r="BM284" s="627"/>
      <c r="BN284" s="627"/>
      <c r="BO284" s="627"/>
      <c r="BP284" s="627"/>
      <c r="BQ284" s="627"/>
      <c r="BR284" s="627"/>
      <c r="BS284" s="627"/>
      <c r="BT284" s="627"/>
      <c r="BU284" s="627"/>
      <c r="BV284" s="627"/>
      <c r="BW284" s="627"/>
      <c r="BX284" s="627"/>
      <c r="BY284" s="627"/>
      <c r="BZ284" s="627"/>
      <c r="CA284" s="690"/>
      <c r="CB284" s="690"/>
      <c r="CC284" s="690"/>
      <c r="CD284" s="690"/>
      <c r="CE284" s="690"/>
      <c r="CF284" s="690"/>
      <c r="CG284" s="690"/>
      <c r="CH284" s="690"/>
      <c r="CI284" s="690"/>
      <c r="CJ284" s="690"/>
      <c r="CK284" s="690"/>
      <c r="CL284" s="690"/>
      <c r="CM284" s="690"/>
      <c r="CN284" s="690"/>
      <c r="CO284" s="690"/>
      <c r="CP284" s="690"/>
      <c r="CQ284" s="690"/>
      <c r="CR284" s="690"/>
      <c r="CS284" s="690"/>
      <c r="CT284" s="690"/>
      <c r="CU284" s="690"/>
      <c r="CV284" s="690"/>
      <c r="CW284" s="690"/>
      <c r="CX284" s="690"/>
      <c r="CY284" s="690"/>
      <c r="CZ284" s="690"/>
      <c r="DA284" s="690"/>
      <c r="DB284" s="690"/>
      <c r="DC284" s="690"/>
    </row>
    <row r="285" spans="1:107" s="630" customFormat="1" ht="12.75" hidden="1" customHeight="1">
      <c r="A285" s="504"/>
      <c r="B285" s="628" t="str">
        <f t="shared" si="69"/>
        <v/>
      </c>
      <c r="C285" s="628" t="str">
        <f t="shared" si="88"/>
        <v xml:space="preserve"> C3 - HVAC Variable Speed Drives</v>
      </c>
      <c r="D285" s="628" t="str">
        <f t="shared" ref="D285:U285" si="102">IF(D69="","",D69)</f>
        <v/>
      </c>
      <c r="E285" s="628" t="str">
        <f t="shared" si="102"/>
        <v/>
      </c>
      <c r="F285" s="628" t="str">
        <f t="shared" si="102"/>
        <v/>
      </c>
      <c r="G285" s="628" t="str">
        <f t="shared" si="102"/>
        <v/>
      </c>
      <c r="H285" s="628" t="str">
        <f t="shared" si="102"/>
        <v/>
      </c>
      <c r="I285" s="628" t="str">
        <f t="shared" si="102"/>
        <v/>
      </c>
      <c r="J285" s="628" t="str">
        <f t="shared" si="102"/>
        <v/>
      </c>
      <c r="K285" s="628" t="str">
        <f t="shared" si="102"/>
        <v/>
      </c>
      <c r="L285" s="628" t="str">
        <f t="shared" si="102"/>
        <v/>
      </c>
      <c r="M285" s="628" t="str">
        <f t="shared" si="102"/>
        <v/>
      </c>
      <c r="N285" s="628" t="str">
        <f t="shared" si="102"/>
        <v/>
      </c>
      <c r="O285" s="628" t="str">
        <f t="shared" si="102"/>
        <v/>
      </c>
      <c r="P285" s="628" t="str">
        <f t="shared" si="102"/>
        <v/>
      </c>
      <c r="Q285" s="628" t="str">
        <f t="shared" si="102"/>
        <v/>
      </c>
      <c r="R285" s="628" t="str">
        <f t="shared" si="102"/>
        <v>Complete Controls Worksheet</v>
      </c>
      <c r="S285" s="628" t="str">
        <f t="shared" si="102"/>
        <v/>
      </c>
      <c r="T285" s="628" t="str">
        <f t="shared" si="102"/>
        <v/>
      </c>
      <c r="U285" s="628" t="str">
        <f t="shared" si="102"/>
        <v/>
      </c>
      <c r="V285" s="628" t="str">
        <f t="shared" si="89"/>
        <v/>
      </c>
      <c r="W285" s="628" t="str">
        <f t="shared" si="89"/>
        <v/>
      </c>
      <c r="X285" s="628" t="str">
        <f t="shared" si="94"/>
        <v/>
      </c>
      <c r="Y285" s="628" t="str">
        <f t="shared" si="90"/>
        <v/>
      </c>
      <c r="Z285" s="628" t="str">
        <f t="shared" si="95"/>
        <v/>
      </c>
      <c r="AA285" s="628" t="str">
        <f t="shared" si="95"/>
        <v/>
      </c>
      <c r="AB285" s="628" t="str">
        <f t="shared" si="95"/>
        <v/>
      </c>
      <c r="AC285" s="628" t="str">
        <f t="shared" si="95"/>
        <v/>
      </c>
      <c r="AD285" s="628" t="str">
        <f t="shared" si="91"/>
        <v>x $125 per hp=</v>
      </c>
      <c r="AE285" s="628" t="str">
        <f t="shared" si="91"/>
        <v>$</v>
      </c>
      <c r="AF285" s="628" t="str">
        <f t="shared" si="91"/>
        <v/>
      </c>
      <c r="AG285" s="628" t="str">
        <f t="shared" si="96"/>
        <v/>
      </c>
      <c r="AH285" s="628" t="str">
        <f t="shared" si="96"/>
        <v/>
      </c>
      <c r="AI285" s="628" t="str">
        <f t="shared" si="92"/>
        <v/>
      </c>
      <c r="AJ285" s="504"/>
      <c r="AK285" s="627"/>
      <c r="AL285" s="629"/>
      <c r="AM285" s="627"/>
      <c r="AN285" s="627"/>
      <c r="AO285" s="627"/>
      <c r="AP285" s="627"/>
      <c r="AQ285" s="627"/>
      <c r="AR285" s="627"/>
      <c r="AS285" s="627"/>
      <c r="AT285" s="627"/>
      <c r="AU285" s="627"/>
      <c r="AV285" s="627"/>
      <c r="AW285" s="627"/>
      <c r="AX285" s="627"/>
      <c r="AY285" s="627"/>
      <c r="AZ285" s="627"/>
      <c r="BA285" s="627"/>
      <c r="BB285" s="627"/>
      <c r="BC285" s="627"/>
      <c r="BD285" s="627"/>
      <c r="BE285" s="627"/>
      <c r="BF285" s="627"/>
      <c r="BG285" s="627"/>
      <c r="BH285" s="627"/>
      <c r="BI285" s="627"/>
      <c r="BJ285" s="627"/>
      <c r="BK285" s="627"/>
      <c r="BL285" s="627"/>
      <c r="BM285" s="627"/>
      <c r="BN285" s="627"/>
      <c r="BO285" s="627"/>
      <c r="BP285" s="627"/>
      <c r="BQ285" s="627"/>
      <c r="BR285" s="627"/>
      <c r="BS285" s="627"/>
      <c r="BT285" s="627"/>
      <c r="BU285" s="627"/>
      <c r="BV285" s="627"/>
      <c r="BW285" s="627"/>
      <c r="BX285" s="627"/>
      <c r="BY285" s="627"/>
      <c r="BZ285" s="627"/>
      <c r="CA285" s="690"/>
      <c r="CB285" s="690"/>
      <c r="CC285" s="690"/>
      <c r="CD285" s="690"/>
      <c r="CE285" s="690"/>
      <c r="CF285" s="690"/>
      <c r="CG285" s="690"/>
      <c r="CH285" s="690"/>
      <c r="CI285" s="690"/>
      <c r="CJ285" s="690"/>
      <c r="CK285" s="690"/>
      <c r="CL285" s="690"/>
      <c r="CM285" s="690"/>
      <c r="CN285" s="690"/>
      <c r="CO285" s="690"/>
      <c r="CP285" s="690"/>
      <c r="CQ285" s="690"/>
      <c r="CR285" s="690"/>
      <c r="CS285" s="690"/>
      <c r="CT285" s="690"/>
      <c r="CU285" s="690"/>
      <c r="CV285" s="690"/>
      <c r="CW285" s="690"/>
      <c r="CX285" s="690"/>
      <c r="CY285" s="690"/>
      <c r="CZ285" s="690"/>
      <c r="DA285" s="690"/>
      <c r="DB285" s="690"/>
      <c r="DC285" s="690"/>
    </row>
    <row r="286" spans="1:107" s="630" customFormat="1" ht="12.75" hidden="1" customHeight="1">
      <c r="A286" s="504"/>
      <c r="B286" s="628" t="str">
        <f t="shared" si="69"/>
        <v/>
      </c>
      <c r="C286" s="628" t="str">
        <f t="shared" si="88"/>
        <v xml:space="preserve"> C4 - Kitchen Hood Supply &amp; Exhaust Variable Speed Drive</v>
      </c>
      <c r="D286" s="628" t="str">
        <f t="shared" ref="D286:U286" si="103">IF(D70="","",D70)</f>
        <v/>
      </c>
      <c r="E286" s="628" t="str">
        <f t="shared" si="103"/>
        <v/>
      </c>
      <c r="F286" s="628" t="str">
        <f t="shared" si="103"/>
        <v/>
      </c>
      <c r="G286" s="628" t="str">
        <f t="shared" si="103"/>
        <v/>
      </c>
      <c r="H286" s="628" t="str">
        <f t="shared" si="103"/>
        <v/>
      </c>
      <c r="I286" s="628" t="str">
        <f t="shared" si="103"/>
        <v/>
      </c>
      <c r="J286" s="628" t="str">
        <f t="shared" si="103"/>
        <v/>
      </c>
      <c r="K286" s="628" t="str">
        <f t="shared" si="103"/>
        <v/>
      </c>
      <c r="L286" s="628" t="str">
        <f t="shared" si="103"/>
        <v/>
      </c>
      <c r="M286" s="628" t="str">
        <f t="shared" si="103"/>
        <v/>
      </c>
      <c r="N286" s="628" t="str">
        <f t="shared" si="103"/>
        <v/>
      </c>
      <c r="O286" s="628" t="str">
        <f t="shared" si="103"/>
        <v/>
      </c>
      <c r="P286" s="628" t="str">
        <f t="shared" si="103"/>
        <v/>
      </c>
      <c r="Q286" s="628" t="str">
        <f t="shared" si="103"/>
        <v/>
      </c>
      <c r="R286" s="628" t="str">
        <f t="shared" si="103"/>
        <v/>
      </c>
      <c r="S286" s="628" t="str">
        <f t="shared" si="103"/>
        <v/>
      </c>
      <c r="T286" s="628" t="str">
        <f t="shared" si="103"/>
        <v/>
      </c>
      <c r="U286" s="628" t="str">
        <f t="shared" si="103"/>
        <v/>
      </c>
      <c r="V286" s="628" t="str">
        <f t="shared" si="89"/>
        <v xml:space="preserve">Total Eligible: </v>
      </c>
      <c r="W286" s="628" t="str">
        <f t="shared" si="89"/>
        <v/>
      </c>
      <c r="X286" s="628" t="str">
        <f t="shared" si="94"/>
        <v/>
      </c>
      <c r="Y286" s="628" t="str">
        <f t="shared" si="90"/>
        <v>hp</v>
      </c>
      <c r="Z286" s="628" t="str">
        <f t="shared" si="95"/>
        <v/>
      </c>
      <c r="AA286" s="628" t="str">
        <f t="shared" si="95"/>
        <v/>
      </c>
      <c r="AB286" s="628" t="str">
        <f t="shared" si="95"/>
        <v/>
      </c>
      <c r="AC286" s="628" t="str">
        <f t="shared" si="95"/>
        <v/>
      </c>
      <c r="AD286" s="628" t="str">
        <f t="shared" si="91"/>
        <v>x $250 per hp=</v>
      </c>
      <c r="AE286" s="628" t="str">
        <f t="shared" si="91"/>
        <v>$</v>
      </c>
      <c r="AF286" s="628" t="str">
        <f t="shared" si="91"/>
        <v/>
      </c>
      <c r="AG286" s="628" t="str">
        <f t="shared" si="96"/>
        <v/>
      </c>
      <c r="AH286" s="628" t="str">
        <f t="shared" si="96"/>
        <v/>
      </c>
      <c r="AI286" s="628" t="str">
        <f t="shared" si="92"/>
        <v/>
      </c>
      <c r="AJ286" s="504"/>
      <c r="AK286" s="627"/>
      <c r="AL286" s="629"/>
      <c r="AM286" s="627"/>
      <c r="AN286" s="627"/>
      <c r="AO286" s="627"/>
      <c r="AP286" s="627"/>
      <c r="AQ286" s="627"/>
      <c r="AR286" s="627"/>
      <c r="AS286" s="627"/>
      <c r="AT286" s="627"/>
      <c r="AU286" s="627"/>
      <c r="AV286" s="627"/>
      <c r="AW286" s="627"/>
      <c r="AX286" s="627"/>
      <c r="AY286" s="627"/>
      <c r="AZ286" s="627"/>
      <c r="BA286" s="627"/>
      <c r="BB286" s="627"/>
      <c r="BC286" s="627"/>
      <c r="BD286" s="627"/>
      <c r="BE286" s="627"/>
      <c r="BF286" s="627"/>
      <c r="BG286" s="627"/>
      <c r="BH286" s="627"/>
      <c r="BI286" s="627"/>
      <c r="BJ286" s="627"/>
      <c r="BK286" s="627"/>
      <c r="BL286" s="627"/>
      <c r="BM286" s="627"/>
      <c r="BN286" s="627"/>
      <c r="BO286" s="627"/>
      <c r="BP286" s="627"/>
      <c r="BQ286" s="627"/>
      <c r="BR286" s="627"/>
      <c r="BS286" s="627"/>
      <c r="BT286" s="627"/>
      <c r="BU286" s="627"/>
      <c r="BV286" s="627"/>
      <c r="BW286" s="627"/>
      <c r="BX286" s="627"/>
      <c r="BY286" s="627"/>
      <c r="BZ286" s="627"/>
      <c r="CA286" s="690"/>
      <c r="CB286" s="690"/>
      <c r="CC286" s="690"/>
      <c r="CD286" s="690"/>
      <c r="CE286" s="690"/>
      <c r="CF286" s="690"/>
      <c r="CG286" s="690"/>
      <c r="CH286" s="690"/>
      <c r="CI286" s="690"/>
      <c r="CJ286" s="690"/>
      <c r="CK286" s="690"/>
      <c r="CL286" s="690"/>
      <c r="CM286" s="690"/>
      <c r="CN286" s="690"/>
      <c r="CO286" s="690"/>
      <c r="CP286" s="690"/>
      <c r="CQ286" s="690"/>
      <c r="CR286" s="690"/>
      <c r="CS286" s="690"/>
      <c r="CT286" s="690"/>
      <c r="CU286" s="690"/>
      <c r="CV286" s="690"/>
      <c r="CW286" s="690"/>
      <c r="CX286" s="690"/>
      <c r="CY286" s="690"/>
      <c r="CZ286" s="690"/>
      <c r="DA286" s="690"/>
      <c r="DB286" s="690"/>
      <c r="DC286" s="690"/>
    </row>
    <row r="287" spans="1:107" s="630" customFormat="1" ht="12.75" hidden="1" customHeight="1">
      <c r="A287" s="504"/>
      <c r="B287" s="628" t="str">
        <f t="shared" si="69"/>
        <v/>
      </c>
      <c r="C287" s="628" t="str">
        <f t="shared" si="88"/>
        <v xml:space="preserve"> C5 - Onion/Potato Shed Ventilation Variable Speed Drive</v>
      </c>
      <c r="D287" s="628" t="str">
        <f t="shared" ref="D287:U287" si="104">IF(D71="","",D71)</f>
        <v/>
      </c>
      <c r="E287" s="628" t="str">
        <f t="shared" si="104"/>
        <v/>
      </c>
      <c r="F287" s="628" t="str">
        <f t="shared" si="104"/>
        <v/>
      </c>
      <c r="G287" s="628" t="str">
        <f t="shared" si="104"/>
        <v/>
      </c>
      <c r="H287" s="628" t="str">
        <f t="shared" si="104"/>
        <v/>
      </c>
      <c r="I287" s="628" t="str">
        <f t="shared" si="104"/>
        <v/>
      </c>
      <c r="J287" s="628" t="str">
        <f t="shared" si="104"/>
        <v/>
      </c>
      <c r="K287" s="628" t="str">
        <f t="shared" si="104"/>
        <v/>
      </c>
      <c r="L287" s="628" t="str">
        <f t="shared" si="104"/>
        <v/>
      </c>
      <c r="M287" s="628" t="str">
        <f t="shared" si="104"/>
        <v/>
      </c>
      <c r="N287" s="628" t="str">
        <f t="shared" si="104"/>
        <v/>
      </c>
      <c r="O287" s="628" t="str">
        <f t="shared" si="104"/>
        <v/>
      </c>
      <c r="P287" s="628" t="str">
        <f t="shared" si="104"/>
        <v/>
      </c>
      <c r="Q287" s="628" t="str">
        <f t="shared" si="104"/>
        <v/>
      </c>
      <c r="R287" s="628" t="str">
        <f t="shared" si="104"/>
        <v/>
      </c>
      <c r="S287" s="628" t="str">
        <f t="shared" si="104"/>
        <v/>
      </c>
      <c r="T287" s="628" t="str">
        <f t="shared" si="104"/>
        <v/>
      </c>
      <c r="U287" s="628" t="str">
        <f t="shared" si="104"/>
        <v/>
      </c>
      <c r="V287" s="628" t="str">
        <f t="shared" si="89"/>
        <v xml:space="preserve">Total Eligible: </v>
      </c>
      <c r="W287" s="628" t="str">
        <f t="shared" si="89"/>
        <v/>
      </c>
      <c r="X287" s="628" t="str">
        <f t="shared" si="94"/>
        <v/>
      </c>
      <c r="Y287" s="628" t="str">
        <f t="shared" si="90"/>
        <v>hp</v>
      </c>
      <c r="Z287" s="628" t="str">
        <f t="shared" si="95"/>
        <v/>
      </c>
      <c r="AA287" s="628" t="str">
        <f t="shared" si="95"/>
        <v/>
      </c>
      <c r="AB287" s="628" t="str">
        <f t="shared" si="95"/>
        <v/>
      </c>
      <c r="AC287" s="628" t="str">
        <f t="shared" si="95"/>
        <v/>
      </c>
      <c r="AD287" s="628" t="str">
        <f t="shared" si="91"/>
        <v>x $250 per hp=</v>
      </c>
      <c r="AE287" s="628" t="str">
        <f t="shared" si="91"/>
        <v>$</v>
      </c>
      <c r="AF287" s="628" t="str">
        <f t="shared" si="91"/>
        <v/>
      </c>
      <c r="AG287" s="628" t="str">
        <f t="shared" si="96"/>
        <v/>
      </c>
      <c r="AH287" s="628" t="str">
        <f t="shared" si="96"/>
        <v/>
      </c>
      <c r="AI287" s="628" t="str">
        <f t="shared" si="92"/>
        <v/>
      </c>
      <c r="AJ287" s="504"/>
      <c r="AK287" s="627"/>
      <c r="AL287" s="629"/>
      <c r="AM287" s="627"/>
      <c r="AN287" s="627"/>
      <c r="AO287" s="627"/>
      <c r="AP287" s="627"/>
      <c r="AQ287" s="627"/>
      <c r="AR287" s="627"/>
      <c r="AS287" s="627"/>
      <c r="AT287" s="627"/>
      <c r="AU287" s="627"/>
      <c r="AV287" s="627"/>
      <c r="AW287" s="627"/>
      <c r="AX287" s="627"/>
      <c r="AY287" s="627"/>
      <c r="AZ287" s="627"/>
      <c r="BA287" s="627"/>
      <c r="BB287" s="627"/>
      <c r="BC287" s="627"/>
      <c r="BD287" s="627"/>
      <c r="BE287" s="627"/>
      <c r="BF287" s="627"/>
      <c r="BG287" s="627"/>
      <c r="BH287" s="627"/>
      <c r="BI287" s="627"/>
      <c r="BJ287" s="627"/>
      <c r="BK287" s="627"/>
      <c r="BL287" s="627"/>
      <c r="BM287" s="627"/>
      <c r="BN287" s="627"/>
      <c r="BO287" s="627"/>
      <c r="BP287" s="627"/>
      <c r="BQ287" s="627"/>
      <c r="BR287" s="627"/>
      <c r="BS287" s="627"/>
      <c r="BT287" s="627"/>
      <c r="BU287" s="627"/>
      <c r="BV287" s="627"/>
      <c r="BW287" s="627"/>
      <c r="BX287" s="627"/>
      <c r="BY287" s="627"/>
      <c r="BZ287" s="627"/>
      <c r="CA287" s="690"/>
      <c r="CB287" s="690"/>
      <c r="CC287" s="690"/>
      <c r="CD287" s="690"/>
      <c r="CE287" s="690"/>
      <c r="CF287" s="690"/>
      <c r="CG287" s="690"/>
      <c r="CH287" s="690"/>
      <c r="CI287" s="690"/>
      <c r="CJ287" s="690"/>
      <c r="CK287" s="690"/>
      <c r="CL287" s="690"/>
      <c r="CM287" s="690"/>
      <c r="CN287" s="690"/>
      <c r="CO287" s="690"/>
      <c r="CP287" s="690"/>
      <c r="CQ287" s="690"/>
      <c r="CR287" s="690"/>
      <c r="CS287" s="690"/>
      <c r="CT287" s="690"/>
      <c r="CU287" s="690"/>
      <c r="CV287" s="690"/>
      <c r="CW287" s="690"/>
      <c r="CX287" s="690"/>
      <c r="CY287" s="690"/>
      <c r="CZ287" s="690"/>
      <c r="DA287" s="690"/>
      <c r="DB287" s="690"/>
      <c r="DC287" s="690"/>
    </row>
    <row r="288" spans="1:107" s="630" customFormat="1" ht="12.75" hidden="1" customHeight="1">
      <c r="A288" s="504"/>
      <c r="B288" s="628" t="str">
        <f t="shared" si="69"/>
        <v/>
      </c>
      <c r="C288" s="628" t="str">
        <f t="shared" si="88"/>
        <v xml:space="preserve"> C6 - Dairy Vacuum Pump Variable Speed Drive*</v>
      </c>
      <c r="D288" s="628" t="str">
        <f t="shared" ref="D288:U288" si="105">IF(D72="","",D72)</f>
        <v/>
      </c>
      <c r="E288" s="628" t="str">
        <f t="shared" si="105"/>
        <v/>
      </c>
      <c r="F288" s="628" t="str">
        <f t="shared" si="105"/>
        <v/>
      </c>
      <c r="G288" s="628" t="str">
        <f t="shared" si="105"/>
        <v/>
      </c>
      <c r="H288" s="628" t="str">
        <f t="shared" si="105"/>
        <v/>
      </c>
      <c r="I288" s="628" t="str">
        <f t="shared" si="105"/>
        <v/>
      </c>
      <c r="J288" s="628" t="str">
        <f t="shared" si="105"/>
        <v/>
      </c>
      <c r="K288" s="628" t="str">
        <f t="shared" si="105"/>
        <v/>
      </c>
      <c r="L288" s="628" t="str">
        <f t="shared" si="105"/>
        <v/>
      </c>
      <c r="M288" s="628" t="str">
        <f t="shared" si="105"/>
        <v/>
      </c>
      <c r="N288" s="628" t="str">
        <f t="shared" si="105"/>
        <v/>
      </c>
      <c r="O288" s="628" t="str">
        <f t="shared" si="105"/>
        <v/>
      </c>
      <c r="P288" s="628" t="str">
        <f t="shared" si="105"/>
        <v/>
      </c>
      <c r="Q288" s="628" t="str">
        <f t="shared" si="105"/>
        <v/>
      </c>
      <c r="R288" s="628" t="str">
        <f t="shared" si="105"/>
        <v/>
      </c>
      <c r="S288" s="628" t="str">
        <f t="shared" si="105"/>
        <v/>
      </c>
      <c r="T288" s="628" t="str">
        <f t="shared" si="105"/>
        <v/>
      </c>
      <c r="U288" s="628" t="str">
        <f t="shared" si="105"/>
        <v/>
      </c>
      <c r="V288" s="628" t="str">
        <f t="shared" si="89"/>
        <v xml:space="preserve">Total Eligible: </v>
      </c>
      <c r="W288" s="628" t="str">
        <f t="shared" si="89"/>
        <v/>
      </c>
      <c r="X288" s="628" t="str">
        <f t="shared" si="94"/>
        <v/>
      </c>
      <c r="Y288" s="628" t="str">
        <f t="shared" si="90"/>
        <v>hp</v>
      </c>
      <c r="Z288" s="628" t="str">
        <f t="shared" si="95"/>
        <v/>
      </c>
      <c r="AA288" s="628" t="str">
        <f t="shared" si="95"/>
        <v/>
      </c>
      <c r="AB288" s="628" t="str">
        <f t="shared" si="95"/>
        <v/>
      </c>
      <c r="AC288" s="628" t="str">
        <f t="shared" si="95"/>
        <v/>
      </c>
      <c r="AD288" s="628" t="str">
        <f t="shared" si="91"/>
        <v>x $170 per hp=</v>
      </c>
      <c r="AE288" s="628" t="str">
        <f t="shared" si="91"/>
        <v>$</v>
      </c>
      <c r="AF288" s="628" t="str">
        <f t="shared" si="91"/>
        <v/>
      </c>
      <c r="AG288" s="628" t="str">
        <f t="shared" si="96"/>
        <v/>
      </c>
      <c r="AH288" s="628" t="str">
        <f t="shared" si="96"/>
        <v/>
      </c>
      <c r="AI288" s="628" t="str">
        <f t="shared" si="92"/>
        <v/>
      </c>
      <c r="AJ288" s="504"/>
      <c r="AK288" s="627"/>
      <c r="AL288" s="629"/>
      <c r="AM288" s="627"/>
      <c r="AN288" s="627"/>
      <c r="AO288" s="627"/>
      <c r="AP288" s="627"/>
      <c r="AQ288" s="627"/>
      <c r="AR288" s="627"/>
      <c r="AS288" s="627"/>
      <c r="AT288" s="627"/>
      <c r="AU288" s="627"/>
      <c r="AV288" s="627"/>
      <c r="AW288" s="627"/>
      <c r="AX288" s="627"/>
      <c r="AY288" s="627"/>
      <c r="AZ288" s="627"/>
      <c r="BA288" s="627"/>
      <c r="BB288" s="627"/>
      <c r="BC288" s="627"/>
      <c r="BD288" s="627"/>
      <c r="BE288" s="627"/>
      <c r="BF288" s="627"/>
      <c r="BG288" s="627"/>
      <c r="BH288" s="627"/>
      <c r="BI288" s="627"/>
      <c r="BJ288" s="627"/>
      <c r="BK288" s="627"/>
      <c r="BL288" s="627"/>
      <c r="BM288" s="627"/>
      <c r="BN288" s="627"/>
      <c r="BO288" s="627"/>
      <c r="BP288" s="627"/>
      <c r="BQ288" s="627"/>
      <c r="BR288" s="627"/>
      <c r="BS288" s="627"/>
      <c r="BT288" s="627"/>
      <c r="BU288" s="627"/>
      <c r="BV288" s="627"/>
      <c r="BW288" s="627"/>
      <c r="BX288" s="627"/>
      <c r="BY288" s="627"/>
      <c r="BZ288" s="627"/>
      <c r="CA288" s="690"/>
      <c r="CB288" s="690"/>
      <c r="CC288" s="690"/>
      <c r="CD288" s="690"/>
      <c r="CE288" s="690"/>
      <c r="CF288" s="690"/>
      <c r="CG288" s="690"/>
      <c r="CH288" s="690"/>
      <c r="CI288" s="690"/>
      <c r="CJ288" s="690"/>
      <c r="CK288" s="690"/>
      <c r="CL288" s="690"/>
      <c r="CM288" s="690"/>
      <c r="CN288" s="690"/>
      <c r="CO288" s="690"/>
      <c r="CP288" s="690"/>
      <c r="CQ288" s="690"/>
      <c r="CR288" s="690"/>
      <c r="CS288" s="690"/>
      <c r="CT288" s="690"/>
      <c r="CU288" s="690"/>
      <c r="CV288" s="690"/>
      <c r="CW288" s="690"/>
      <c r="CX288" s="690"/>
      <c r="CY288" s="690"/>
      <c r="CZ288" s="690"/>
      <c r="DA288" s="690"/>
      <c r="DB288" s="690"/>
      <c r="DC288" s="690"/>
    </row>
    <row r="289" spans="1:107" s="630" customFormat="1" ht="12.75" hidden="1" customHeight="1">
      <c r="A289" s="504"/>
      <c r="B289" s="628" t="str">
        <f t="shared" si="69"/>
        <v/>
      </c>
      <c r="C289" s="628" t="str">
        <f t="shared" si="88"/>
        <v xml:space="preserve"> C7 - Dairy/Milk Transfer Pump</v>
      </c>
      <c r="D289" s="628" t="str">
        <f t="shared" ref="D289:U289" si="106">IF(D73="","",D73)</f>
        <v/>
      </c>
      <c r="E289" s="628" t="str">
        <f t="shared" si="106"/>
        <v/>
      </c>
      <c r="F289" s="628" t="str">
        <f t="shared" si="106"/>
        <v/>
      </c>
      <c r="G289" s="628" t="str">
        <f t="shared" si="106"/>
        <v/>
      </c>
      <c r="H289" s="628" t="str">
        <f t="shared" si="106"/>
        <v/>
      </c>
      <c r="I289" s="628" t="str">
        <f t="shared" si="106"/>
        <v/>
      </c>
      <c r="J289" s="628" t="str">
        <f t="shared" si="106"/>
        <v/>
      </c>
      <c r="K289" s="628" t="str">
        <f t="shared" si="106"/>
        <v/>
      </c>
      <c r="L289" s="628" t="str">
        <f t="shared" si="106"/>
        <v/>
      </c>
      <c r="M289" s="628" t="str">
        <f t="shared" si="106"/>
        <v/>
      </c>
      <c r="N289" s="628" t="str">
        <f t="shared" si="106"/>
        <v/>
      </c>
      <c r="O289" s="628" t="str">
        <f t="shared" si="106"/>
        <v/>
      </c>
      <c r="P289" s="628" t="str">
        <f t="shared" si="106"/>
        <v/>
      </c>
      <c r="Q289" s="628" t="str">
        <f t="shared" si="106"/>
        <v/>
      </c>
      <c r="R289" s="628" t="str">
        <f t="shared" si="106"/>
        <v/>
      </c>
      <c r="S289" s="628" t="str">
        <f t="shared" si="106"/>
        <v/>
      </c>
      <c r="T289" s="628" t="str">
        <f t="shared" si="106"/>
        <v/>
      </c>
      <c r="U289" s="628" t="str">
        <f t="shared" si="106"/>
        <v/>
      </c>
      <c r="V289" s="628" t="str">
        <f t="shared" si="89"/>
        <v xml:space="preserve">Qty: </v>
      </c>
      <c r="W289" s="628" t="str">
        <f t="shared" si="89"/>
        <v/>
      </c>
      <c r="X289" s="628" t="str">
        <f t="shared" si="94"/>
        <v/>
      </c>
      <c r="Y289" s="628" t="str">
        <f t="shared" si="90"/>
        <v>unit(s)</v>
      </c>
      <c r="Z289" s="628" t="str">
        <f t="shared" si="95"/>
        <v/>
      </c>
      <c r="AA289" s="628" t="str">
        <f t="shared" si="95"/>
        <v/>
      </c>
      <c r="AB289" s="628" t="str">
        <f t="shared" si="95"/>
        <v/>
      </c>
      <c r="AC289" s="628" t="str">
        <f t="shared" si="95"/>
        <v/>
      </c>
      <c r="AD289" s="628" t="str">
        <f t="shared" si="91"/>
        <v>x $1,500 per unit=</v>
      </c>
      <c r="AE289" s="628" t="str">
        <f t="shared" si="91"/>
        <v>$</v>
      </c>
      <c r="AF289" s="628" t="str">
        <f t="shared" si="91"/>
        <v/>
      </c>
      <c r="AG289" s="628" t="str">
        <f t="shared" si="96"/>
        <v/>
      </c>
      <c r="AH289" s="628" t="str">
        <f t="shared" si="96"/>
        <v/>
      </c>
      <c r="AI289" s="628" t="str">
        <f t="shared" si="92"/>
        <v/>
      </c>
      <c r="AJ289" s="504"/>
      <c r="AK289" s="627"/>
      <c r="AL289" s="629"/>
      <c r="AM289" s="627"/>
      <c r="AN289" s="627"/>
      <c r="AO289" s="627"/>
      <c r="AP289" s="627"/>
      <c r="AQ289" s="627"/>
      <c r="AR289" s="627"/>
      <c r="AS289" s="627"/>
      <c r="AT289" s="627"/>
      <c r="AU289" s="627"/>
      <c r="AV289" s="627"/>
      <c r="AW289" s="627"/>
      <c r="AX289" s="627"/>
      <c r="AY289" s="627"/>
      <c r="AZ289" s="627"/>
      <c r="BA289" s="627"/>
      <c r="BB289" s="627"/>
      <c r="BC289" s="627"/>
      <c r="BD289" s="627"/>
      <c r="BE289" s="627"/>
      <c r="BF289" s="627"/>
      <c r="BG289" s="627"/>
      <c r="BH289" s="627"/>
      <c r="BI289" s="627"/>
      <c r="BJ289" s="627"/>
      <c r="BK289" s="627"/>
      <c r="BL289" s="627"/>
      <c r="BM289" s="627"/>
      <c r="BN289" s="627"/>
      <c r="BO289" s="627"/>
      <c r="BP289" s="627"/>
      <c r="BQ289" s="627"/>
      <c r="BR289" s="627"/>
      <c r="BS289" s="627"/>
      <c r="BT289" s="627"/>
      <c r="BU289" s="627"/>
      <c r="BV289" s="627"/>
      <c r="BW289" s="627"/>
      <c r="BX289" s="627"/>
      <c r="BY289" s="627"/>
      <c r="BZ289" s="627"/>
      <c r="CA289" s="690"/>
      <c r="CB289" s="690"/>
      <c r="CC289" s="690"/>
      <c r="CD289" s="690"/>
      <c r="CE289" s="690"/>
      <c r="CF289" s="690"/>
      <c r="CG289" s="690"/>
      <c r="CH289" s="690"/>
      <c r="CI289" s="690"/>
      <c r="CJ289" s="690"/>
      <c r="CK289" s="690"/>
      <c r="CL289" s="690"/>
      <c r="CM289" s="690"/>
      <c r="CN289" s="690"/>
      <c r="CO289" s="690"/>
      <c r="CP289" s="690"/>
      <c r="CQ289" s="690"/>
      <c r="CR289" s="690"/>
      <c r="CS289" s="690"/>
      <c r="CT289" s="690"/>
      <c r="CU289" s="690"/>
      <c r="CV289" s="690"/>
      <c r="CW289" s="690"/>
      <c r="CX289" s="690"/>
      <c r="CY289" s="690"/>
      <c r="CZ289" s="690"/>
      <c r="DA289" s="690"/>
      <c r="DB289" s="690"/>
      <c r="DC289" s="690"/>
    </row>
    <row r="290" spans="1:107" s="5" customFormat="1" ht="12.75" hidden="1" customHeight="1">
      <c r="A290" s="1"/>
      <c r="B290" s="9" t="str">
        <f t="shared" si="69"/>
        <v/>
      </c>
      <c r="C290" s="9" t="str">
        <f t="shared" si="88"/>
        <v/>
      </c>
      <c r="D290" s="9" t="str">
        <f t="shared" ref="D290:U290" si="107">IF(D74="","",D74)</f>
        <v/>
      </c>
      <c r="E290" s="9" t="str">
        <f t="shared" si="107"/>
        <v/>
      </c>
      <c r="F290" s="9" t="str">
        <f t="shared" si="107"/>
        <v/>
      </c>
      <c r="G290" s="9" t="str">
        <f t="shared" si="107"/>
        <v/>
      </c>
      <c r="H290" s="9" t="str">
        <f t="shared" si="107"/>
        <v/>
      </c>
      <c r="I290" s="9" t="str">
        <f t="shared" si="107"/>
        <v/>
      </c>
      <c r="J290" s="9" t="str">
        <f t="shared" si="107"/>
        <v/>
      </c>
      <c r="K290" s="9" t="str">
        <f t="shared" si="107"/>
        <v/>
      </c>
      <c r="L290" s="9" t="str">
        <f t="shared" si="107"/>
        <v/>
      </c>
      <c r="M290" s="9" t="str">
        <f t="shared" si="107"/>
        <v/>
      </c>
      <c r="N290" s="9" t="str">
        <f t="shared" si="107"/>
        <v/>
      </c>
      <c r="O290" s="9" t="str">
        <f t="shared" si="107"/>
        <v/>
      </c>
      <c r="P290" s="9" t="str">
        <f t="shared" si="107"/>
        <v/>
      </c>
      <c r="Q290" s="9" t="str">
        <f t="shared" si="107"/>
        <v/>
      </c>
      <c r="R290" s="9" t="str">
        <f t="shared" si="107"/>
        <v/>
      </c>
      <c r="S290" s="9" t="str">
        <f t="shared" si="107"/>
        <v/>
      </c>
      <c r="T290" s="9" t="str">
        <f t="shared" si="107"/>
        <v/>
      </c>
      <c r="U290" s="9" t="str">
        <f t="shared" si="107"/>
        <v/>
      </c>
      <c r="V290" s="9" t="str">
        <f t="shared" si="89"/>
        <v/>
      </c>
      <c r="W290" s="9" t="str">
        <f t="shared" si="89"/>
        <v/>
      </c>
      <c r="X290" s="9" t="str">
        <f t="shared" si="94"/>
        <v/>
      </c>
      <c r="Y290" s="9" t="str">
        <f t="shared" si="90"/>
        <v/>
      </c>
      <c r="Z290" s="9" t="str">
        <f t="shared" si="95"/>
        <v/>
      </c>
      <c r="AA290" s="9" t="str">
        <f t="shared" si="95"/>
        <v/>
      </c>
      <c r="AB290" s="9" t="str">
        <f t="shared" si="95"/>
        <v/>
      </c>
      <c r="AC290" s="9" t="str">
        <f t="shared" si="95"/>
        <v/>
      </c>
      <c r="AD290" s="9" t="str">
        <f t="shared" si="91"/>
        <v/>
      </c>
      <c r="AE290" s="9" t="str">
        <f t="shared" si="91"/>
        <v/>
      </c>
      <c r="AF290" s="9" t="str">
        <f t="shared" si="91"/>
        <v/>
      </c>
      <c r="AG290" s="9" t="str">
        <f t="shared" si="96"/>
        <v/>
      </c>
      <c r="AH290" s="9" t="str">
        <f t="shared" si="96"/>
        <v/>
      </c>
      <c r="AI290" s="9" t="str">
        <f t="shared" si="92"/>
        <v/>
      </c>
      <c r="AJ290" s="1"/>
      <c r="AK290" s="94"/>
      <c r="AL290" s="98"/>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684"/>
      <c r="CB290" s="684"/>
      <c r="CC290" s="684"/>
      <c r="CD290" s="684"/>
      <c r="CE290" s="684"/>
      <c r="CF290" s="684"/>
      <c r="CG290" s="684"/>
      <c r="CH290" s="684"/>
      <c r="CI290" s="684"/>
      <c r="CJ290" s="684"/>
      <c r="CK290" s="684"/>
      <c r="CL290" s="684"/>
      <c r="CM290" s="684"/>
      <c r="CN290" s="684"/>
      <c r="CO290" s="684"/>
      <c r="CP290" s="684"/>
      <c r="CQ290" s="684"/>
      <c r="CR290" s="684"/>
      <c r="CS290" s="684"/>
      <c r="CT290" s="684"/>
      <c r="CU290" s="684"/>
      <c r="CV290" s="684"/>
      <c r="CW290" s="684"/>
      <c r="CX290" s="684"/>
      <c r="CY290" s="684"/>
      <c r="CZ290" s="684"/>
      <c r="DA290" s="684"/>
      <c r="DB290" s="684"/>
      <c r="DC290" s="684"/>
    </row>
    <row r="291" spans="1:107" s="5" customFormat="1" ht="12.75" hidden="1" customHeight="1">
      <c r="A291" s="1"/>
      <c r="B291" s="9" t="str">
        <f t="shared" si="69"/>
        <v/>
      </c>
      <c r="C291" s="9" t="str">
        <f t="shared" si="88"/>
        <v/>
      </c>
      <c r="D291" s="9" t="str">
        <f t="shared" ref="D291:U291" si="108">IF(D75="","",D75)</f>
        <v/>
      </c>
      <c r="E291" s="9" t="str">
        <f t="shared" si="108"/>
        <v/>
      </c>
      <c r="F291" s="9" t="str">
        <f t="shared" si="108"/>
        <v/>
      </c>
      <c r="G291" s="9" t="str">
        <f t="shared" si="108"/>
        <v/>
      </c>
      <c r="H291" s="9" t="str">
        <f t="shared" si="108"/>
        <v/>
      </c>
      <c r="I291" s="9" t="str">
        <f t="shared" si="108"/>
        <v/>
      </c>
      <c r="J291" s="9" t="str">
        <f t="shared" si="108"/>
        <v/>
      </c>
      <c r="K291" s="9" t="str">
        <f t="shared" si="108"/>
        <v/>
      </c>
      <c r="L291" s="9" t="str">
        <f t="shared" si="108"/>
        <v/>
      </c>
      <c r="M291" s="9" t="str">
        <f t="shared" si="108"/>
        <v/>
      </c>
      <c r="N291" s="9" t="str">
        <f t="shared" si="108"/>
        <v/>
      </c>
      <c r="O291" s="9" t="str">
        <f t="shared" si="108"/>
        <v/>
      </c>
      <c r="P291" s="9" t="str">
        <f t="shared" si="108"/>
        <v/>
      </c>
      <c r="Q291" s="9" t="str">
        <f t="shared" si="108"/>
        <v/>
      </c>
      <c r="R291" s="9" t="str">
        <f t="shared" si="108"/>
        <v/>
      </c>
      <c r="S291" s="9" t="str">
        <f t="shared" si="108"/>
        <v/>
      </c>
      <c r="T291" s="9" t="str">
        <f t="shared" si="108"/>
        <v/>
      </c>
      <c r="U291" s="9" t="str">
        <f t="shared" si="108"/>
        <v/>
      </c>
      <c r="V291" s="9" t="str">
        <f t="shared" si="89"/>
        <v/>
      </c>
      <c r="W291" s="9" t="str">
        <f t="shared" si="89"/>
        <v/>
      </c>
      <c r="X291" s="9" t="str">
        <f t="shared" si="94"/>
        <v/>
      </c>
      <c r="Y291" s="9" t="str">
        <f t="shared" si="90"/>
        <v/>
      </c>
      <c r="Z291" s="9" t="str">
        <f t="shared" si="95"/>
        <v/>
      </c>
      <c r="AA291" s="9" t="str">
        <f t="shared" si="95"/>
        <v/>
      </c>
      <c r="AB291" s="9" t="str">
        <f t="shared" si="95"/>
        <v/>
      </c>
      <c r="AC291" s="9" t="str">
        <f t="shared" si="95"/>
        <v/>
      </c>
      <c r="AD291" s="9" t="str">
        <f t="shared" si="91"/>
        <v/>
      </c>
      <c r="AE291" s="9" t="str">
        <f t="shared" si="91"/>
        <v/>
      </c>
      <c r="AF291" s="9" t="str">
        <f t="shared" si="91"/>
        <v/>
      </c>
      <c r="AG291" s="9" t="str">
        <f t="shared" si="96"/>
        <v/>
      </c>
      <c r="AH291" s="9" t="str">
        <f t="shared" si="96"/>
        <v/>
      </c>
      <c r="AI291" s="9" t="str">
        <f t="shared" si="92"/>
        <v/>
      </c>
      <c r="AJ291" s="1"/>
      <c r="AK291" s="94"/>
      <c r="AL291" s="98"/>
      <c r="AM291" s="94"/>
      <c r="AN291" s="94"/>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684"/>
      <c r="CB291" s="684"/>
      <c r="CC291" s="684"/>
      <c r="CD291" s="684"/>
      <c r="CE291" s="684"/>
      <c r="CF291" s="684"/>
      <c r="CG291" s="684"/>
      <c r="CH291" s="684"/>
      <c r="CI291" s="684"/>
      <c r="CJ291" s="684"/>
      <c r="CK291" s="684"/>
      <c r="CL291" s="684"/>
      <c r="CM291" s="684"/>
      <c r="CN291" s="684"/>
      <c r="CO291" s="684"/>
      <c r="CP291" s="684"/>
      <c r="CQ291" s="684"/>
      <c r="CR291" s="684"/>
      <c r="CS291" s="684"/>
      <c r="CT291" s="684"/>
      <c r="CU291" s="684"/>
      <c r="CV291" s="684"/>
      <c r="CW291" s="684"/>
      <c r="CX291" s="684"/>
      <c r="CY291" s="684"/>
      <c r="CZ291" s="684"/>
      <c r="DA291" s="684"/>
      <c r="DB291" s="684"/>
      <c r="DC291" s="684"/>
    </row>
    <row r="292" spans="1:107" s="5" customFormat="1" ht="12.75" customHeight="1">
      <c r="A292" s="1"/>
      <c r="B292" s="626" t="str">
        <f t="shared" si="69"/>
        <v>Appliances and Equipment</v>
      </c>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1"/>
      <c r="AK292" s="94"/>
      <c r="AL292" s="98"/>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684"/>
      <c r="CB292" s="684"/>
      <c r="CC292" s="684"/>
      <c r="CD292" s="684"/>
      <c r="CE292" s="684"/>
      <c r="CF292" s="684"/>
      <c r="CG292" s="684"/>
      <c r="CH292" s="684"/>
      <c r="CI292" s="684"/>
      <c r="CJ292" s="684"/>
      <c r="CK292" s="684"/>
      <c r="CL292" s="684"/>
      <c r="CM292" s="684"/>
      <c r="CN292" s="684"/>
      <c r="CO292" s="684"/>
      <c r="CP292" s="684"/>
      <c r="CQ292" s="684"/>
      <c r="CR292" s="684"/>
      <c r="CS292" s="684"/>
      <c r="CT292" s="684"/>
      <c r="CU292" s="684"/>
      <c r="CV292" s="684"/>
      <c r="CW292" s="684"/>
      <c r="CX292" s="684"/>
      <c r="CY292" s="684"/>
      <c r="CZ292" s="684"/>
      <c r="DA292" s="684"/>
      <c r="DB292" s="684"/>
      <c r="DC292" s="684"/>
    </row>
    <row r="293" spans="1:107" s="5" customFormat="1" ht="12.75" customHeight="1">
      <c r="A293" s="1"/>
      <c r="B293" s="240" t="str">
        <f t="shared" si="69"/>
        <v/>
      </c>
      <c r="C293" s="241" t="str">
        <f t="shared" ref="C293:AF293" si="109">IF(C77="","",C77)</f>
        <v/>
      </c>
      <c r="D293" s="241" t="str">
        <f t="shared" si="109"/>
        <v/>
      </c>
      <c r="E293" s="241" t="str">
        <f t="shared" si="109"/>
        <v/>
      </c>
      <c r="F293" s="241" t="str">
        <f t="shared" si="109"/>
        <v/>
      </c>
      <c r="G293" s="241" t="str">
        <f t="shared" si="109"/>
        <v/>
      </c>
      <c r="H293" s="241" t="str">
        <f t="shared" si="109"/>
        <v/>
      </c>
      <c r="I293" s="241" t="str">
        <f t="shared" si="109"/>
        <v/>
      </c>
      <c r="J293" s="241" t="str">
        <f t="shared" si="109"/>
        <v/>
      </c>
      <c r="K293" s="241" t="str">
        <f t="shared" si="109"/>
        <v/>
      </c>
      <c r="L293" s="241" t="str">
        <f t="shared" si="109"/>
        <v/>
      </c>
      <c r="M293" s="241" t="str">
        <f t="shared" si="109"/>
        <v/>
      </c>
      <c r="N293" s="241" t="str">
        <f t="shared" si="109"/>
        <v/>
      </c>
      <c r="O293" s="241" t="str">
        <f t="shared" si="109"/>
        <v/>
      </c>
      <c r="P293" s="241" t="str">
        <f t="shared" si="109"/>
        <v/>
      </c>
      <c r="Q293" s="241" t="str">
        <f t="shared" si="109"/>
        <v/>
      </c>
      <c r="R293" s="241" t="str">
        <f t="shared" si="109"/>
        <v/>
      </c>
      <c r="S293" s="241" t="str">
        <f t="shared" si="109"/>
        <v/>
      </c>
      <c r="T293" s="241" t="str">
        <f t="shared" si="109"/>
        <v/>
      </c>
      <c r="U293" s="241" t="str">
        <f t="shared" si="109"/>
        <v/>
      </c>
      <c r="V293" s="241" t="str">
        <f t="shared" si="109"/>
        <v/>
      </c>
      <c r="W293" s="241" t="str">
        <f t="shared" si="109"/>
        <v/>
      </c>
      <c r="X293" s="241" t="str">
        <f t="shared" si="109"/>
        <v/>
      </c>
      <c r="Y293" s="241" t="str">
        <f t="shared" si="109"/>
        <v/>
      </c>
      <c r="Z293" s="241" t="str">
        <f t="shared" si="109"/>
        <v/>
      </c>
      <c r="AA293" s="241" t="str">
        <f t="shared" si="109"/>
        <v/>
      </c>
      <c r="AB293" s="241" t="str">
        <f t="shared" si="109"/>
        <v/>
      </c>
      <c r="AC293" s="241" t="str">
        <f t="shared" si="109"/>
        <v/>
      </c>
      <c r="AD293" s="241" t="str">
        <f t="shared" si="109"/>
        <v/>
      </c>
      <c r="AE293" s="241" t="str">
        <f t="shared" si="109"/>
        <v/>
      </c>
      <c r="AF293" s="241" t="str">
        <f t="shared" si="109"/>
        <v>Incentive</v>
      </c>
      <c r="AG293" s="241"/>
      <c r="AH293" s="241"/>
      <c r="AI293" s="242"/>
      <c r="AJ293" s="1"/>
      <c r="AK293" s="94"/>
      <c r="AL293" s="98"/>
      <c r="AM293" s="94"/>
      <c r="AN293" s="94"/>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684"/>
      <c r="CB293" s="684"/>
      <c r="CC293" s="684"/>
      <c r="CD293" s="684"/>
      <c r="CE293" s="684"/>
      <c r="CF293" s="684"/>
      <c r="CG293" s="684"/>
      <c r="CH293" s="684"/>
      <c r="CI293" s="684"/>
      <c r="CJ293" s="684"/>
      <c r="CK293" s="684"/>
      <c r="CL293" s="684"/>
      <c r="CM293" s="684"/>
      <c r="CN293" s="684"/>
      <c r="CO293" s="684"/>
      <c r="CP293" s="684"/>
      <c r="CQ293" s="684"/>
      <c r="CR293" s="684"/>
      <c r="CS293" s="684"/>
      <c r="CT293" s="684"/>
      <c r="CU293" s="684"/>
      <c r="CV293" s="684"/>
      <c r="CW293" s="684"/>
      <c r="CX293" s="684"/>
      <c r="CY293" s="684"/>
      <c r="CZ293" s="684"/>
      <c r="DA293" s="684"/>
      <c r="DB293" s="684"/>
      <c r="DC293" s="684"/>
    </row>
    <row r="294" spans="1:107" s="5" customFormat="1" ht="12.75" customHeight="1">
      <c r="A294" s="1"/>
      <c r="B294" s="253" t="str">
        <f t="shared" si="69"/>
        <v/>
      </c>
      <c r="C294" s="9" t="str">
        <f t="shared" ref="C294:C327" si="110">IF(C78="","",C78)</f>
        <v xml:space="preserve"> W1R - ENERGY STAR® Efficient Laundry Machines</v>
      </c>
      <c r="D294" s="9"/>
      <c r="E294" s="9"/>
      <c r="F294" s="9"/>
      <c r="G294" s="9"/>
      <c r="H294" s="9"/>
      <c r="I294" s="9"/>
      <c r="J294" s="9"/>
      <c r="K294" s="9"/>
      <c r="L294" s="9"/>
      <c r="M294" s="9"/>
      <c r="N294" s="9"/>
      <c r="O294" s="9"/>
      <c r="P294" s="9"/>
      <c r="Q294" s="9"/>
      <c r="R294" s="9"/>
      <c r="S294" s="9"/>
      <c r="T294" s="9"/>
      <c r="U294" s="9"/>
      <c r="V294" s="623" t="str">
        <f t="shared" ref="V294:W300" si="111">IF(V78="","",V78)</f>
        <v xml:space="preserve">Qty: </v>
      </c>
      <c r="W294" s="844" t="str">
        <f t="shared" si="111"/>
        <v/>
      </c>
      <c r="X294" s="845"/>
      <c r="Y294" s="9"/>
      <c r="Z294" s="9"/>
      <c r="AA294" s="9"/>
      <c r="AB294" s="9"/>
      <c r="AC294" s="9"/>
      <c r="AD294" s="623" t="str">
        <f t="shared" ref="AD294:AE300" si="112">IF(AD78="","",AD78)</f>
        <v>x $200 per unit=</v>
      </c>
      <c r="AE294" s="9" t="str">
        <f t="shared" si="112"/>
        <v>$</v>
      </c>
      <c r="AF294" s="846" t="str">
        <f t="shared" ref="AF294" si="113">IF(AF78="","",AF78)</f>
        <v/>
      </c>
      <c r="AG294" s="846"/>
      <c r="AH294" s="846"/>
      <c r="AI294" s="633" t="str">
        <f t="shared" ref="AI294:AI300" si="114">IF(AI78="","",AI78)</f>
        <v/>
      </c>
      <c r="AJ294" s="1"/>
      <c r="AK294" s="94"/>
      <c r="AL294" s="98"/>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684"/>
      <c r="CB294" s="684"/>
      <c r="CC294" s="684"/>
      <c r="CD294" s="684"/>
      <c r="CE294" s="684"/>
      <c r="CF294" s="684"/>
      <c r="CG294" s="684"/>
      <c r="CH294" s="684"/>
      <c r="CI294" s="684"/>
      <c r="CJ294" s="684"/>
      <c r="CK294" s="684"/>
      <c r="CL294" s="684"/>
      <c r="CM294" s="684"/>
      <c r="CN294" s="684"/>
      <c r="CO294" s="684"/>
      <c r="CP294" s="684"/>
      <c r="CQ294" s="684"/>
      <c r="CR294" s="684"/>
      <c r="CS294" s="684"/>
      <c r="CT294" s="684"/>
      <c r="CU294" s="684"/>
      <c r="CV294" s="684"/>
      <c r="CW294" s="684"/>
      <c r="CX294" s="684"/>
      <c r="CY294" s="684"/>
      <c r="CZ294" s="684"/>
      <c r="DA294" s="684"/>
      <c r="DB294" s="684"/>
      <c r="DC294" s="684"/>
    </row>
    <row r="295" spans="1:107" s="630" customFormat="1" ht="12.75" hidden="1" customHeight="1">
      <c r="A295" s="504"/>
      <c r="B295" s="636" t="str">
        <f t="shared" ref="B295:B326" si="115">IF(B79="","",B79)</f>
        <v/>
      </c>
      <c r="C295" s="628" t="str">
        <f t="shared" si="110"/>
        <v xml:space="preserve"> I1a - ENERGY STAR Ice Machine &lt; 200 lbs/day*</v>
      </c>
      <c r="D295" s="628" t="str">
        <f t="shared" ref="D295:U295" si="116">IF(D79="","",D79)</f>
        <v/>
      </c>
      <c r="E295" s="628" t="str">
        <f t="shared" si="116"/>
        <v/>
      </c>
      <c r="F295" s="628" t="str">
        <f t="shared" si="116"/>
        <v/>
      </c>
      <c r="G295" s="628" t="str">
        <f t="shared" si="116"/>
        <v/>
      </c>
      <c r="H295" s="628" t="str">
        <f t="shared" si="116"/>
        <v/>
      </c>
      <c r="I295" s="628" t="str">
        <f t="shared" si="116"/>
        <v/>
      </c>
      <c r="J295" s="628" t="str">
        <f t="shared" si="116"/>
        <v/>
      </c>
      <c r="K295" s="628" t="str">
        <f t="shared" si="116"/>
        <v/>
      </c>
      <c r="L295" s="628" t="str">
        <f t="shared" si="116"/>
        <v/>
      </c>
      <c r="M295" s="628" t="str">
        <f t="shared" si="116"/>
        <v/>
      </c>
      <c r="N295" s="628" t="str">
        <f t="shared" si="116"/>
        <v/>
      </c>
      <c r="O295" s="628" t="str">
        <f t="shared" si="116"/>
        <v/>
      </c>
      <c r="P295" s="628" t="str">
        <f t="shared" si="116"/>
        <v/>
      </c>
      <c r="Q295" s="628" t="str">
        <f t="shared" si="116"/>
        <v/>
      </c>
      <c r="R295" s="628" t="str">
        <f t="shared" si="116"/>
        <v/>
      </c>
      <c r="S295" s="628" t="str">
        <f t="shared" si="116"/>
        <v/>
      </c>
      <c r="T295" s="628" t="str">
        <f t="shared" si="116"/>
        <v/>
      </c>
      <c r="U295" s="628" t="str">
        <f t="shared" si="116"/>
        <v/>
      </c>
      <c r="V295" s="628" t="str">
        <f t="shared" si="111"/>
        <v xml:space="preserve">Qty: </v>
      </c>
      <c r="W295" s="628" t="str">
        <f t="shared" si="111"/>
        <v/>
      </c>
      <c r="X295" s="628" t="str">
        <f t="shared" ref="X295:AC300" si="117">IF(X79="","",X79)</f>
        <v/>
      </c>
      <c r="Y295" s="628" t="str">
        <f t="shared" si="117"/>
        <v/>
      </c>
      <c r="Z295" s="628" t="str">
        <f t="shared" si="117"/>
        <v/>
      </c>
      <c r="AA295" s="628" t="str">
        <f t="shared" si="117"/>
        <v/>
      </c>
      <c r="AB295" s="628" t="str">
        <f t="shared" si="117"/>
        <v/>
      </c>
      <c r="AC295" s="628" t="str">
        <f t="shared" si="117"/>
        <v/>
      </c>
      <c r="AD295" s="628" t="str">
        <f t="shared" si="112"/>
        <v>x $100 per unit=</v>
      </c>
      <c r="AE295" s="628" t="str">
        <f t="shared" si="112"/>
        <v>$</v>
      </c>
      <c r="AF295" s="628" t="str">
        <f t="shared" ref="AF295:AH300" si="118">IF(AF79="","",AF79)</f>
        <v/>
      </c>
      <c r="AG295" s="628" t="str">
        <f t="shared" si="118"/>
        <v/>
      </c>
      <c r="AH295" s="628" t="str">
        <f t="shared" si="118"/>
        <v/>
      </c>
      <c r="AI295" s="638" t="str">
        <f t="shared" si="114"/>
        <v/>
      </c>
      <c r="AJ295" s="504"/>
      <c r="AK295" s="627"/>
      <c r="AL295" s="629"/>
      <c r="AM295" s="627"/>
      <c r="AN295" s="627"/>
      <c r="AO295" s="627"/>
      <c r="AP295" s="627"/>
      <c r="AQ295" s="627"/>
      <c r="AR295" s="627"/>
      <c r="AS295" s="627"/>
      <c r="AT295" s="627"/>
      <c r="AU295" s="627"/>
      <c r="AV295" s="627"/>
      <c r="AW295" s="627"/>
      <c r="AX295" s="627"/>
      <c r="AY295" s="627"/>
      <c r="AZ295" s="627"/>
      <c r="BA295" s="627"/>
      <c r="BB295" s="627"/>
      <c r="BC295" s="627"/>
      <c r="BD295" s="627"/>
      <c r="BE295" s="627"/>
      <c r="BF295" s="627"/>
      <c r="BG295" s="627"/>
      <c r="BH295" s="627"/>
      <c r="BI295" s="627"/>
      <c r="BJ295" s="627"/>
      <c r="BK295" s="627"/>
      <c r="BL295" s="627"/>
      <c r="BM295" s="627"/>
      <c r="BN295" s="627"/>
      <c r="BO295" s="627"/>
      <c r="BP295" s="627"/>
      <c r="BQ295" s="627"/>
      <c r="BR295" s="627"/>
      <c r="BS295" s="627"/>
      <c r="BT295" s="627"/>
      <c r="BU295" s="627"/>
      <c r="BV295" s="627"/>
      <c r="BW295" s="627"/>
      <c r="BX295" s="627"/>
      <c r="BY295" s="627"/>
      <c r="BZ295" s="627"/>
      <c r="CA295" s="690"/>
      <c r="CB295" s="690"/>
      <c r="CC295" s="690"/>
      <c r="CD295" s="690"/>
      <c r="CE295" s="690"/>
      <c r="CF295" s="690"/>
      <c r="CG295" s="690"/>
      <c r="CH295" s="690"/>
      <c r="CI295" s="690"/>
      <c r="CJ295" s="690"/>
      <c r="CK295" s="690"/>
      <c r="CL295" s="690"/>
      <c r="CM295" s="690"/>
      <c r="CN295" s="690"/>
      <c r="CO295" s="690"/>
      <c r="CP295" s="690"/>
      <c r="CQ295" s="690"/>
      <c r="CR295" s="690"/>
      <c r="CS295" s="690"/>
      <c r="CT295" s="690"/>
      <c r="CU295" s="690"/>
      <c r="CV295" s="690"/>
      <c r="CW295" s="690"/>
      <c r="CX295" s="690"/>
      <c r="CY295" s="690"/>
      <c r="CZ295" s="690"/>
      <c r="DA295" s="690"/>
      <c r="DB295" s="690"/>
      <c r="DC295" s="690"/>
    </row>
    <row r="296" spans="1:107" s="630" customFormat="1" ht="12.75" hidden="1" customHeight="1">
      <c r="A296" s="504"/>
      <c r="B296" s="636" t="str">
        <f t="shared" si="115"/>
        <v/>
      </c>
      <c r="C296" s="628" t="str">
        <f t="shared" si="110"/>
        <v xml:space="preserve"> I1b - ENERGY STAR Ice Machine ≥ 200 lbs/day</v>
      </c>
      <c r="D296" s="628" t="str">
        <f t="shared" ref="D296:U296" si="119">IF(D80="","",D80)</f>
        <v/>
      </c>
      <c r="E296" s="628" t="str">
        <f t="shared" si="119"/>
        <v/>
      </c>
      <c r="F296" s="628" t="str">
        <f t="shared" si="119"/>
        <v/>
      </c>
      <c r="G296" s="628" t="str">
        <f t="shared" si="119"/>
        <v/>
      </c>
      <c r="H296" s="628" t="str">
        <f t="shared" si="119"/>
        <v/>
      </c>
      <c r="I296" s="628" t="str">
        <f t="shared" si="119"/>
        <v/>
      </c>
      <c r="J296" s="628" t="str">
        <f t="shared" si="119"/>
        <v/>
      </c>
      <c r="K296" s="628" t="str">
        <f t="shared" si="119"/>
        <v/>
      </c>
      <c r="L296" s="628" t="str">
        <f t="shared" si="119"/>
        <v/>
      </c>
      <c r="M296" s="628" t="str">
        <f t="shared" si="119"/>
        <v/>
      </c>
      <c r="N296" s="628" t="str">
        <f t="shared" si="119"/>
        <v/>
      </c>
      <c r="O296" s="628" t="str">
        <f t="shared" si="119"/>
        <v/>
      </c>
      <c r="P296" s="628" t="str">
        <f t="shared" si="119"/>
        <v/>
      </c>
      <c r="Q296" s="628" t="str">
        <f t="shared" si="119"/>
        <v/>
      </c>
      <c r="R296" s="628" t="str">
        <f t="shared" si="119"/>
        <v/>
      </c>
      <c r="S296" s="628" t="str">
        <f t="shared" si="119"/>
        <v/>
      </c>
      <c r="T296" s="628" t="str">
        <f t="shared" si="119"/>
        <v/>
      </c>
      <c r="U296" s="628" t="str">
        <f t="shared" si="119"/>
        <v/>
      </c>
      <c r="V296" s="628" t="str">
        <f t="shared" si="111"/>
        <v xml:space="preserve">Qty: </v>
      </c>
      <c r="W296" s="628" t="str">
        <f t="shared" si="111"/>
        <v/>
      </c>
      <c r="X296" s="628" t="str">
        <f t="shared" si="117"/>
        <v/>
      </c>
      <c r="Y296" s="628" t="str">
        <f t="shared" si="117"/>
        <v/>
      </c>
      <c r="Z296" s="628" t="str">
        <f t="shared" si="117"/>
        <v/>
      </c>
      <c r="AA296" s="628" t="str">
        <f t="shared" si="117"/>
        <v/>
      </c>
      <c r="AB296" s="628" t="str">
        <f t="shared" si="117"/>
        <v/>
      </c>
      <c r="AC296" s="628" t="str">
        <f t="shared" si="117"/>
        <v/>
      </c>
      <c r="AD296" s="628" t="str">
        <f t="shared" si="112"/>
        <v>x $300 per unit=</v>
      </c>
      <c r="AE296" s="628" t="str">
        <f t="shared" si="112"/>
        <v>$</v>
      </c>
      <c r="AF296" s="628" t="str">
        <f t="shared" si="118"/>
        <v/>
      </c>
      <c r="AG296" s="628" t="str">
        <f t="shared" si="118"/>
        <v/>
      </c>
      <c r="AH296" s="628" t="str">
        <f t="shared" si="118"/>
        <v/>
      </c>
      <c r="AI296" s="638" t="str">
        <f t="shared" si="114"/>
        <v/>
      </c>
      <c r="AJ296" s="504"/>
      <c r="AK296" s="627"/>
      <c r="AL296" s="629"/>
      <c r="AM296" s="627"/>
      <c r="AN296" s="627"/>
      <c r="AO296" s="627"/>
      <c r="AP296" s="627"/>
      <c r="AQ296" s="627"/>
      <c r="AR296" s="627"/>
      <c r="AS296" s="627"/>
      <c r="AT296" s="627"/>
      <c r="AU296" s="627"/>
      <c r="AV296" s="627"/>
      <c r="AW296" s="627"/>
      <c r="AX296" s="627"/>
      <c r="AY296" s="627"/>
      <c r="AZ296" s="627"/>
      <c r="BA296" s="627"/>
      <c r="BB296" s="627"/>
      <c r="BC296" s="627"/>
      <c r="BD296" s="627"/>
      <c r="BE296" s="627"/>
      <c r="BF296" s="627"/>
      <c r="BG296" s="627"/>
      <c r="BH296" s="627"/>
      <c r="BI296" s="627"/>
      <c r="BJ296" s="627"/>
      <c r="BK296" s="627"/>
      <c r="BL296" s="627"/>
      <c r="BM296" s="627"/>
      <c r="BN296" s="627"/>
      <c r="BO296" s="627"/>
      <c r="BP296" s="627"/>
      <c r="BQ296" s="627"/>
      <c r="BR296" s="627"/>
      <c r="BS296" s="627"/>
      <c r="BT296" s="627"/>
      <c r="BU296" s="627"/>
      <c r="BV296" s="627"/>
      <c r="BW296" s="627"/>
      <c r="BX296" s="627"/>
      <c r="BY296" s="627"/>
      <c r="BZ296" s="627"/>
      <c r="CA296" s="690"/>
      <c r="CB296" s="690"/>
      <c r="CC296" s="690"/>
      <c r="CD296" s="690"/>
      <c r="CE296" s="690"/>
      <c r="CF296" s="690"/>
      <c r="CG296" s="690"/>
      <c r="CH296" s="690"/>
      <c r="CI296" s="690"/>
      <c r="CJ296" s="690"/>
      <c r="CK296" s="690"/>
      <c r="CL296" s="690"/>
      <c r="CM296" s="690"/>
      <c r="CN296" s="690"/>
      <c r="CO296" s="690"/>
      <c r="CP296" s="690"/>
      <c r="CQ296" s="690"/>
      <c r="CR296" s="690"/>
      <c r="CS296" s="690"/>
      <c r="CT296" s="690"/>
      <c r="CU296" s="690"/>
      <c r="CV296" s="690"/>
      <c r="CW296" s="690"/>
      <c r="CX296" s="690"/>
      <c r="CY296" s="690"/>
      <c r="CZ296" s="690"/>
      <c r="DA296" s="690"/>
      <c r="DB296" s="690"/>
      <c r="DC296" s="690"/>
    </row>
    <row r="297" spans="1:107" s="630" customFormat="1" ht="12.75" hidden="1" customHeight="1">
      <c r="A297" s="504"/>
      <c r="B297" s="636" t="str">
        <f t="shared" si="115"/>
        <v/>
      </c>
      <c r="C297" s="628" t="str">
        <f t="shared" si="110"/>
        <v>E1a - Stationary Pump Driven Circulating Block Heater ≤ 200 kW</v>
      </c>
      <c r="D297" s="628" t="str">
        <f t="shared" ref="D297:U297" si="120">IF(D81="","",D81)</f>
        <v/>
      </c>
      <c r="E297" s="628" t="str">
        <f t="shared" si="120"/>
        <v/>
      </c>
      <c r="F297" s="628" t="str">
        <f t="shared" si="120"/>
        <v/>
      </c>
      <c r="G297" s="628" t="str">
        <f t="shared" si="120"/>
        <v/>
      </c>
      <c r="H297" s="628" t="str">
        <f t="shared" si="120"/>
        <v/>
      </c>
      <c r="I297" s="628" t="str">
        <f t="shared" si="120"/>
        <v/>
      </c>
      <c r="J297" s="628" t="str">
        <f t="shared" si="120"/>
        <v/>
      </c>
      <c r="K297" s="628" t="str">
        <f t="shared" si="120"/>
        <v/>
      </c>
      <c r="L297" s="628" t="str">
        <f t="shared" si="120"/>
        <v/>
      </c>
      <c r="M297" s="628" t="str">
        <f t="shared" si="120"/>
        <v/>
      </c>
      <c r="N297" s="628" t="str">
        <f t="shared" si="120"/>
        <v/>
      </c>
      <c r="O297" s="628" t="str">
        <f t="shared" si="120"/>
        <v/>
      </c>
      <c r="P297" s="628" t="str">
        <f t="shared" si="120"/>
        <v/>
      </c>
      <c r="Q297" s="628" t="str">
        <f t="shared" si="120"/>
        <v/>
      </c>
      <c r="R297" s="628" t="str">
        <f t="shared" si="120"/>
        <v/>
      </c>
      <c r="S297" s="628" t="str">
        <f t="shared" si="120"/>
        <v/>
      </c>
      <c r="T297" s="628" t="str">
        <f t="shared" si="120"/>
        <v/>
      </c>
      <c r="U297" s="628" t="str">
        <f t="shared" si="120"/>
        <v/>
      </c>
      <c r="V297" s="628" t="str">
        <f t="shared" si="111"/>
        <v xml:space="preserve">Qty: </v>
      </c>
      <c r="W297" s="628" t="str">
        <f t="shared" si="111"/>
        <v/>
      </c>
      <c r="X297" s="628" t="str">
        <f t="shared" si="117"/>
        <v/>
      </c>
      <c r="Y297" s="628" t="str">
        <f t="shared" si="117"/>
        <v/>
      </c>
      <c r="Z297" s="628" t="str">
        <f t="shared" si="117"/>
        <v/>
      </c>
      <c r="AA297" s="628" t="str">
        <f t="shared" si="117"/>
        <v/>
      </c>
      <c r="AB297" s="628" t="str">
        <f t="shared" si="117"/>
        <v/>
      </c>
      <c r="AC297" s="628" t="str">
        <f t="shared" si="117"/>
        <v/>
      </c>
      <c r="AD297" s="628" t="str">
        <f t="shared" si="112"/>
        <v>x $200 per unit=</v>
      </c>
      <c r="AE297" s="628" t="str">
        <f t="shared" si="112"/>
        <v>$</v>
      </c>
      <c r="AF297" s="628" t="str">
        <f t="shared" si="118"/>
        <v/>
      </c>
      <c r="AG297" s="628" t="str">
        <f t="shared" si="118"/>
        <v/>
      </c>
      <c r="AH297" s="628" t="str">
        <f t="shared" si="118"/>
        <v/>
      </c>
      <c r="AI297" s="638" t="str">
        <f t="shared" si="114"/>
        <v/>
      </c>
      <c r="AJ297" s="504"/>
      <c r="AK297" s="627"/>
      <c r="AL297" s="629"/>
      <c r="AM297" s="627"/>
      <c r="AN297" s="627"/>
      <c r="AO297" s="627"/>
      <c r="AP297" s="627"/>
      <c r="AQ297" s="627"/>
      <c r="AR297" s="627"/>
      <c r="AS297" s="627"/>
      <c r="AT297" s="627"/>
      <c r="AU297" s="627"/>
      <c r="AV297" s="627"/>
      <c r="AW297" s="627"/>
      <c r="AX297" s="627"/>
      <c r="AY297" s="627"/>
      <c r="AZ297" s="627"/>
      <c r="BA297" s="627"/>
      <c r="BB297" s="627"/>
      <c r="BC297" s="627"/>
      <c r="BD297" s="627"/>
      <c r="BE297" s="627"/>
      <c r="BF297" s="627"/>
      <c r="BG297" s="627"/>
      <c r="BH297" s="627"/>
      <c r="BI297" s="627"/>
      <c r="BJ297" s="627"/>
      <c r="BK297" s="627"/>
      <c r="BL297" s="627"/>
      <c r="BM297" s="627"/>
      <c r="BN297" s="627"/>
      <c r="BO297" s="627"/>
      <c r="BP297" s="627"/>
      <c r="BQ297" s="627"/>
      <c r="BR297" s="627"/>
      <c r="BS297" s="627"/>
      <c r="BT297" s="627"/>
      <c r="BU297" s="627"/>
      <c r="BV297" s="627"/>
      <c r="BW297" s="627"/>
      <c r="BX297" s="627"/>
      <c r="BY297" s="627"/>
      <c r="BZ297" s="627"/>
      <c r="CA297" s="690"/>
      <c r="CB297" s="690"/>
      <c r="CC297" s="690"/>
      <c r="CD297" s="690"/>
      <c r="CE297" s="690"/>
      <c r="CF297" s="690"/>
      <c r="CG297" s="690"/>
      <c r="CH297" s="690"/>
      <c r="CI297" s="690"/>
      <c r="CJ297" s="690"/>
      <c r="CK297" s="690"/>
      <c r="CL297" s="690"/>
      <c r="CM297" s="690"/>
      <c r="CN297" s="690"/>
      <c r="CO297" s="690"/>
      <c r="CP297" s="690"/>
      <c r="CQ297" s="690"/>
      <c r="CR297" s="690"/>
      <c r="CS297" s="690"/>
      <c r="CT297" s="690"/>
      <c r="CU297" s="690"/>
      <c r="CV297" s="690"/>
      <c r="CW297" s="690"/>
      <c r="CX297" s="690"/>
      <c r="CY297" s="690"/>
      <c r="CZ297" s="690"/>
      <c r="DA297" s="690"/>
      <c r="DB297" s="690"/>
      <c r="DC297" s="690"/>
    </row>
    <row r="298" spans="1:107" s="630" customFormat="1" ht="12.75" hidden="1" customHeight="1">
      <c r="A298" s="504"/>
      <c r="B298" s="636" t="str">
        <f t="shared" si="115"/>
        <v/>
      </c>
      <c r="C298" s="628" t="str">
        <f t="shared" si="110"/>
        <v>E1b - Stationary Pump Driven Circulating Block Heater 201-500 kW</v>
      </c>
      <c r="D298" s="628" t="str">
        <f t="shared" ref="D298:U298" si="121">IF(D82="","",D82)</f>
        <v/>
      </c>
      <c r="E298" s="628" t="str">
        <f t="shared" si="121"/>
        <v/>
      </c>
      <c r="F298" s="628" t="str">
        <f t="shared" si="121"/>
        <v/>
      </c>
      <c r="G298" s="628" t="str">
        <f t="shared" si="121"/>
        <v/>
      </c>
      <c r="H298" s="628" t="str">
        <f t="shared" si="121"/>
        <v/>
      </c>
      <c r="I298" s="628" t="str">
        <f t="shared" si="121"/>
        <v/>
      </c>
      <c r="J298" s="628" t="str">
        <f t="shared" si="121"/>
        <v/>
      </c>
      <c r="K298" s="628" t="str">
        <f t="shared" si="121"/>
        <v/>
      </c>
      <c r="L298" s="628" t="str">
        <f t="shared" si="121"/>
        <v/>
      </c>
      <c r="M298" s="628" t="str">
        <f t="shared" si="121"/>
        <v/>
      </c>
      <c r="N298" s="628" t="str">
        <f t="shared" si="121"/>
        <v/>
      </c>
      <c r="O298" s="628" t="str">
        <f t="shared" si="121"/>
        <v/>
      </c>
      <c r="P298" s="628" t="str">
        <f t="shared" si="121"/>
        <v/>
      </c>
      <c r="Q298" s="628" t="str">
        <f t="shared" si="121"/>
        <v/>
      </c>
      <c r="R298" s="628" t="str">
        <f t="shared" si="121"/>
        <v/>
      </c>
      <c r="S298" s="628" t="str">
        <f t="shared" si="121"/>
        <v/>
      </c>
      <c r="T298" s="628" t="str">
        <f t="shared" si="121"/>
        <v/>
      </c>
      <c r="U298" s="628" t="str">
        <f t="shared" si="121"/>
        <v/>
      </c>
      <c r="V298" s="628" t="str">
        <f t="shared" si="111"/>
        <v xml:space="preserve">Qty: </v>
      </c>
      <c r="W298" s="628" t="str">
        <f t="shared" si="111"/>
        <v/>
      </c>
      <c r="X298" s="628" t="str">
        <f t="shared" si="117"/>
        <v/>
      </c>
      <c r="Y298" s="628" t="str">
        <f t="shared" si="117"/>
        <v/>
      </c>
      <c r="Z298" s="628" t="str">
        <f t="shared" si="117"/>
        <v/>
      </c>
      <c r="AA298" s="628" t="str">
        <f t="shared" si="117"/>
        <v/>
      </c>
      <c r="AB298" s="628" t="str">
        <f t="shared" si="117"/>
        <v/>
      </c>
      <c r="AC298" s="628" t="str">
        <f t="shared" si="117"/>
        <v/>
      </c>
      <c r="AD298" s="628" t="str">
        <f t="shared" si="112"/>
        <v>x $350 per unit=</v>
      </c>
      <c r="AE298" s="628" t="str">
        <f t="shared" si="112"/>
        <v>$</v>
      </c>
      <c r="AF298" s="628" t="str">
        <f t="shared" si="118"/>
        <v/>
      </c>
      <c r="AG298" s="628" t="str">
        <f t="shared" si="118"/>
        <v/>
      </c>
      <c r="AH298" s="628" t="str">
        <f t="shared" si="118"/>
        <v/>
      </c>
      <c r="AI298" s="638" t="str">
        <f t="shared" si="114"/>
        <v/>
      </c>
      <c r="AJ298" s="504"/>
      <c r="AK298" s="627"/>
      <c r="AL298" s="629"/>
      <c r="AM298" s="627"/>
      <c r="AN298" s="627"/>
      <c r="AO298" s="627"/>
      <c r="AP298" s="627"/>
      <c r="AQ298" s="627"/>
      <c r="AR298" s="627"/>
      <c r="AS298" s="627"/>
      <c r="AT298" s="627"/>
      <c r="AU298" s="627"/>
      <c r="AV298" s="627"/>
      <c r="AW298" s="627"/>
      <c r="AX298" s="627"/>
      <c r="AY298" s="627"/>
      <c r="AZ298" s="627"/>
      <c r="BA298" s="627"/>
      <c r="BB298" s="627"/>
      <c r="BC298" s="627"/>
      <c r="BD298" s="627"/>
      <c r="BE298" s="627"/>
      <c r="BF298" s="627"/>
      <c r="BG298" s="627"/>
      <c r="BH298" s="627"/>
      <c r="BI298" s="627"/>
      <c r="BJ298" s="627"/>
      <c r="BK298" s="627"/>
      <c r="BL298" s="627"/>
      <c r="BM298" s="627"/>
      <c r="BN298" s="627"/>
      <c r="BO298" s="627"/>
      <c r="BP298" s="627"/>
      <c r="BQ298" s="627"/>
      <c r="BR298" s="627"/>
      <c r="BS298" s="627"/>
      <c r="BT298" s="627"/>
      <c r="BU298" s="627"/>
      <c r="BV298" s="627"/>
      <c r="BW298" s="627"/>
      <c r="BX298" s="627"/>
      <c r="BY298" s="627"/>
      <c r="BZ298" s="627"/>
      <c r="CA298" s="690"/>
      <c r="CB298" s="690"/>
      <c r="CC298" s="690"/>
      <c r="CD298" s="690"/>
      <c r="CE298" s="690"/>
      <c r="CF298" s="690"/>
      <c r="CG298" s="690"/>
      <c r="CH298" s="690"/>
      <c r="CI298" s="690"/>
      <c r="CJ298" s="690"/>
      <c r="CK298" s="690"/>
      <c r="CL298" s="690"/>
      <c r="CM298" s="690"/>
      <c r="CN298" s="690"/>
      <c r="CO298" s="690"/>
      <c r="CP298" s="690"/>
      <c r="CQ298" s="690"/>
      <c r="CR298" s="690"/>
      <c r="CS298" s="690"/>
      <c r="CT298" s="690"/>
      <c r="CU298" s="690"/>
      <c r="CV298" s="690"/>
      <c r="CW298" s="690"/>
      <c r="CX298" s="690"/>
      <c r="CY298" s="690"/>
      <c r="CZ298" s="690"/>
      <c r="DA298" s="690"/>
      <c r="DB298" s="690"/>
      <c r="DC298" s="690"/>
    </row>
    <row r="299" spans="1:107" s="630" customFormat="1" ht="12.75" hidden="1" customHeight="1">
      <c r="A299" s="504"/>
      <c r="B299" s="636" t="str">
        <f t="shared" si="115"/>
        <v/>
      </c>
      <c r="C299" s="628" t="str">
        <f t="shared" si="110"/>
        <v>E1c - Stationary Pump Driven Circulating Block Heater 501-1,000 kW</v>
      </c>
      <c r="D299" s="628" t="str">
        <f t="shared" ref="D299:U299" si="122">IF(D83="","",D83)</f>
        <v/>
      </c>
      <c r="E299" s="628" t="str">
        <f t="shared" si="122"/>
        <v/>
      </c>
      <c r="F299" s="628" t="str">
        <f t="shared" si="122"/>
        <v/>
      </c>
      <c r="G299" s="628" t="str">
        <f t="shared" si="122"/>
        <v/>
      </c>
      <c r="H299" s="628" t="str">
        <f t="shared" si="122"/>
        <v/>
      </c>
      <c r="I299" s="628" t="str">
        <f t="shared" si="122"/>
        <v/>
      </c>
      <c r="J299" s="628" t="str">
        <f t="shared" si="122"/>
        <v/>
      </c>
      <c r="K299" s="628" t="str">
        <f t="shared" si="122"/>
        <v/>
      </c>
      <c r="L299" s="628" t="str">
        <f t="shared" si="122"/>
        <v/>
      </c>
      <c r="M299" s="628" t="str">
        <f t="shared" si="122"/>
        <v/>
      </c>
      <c r="N299" s="628" t="str">
        <f t="shared" si="122"/>
        <v/>
      </c>
      <c r="O299" s="628" t="str">
        <f t="shared" si="122"/>
        <v/>
      </c>
      <c r="P299" s="628" t="str">
        <f t="shared" si="122"/>
        <v/>
      </c>
      <c r="Q299" s="628" t="str">
        <f t="shared" si="122"/>
        <v/>
      </c>
      <c r="R299" s="628" t="str">
        <f t="shared" si="122"/>
        <v/>
      </c>
      <c r="S299" s="628" t="str">
        <f t="shared" si="122"/>
        <v/>
      </c>
      <c r="T299" s="628" t="str">
        <f t="shared" si="122"/>
        <v/>
      </c>
      <c r="U299" s="628" t="str">
        <f t="shared" si="122"/>
        <v/>
      </c>
      <c r="V299" s="628" t="str">
        <f t="shared" si="111"/>
        <v xml:space="preserve">Qty: </v>
      </c>
      <c r="W299" s="628" t="str">
        <f t="shared" si="111"/>
        <v/>
      </c>
      <c r="X299" s="628" t="str">
        <f t="shared" si="117"/>
        <v/>
      </c>
      <c r="Y299" s="628" t="str">
        <f t="shared" si="117"/>
        <v/>
      </c>
      <c r="Z299" s="628" t="str">
        <f t="shared" si="117"/>
        <v/>
      </c>
      <c r="AA299" s="628" t="str">
        <f t="shared" si="117"/>
        <v/>
      </c>
      <c r="AB299" s="628" t="str">
        <f t="shared" si="117"/>
        <v/>
      </c>
      <c r="AC299" s="628" t="str">
        <f t="shared" si="117"/>
        <v/>
      </c>
      <c r="AD299" s="628" t="str">
        <f t="shared" si="112"/>
        <v>x $500 per unit=</v>
      </c>
      <c r="AE299" s="628" t="str">
        <f t="shared" si="112"/>
        <v>$</v>
      </c>
      <c r="AF299" s="628" t="str">
        <f t="shared" si="118"/>
        <v/>
      </c>
      <c r="AG299" s="628" t="str">
        <f t="shared" si="118"/>
        <v/>
      </c>
      <c r="AH299" s="628" t="str">
        <f t="shared" si="118"/>
        <v/>
      </c>
      <c r="AI299" s="638" t="str">
        <f t="shared" si="114"/>
        <v/>
      </c>
      <c r="AJ299" s="504"/>
      <c r="AK299" s="627"/>
      <c r="AL299" s="629"/>
      <c r="AM299" s="627"/>
      <c r="AN299" s="627"/>
      <c r="AO299" s="627"/>
      <c r="AP299" s="627"/>
      <c r="AQ299" s="627"/>
      <c r="AR299" s="627"/>
      <c r="AS299" s="627"/>
      <c r="AT299" s="627"/>
      <c r="AU299" s="627"/>
      <c r="AV299" s="627"/>
      <c r="AW299" s="627"/>
      <c r="AX299" s="627"/>
      <c r="AY299" s="627"/>
      <c r="AZ299" s="627"/>
      <c r="BA299" s="627"/>
      <c r="BB299" s="627"/>
      <c r="BC299" s="627"/>
      <c r="BD299" s="627"/>
      <c r="BE299" s="627"/>
      <c r="BF299" s="627"/>
      <c r="BG299" s="627"/>
      <c r="BH299" s="627"/>
      <c r="BI299" s="627"/>
      <c r="BJ299" s="627"/>
      <c r="BK299" s="627"/>
      <c r="BL299" s="627"/>
      <c r="BM299" s="627"/>
      <c r="BN299" s="627"/>
      <c r="BO299" s="627"/>
      <c r="BP299" s="627"/>
      <c r="BQ299" s="627"/>
      <c r="BR299" s="627"/>
      <c r="BS299" s="627"/>
      <c r="BT299" s="627"/>
      <c r="BU299" s="627"/>
      <c r="BV299" s="627"/>
      <c r="BW299" s="627"/>
      <c r="BX299" s="627"/>
      <c r="BY299" s="627"/>
      <c r="BZ299" s="627"/>
      <c r="CA299" s="690"/>
      <c r="CB299" s="690"/>
      <c r="CC299" s="690"/>
      <c r="CD299" s="690"/>
      <c r="CE299" s="690"/>
      <c r="CF299" s="690"/>
      <c r="CG299" s="690"/>
      <c r="CH299" s="690"/>
      <c r="CI299" s="690"/>
      <c r="CJ299" s="690"/>
      <c r="CK299" s="690"/>
      <c r="CL299" s="690"/>
      <c r="CM299" s="690"/>
      <c r="CN299" s="690"/>
      <c r="CO299" s="690"/>
      <c r="CP299" s="690"/>
      <c r="CQ299" s="690"/>
      <c r="CR299" s="690"/>
      <c r="CS299" s="690"/>
      <c r="CT299" s="690"/>
      <c r="CU299" s="690"/>
      <c r="CV299" s="690"/>
      <c r="CW299" s="690"/>
      <c r="CX299" s="690"/>
      <c r="CY299" s="690"/>
      <c r="CZ299" s="690"/>
      <c r="DA299" s="690"/>
      <c r="DB299" s="690"/>
      <c r="DC299" s="690"/>
    </row>
    <row r="300" spans="1:107" s="630" customFormat="1" ht="12.75" hidden="1" customHeight="1">
      <c r="A300" s="504"/>
      <c r="B300" s="636" t="str">
        <f t="shared" si="115"/>
        <v/>
      </c>
      <c r="C300" s="628" t="str">
        <f t="shared" si="110"/>
        <v>E2 - High Efficiency Battery Charger</v>
      </c>
      <c r="D300" s="628" t="str">
        <f t="shared" ref="D300:U300" si="123">IF(D84="","",D84)</f>
        <v/>
      </c>
      <c r="E300" s="628" t="str">
        <f t="shared" si="123"/>
        <v/>
      </c>
      <c r="F300" s="628" t="str">
        <f t="shared" si="123"/>
        <v/>
      </c>
      <c r="G300" s="628" t="str">
        <f t="shared" si="123"/>
        <v/>
      </c>
      <c r="H300" s="628" t="str">
        <f t="shared" si="123"/>
        <v/>
      </c>
      <c r="I300" s="628" t="str">
        <f t="shared" si="123"/>
        <v/>
      </c>
      <c r="J300" s="628" t="str">
        <f t="shared" si="123"/>
        <v/>
      </c>
      <c r="K300" s="628" t="str">
        <f t="shared" si="123"/>
        <v/>
      </c>
      <c r="L300" s="628" t="str">
        <f t="shared" si="123"/>
        <v/>
      </c>
      <c r="M300" s="628" t="str">
        <f t="shared" si="123"/>
        <v/>
      </c>
      <c r="N300" s="628" t="str">
        <f t="shared" si="123"/>
        <v/>
      </c>
      <c r="O300" s="628" t="str">
        <f t="shared" si="123"/>
        <v/>
      </c>
      <c r="P300" s="628" t="str">
        <f t="shared" si="123"/>
        <v xml:space="preserve">Single Phase Qty: </v>
      </c>
      <c r="Q300" s="628" t="str">
        <f t="shared" si="123"/>
        <v/>
      </c>
      <c r="R300" s="628" t="str">
        <f t="shared" si="123"/>
        <v/>
      </c>
      <c r="S300" s="628" t="str">
        <f t="shared" si="123"/>
        <v/>
      </c>
      <c r="T300" s="628" t="str">
        <f t="shared" si="123"/>
        <v/>
      </c>
      <c r="U300" s="628" t="str">
        <f t="shared" si="123"/>
        <v/>
      </c>
      <c r="V300" s="628" t="str">
        <f t="shared" si="111"/>
        <v xml:space="preserve">Three Phase Qty: </v>
      </c>
      <c r="W300" s="628" t="str">
        <f t="shared" si="111"/>
        <v/>
      </c>
      <c r="X300" s="628" t="str">
        <f t="shared" si="117"/>
        <v/>
      </c>
      <c r="Y300" s="628" t="str">
        <f t="shared" si="117"/>
        <v/>
      </c>
      <c r="Z300" s="628" t="str">
        <f t="shared" si="117"/>
        <v/>
      </c>
      <c r="AA300" s="628" t="str">
        <f t="shared" si="117"/>
        <v/>
      </c>
      <c r="AB300" s="628" t="str">
        <f t="shared" si="117"/>
        <v/>
      </c>
      <c r="AC300" s="628" t="str">
        <f t="shared" si="117"/>
        <v/>
      </c>
      <c r="AD300" s="628" t="str">
        <f t="shared" si="112"/>
        <v>x $200 per unit=</v>
      </c>
      <c r="AE300" s="628" t="str">
        <f t="shared" si="112"/>
        <v>$</v>
      </c>
      <c r="AF300" s="628" t="str">
        <f t="shared" si="118"/>
        <v/>
      </c>
      <c r="AG300" s="628" t="str">
        <f t="shared" si="118"/>
        <v/>
      </c>
      <c r="AH300" s="628" t="str">
        <f t="shared" si="118"/>
        <v/>
      </c>
      <c r="AI300" s="638" t="str">
        <f t="shared" si="114"/>
        <v/>
      </c>
      <c r="AJ300" s="504"/>
      <c r="AK300" s="627"/>
      <c r="AL300" s="629"/>
      <c r="AM300" s="627"/>
      <c r="AN300" s="627"/>
      <c r="AO300" s="627"/>
      <c r="AP300" s="627"/>
      <c r="AQ300" s="627"/>
      <c r="AR300" s="627"/>
      <c r="AS300" s="627"/>
      <c r="AT300" s="627"/>
      <c r="AU300" s="627"/>
      <c r="AV300" s="627"/>
      <c r="AW300" s="627"/>
      <c r="AX300" s="627"/>
      <c r="AY300" s="627"/>
      <c r="AZ300" s="627"/>
      <c r="BA300" s="627"/>
      <c r="BB300" s="627"/>
      <c r="BC300" s="627"/>
      <c r="BD300" s="627"/>
      <c r="BE300" s="627"/>
      <c r="BF300" s="627"/>
      <c r="BG300" s="627"/>
      <c r="BH300" s="627"/>
      <c r="BI300" s="627"/>
      <c r="BJ300" s="627"/>
      <c r="BK300" s="627"/>
      <c r="BL300" s="627"/>
      <c r="BM300" s="627"/>
      <c r="BN300" s="627"/>
      <c r="BO300" s="627"/>
      <c r="BP300" s="627"/>
      <c r="BQ300" s="627"/>
      <c r="BR300" s="627"/>
      <c r="BS300" s="627"/>
      <c r="BT300" s="627"/>
      <c r="BU300" s="627"/>
      <c r="BV300" s="627"/>
      <c r="BW300" s="627"/>
      <c r="BX300" s="627"/>
      <c r="BY300" s="627"/>
      <c r="BZ300" s="627"/>
      <c r="CA300" s="690"/>
      <c r="CB300" s="690"/>
      <c r="CC300" s="690"/>
      <c r="CD300" s="690"/>
      <c r="CE300" s="690"/>
      <c r="CF300" s="690"/>
      <c r="CG300" s="690"/>
      <c r="CH300" s="690"/>
      <c r="CI300" s="690"/>
      <c r="CJ300" s="690"/>
      <c r="CK300" s="690"/>
      <c r="CL300" s="690"/>
      <c r="CM300" s="690"/>
      <c r="CN300" s="690"/>
      <c r="CO300" s="690"/>
      <c r="CP300" s="690"/>
      <c r="CQ300" s="690"/>
      <c r="CR300" s="690"/>
      <c r="CS300" s="690"/>
      <c r="CT300" s="690"/>
      <c r="CU300" s="690"/>
      <c r="CV300" s="690"/>
      <c r="CW300" s="690"/>
      <c r="CX300" s="690"/>
      <c r="CY300" s="690"/>
      <c r="CZ300" s="690"/>
      <c r="DA300" s="690"/>
      <c r="DB300" s="690"/>
      <c r="DC300" s="690"/>
    </row>
    <row r="301" spans="1:107" s="630" customFormat="1" ht="12.75" hidden="1" customHeight="1">
      <c r="A301" s="504"/>
      <c r="B301" s="636" t="str">
        <f t="shared" si="115"/>
        <v/>
      </c>
      <c r="C301" s="628" t="str">
        <f t="shared" si="110"/>
        <v/>
      </c>
      <c r="D301" s="628" t="str">
        <f t="shared" ref="D301:K310" si="124">IF(D85="","",D85)</f>
        <v>Power conversion 89% or better and maintenance power less than 10 W.</v>
      </c>
      <c r="E301" s="628" t="str">
        <f t="shared" si="124"/>
        <v/>
      </c>
      <c r="F301" s="628" t="str">
        <f t="shared" si="124"/>
        <v/>
      </c>
      <c r="G301" s="628" t="str">
        <f t="shared" si="124"/>
        <v/>
      </c>
      <c r="H301" s="628" t="str">
        <f t="shared" si="124"/>
        <v/>
      </c>
      <c r="I301" s="628" t="str">
        <f t="shared" si="124"/>
        <v/>
      </c>
      <c r="J301" s="628" t="str">
        <f t="shared" si="124"/>
        <v/>
      </c>
      <c r="K301" s="628" t="str">
        <f t="shared" si="124"/>
        <v/>
      </c>
      <c r="L301" s="628" t="str">
        <f t="shared" ref="L301:AI301" si="125">IF(L85="","",L85)</f>
        <v/>
      </c>
      <c r="M301" s="628" t="str">
        <f t="shared" si="125"/>
        <v/>
      </c>
      <c r="N301" s="628" t="str">
        <f t="shared" si="125"/>
        <v/>
      </c>
      <c r="O301" s="628" t="str">
        <f t="shared" si="125"/>
        <v/>
      </c>
      <c r="P301" s="628" t="str">
        <f t="shared" si="125"/>
        <v/>
      </c>
      <c r="Q301" s="628" t="str">
        <f t="shared" si="125"/>
        <v/>
      </c>
      <c r="R301" s="628" t="str">
        <f t="shared" si="125"/>
        <v/>
      </c>
      <c r="S301" s="628" t="str">
        <f t="shared" si="125"/>
        <v/>
      </c>
      <c r="T301" s="628" t="str">
        <f t="shared" si="125"/>
        <v/>
      </c>
      <c r="U301" s="628" t="str">
        <f t="shared" si="125"/>
        <v/>
      </c>
      <c r="V301" s="628" t="str">
        <f t="shared" si="125"/>
        <v/>
      </c>
      <c r="W301" s="628" t="str">
        <f t="shared" si="125"/>
        <v/>
      </c>
      <c r="X301" s="628" t="str">
        <f t="shared" si="125"/>
        <v/>
      </c>
      <c r="Y301" s="628" t="str">
        <f t="shared" si="125"/>
        <v/>
      </c>
      <c r="Z301" s="628" t="str">
        <f t="shared" si="125"/>
        <v/>
      </c>
      <c r="AA301" s="628" t="str">
        <f t="shared" si="125"/>
        <v/>
      </c>
      <c r="AB301" s="628" t="str">
        <f t="shared" si="125"/>
        <v/>
      </c>
      <c r="AC301" s="628" t="str">
        <f t="shared" si="125"/>
        <v/>
      </c>
      <c r="AD301" s="628" t="str">
        <f t="shared" si="125"/>
        <v/>
      </c>
      <c r="AE301" s="628" t="str">
        <f t="shared" si="125"/>
        <v/>
      </c>
      <c r="AF301" s="628" t="str">
        <f t="shared" si="125"/>
        <v/>
      </c>
      <c r="AG301" s="628" t="str">
        <f t="shared" si="125"/>
        <v/>
      </c>
      <c r="AH301" s="628" t="str">
        <f t="shared" si="125"/>
        <v/>
      </c>
      <c r="AI301" s="638" t="str">
        <f t="shared" si="125"/>
        <v/>
      </c>
      <c r="AJ301" s="504"/>
      <c r="AK301" s="627"/>
      <c r="AL301" s="629"/>
      <c r="AM301" s="627"/>
      <c r="AN301" s="627"/>
      <c r="AO301" s="627"/>
      <c r="AP301" s="627"/>
      <c r="AQ301" s="627"/>
      <c r="AR301" s="627"/>
      <c r="AS301" s="627"/>
      <c r="AT301" s="627"/>
      <c r="AU301" s="627"/>
      <c r="AV301" s="627"/>
      <c r="AW301" s="627"/>
      <c r="AX301" s="627"/>
      <c r="AY301" s="627"/>
      <c r="AZ301" s="627"/>
      <c r="BA301" s="627"/>
      <c r="BB301" s="627"/>
      <c r="BC301" s="627"/>
      <c r="BD301" s="627"/>
      <c r="BE301" s="627"/>
      <c r="BF301" s="627"/>
      <c r="BG301" s="627"/>
      <c r="BH301" s="627"/>
      <c r="BI301" s="627"/>
      <c r="BJ301" s="627"/>
      <c r="BK301" s="627"/>
      <c r="BL301" s="627"/>
      <c r="BM301" s="627"/>
      <c r="BN301" s="627"/>
      <c r="BO301" s="627"/>
      <c r="BP301" s="627"/>
      <c r="BQ301" s="627"/>
      <c r="BR301" s="627"/>
      <c r="BS301" s="627"/>
      <c r="BT301" s="627"/>
      <c r="BU301" s="627"/>
      <c r="BV301" s="627"/>
      <c r="BW301" s="627"/>
      <c r="BX301" s="627"/>
      <c r="BY301" s="627"/>
      <c r="BZ301" s="627"/>
      <c r="CA301" s="690"/>
      <c r="CB301" s="690"/>
      <c r="CC301" s="690"/>
      <c r="CD301" s="690"/>
      <c r="CE301" s="690"/>
      <c r="CF301" s="690"/>
      <c r="CG301" s="690"/>
      <c r="CH301" s="690"/>
      <c r="CI301" s="690"/>
      <c r="CJ301" s="690"/>
      <c r="CK301" s="690"/>
      <c r="CL301" s="690"/>
      <c r="CM301" s="690"/>
      <c r="CN301" s="690"/>
      <c r="CO301" s="690"/>
      <c r="CP301" s="690"/>
      <c r="CQ301" s="690"/>
      <c r="CR301" s="690"/>
      <c r="CS301" s="690"/>
      <c r="CT301" s="690"/>
      <c r="CU301" s="690"/>
      <c r="CV301" s="690"/>
      <c r="CW301" s="690"/>
      <c r="CX301" s="690"/>
      <c r="CY301" s="690"/>
      <c r="CZ301" s="690"/>
      <c r="DA301" s="690"/>
      <c r="DB301" s="690"/>
      <c r="DC301" s="690"/>
    </row>
    <row r="302" spans="1:107" s="630" customFormat="1" ht="12.75" hidden="1" customHeight="1">
      <c r="A302" s="504"/>
      <c r="B302" s="636" t="str">
        <f t="shared" si="115"/>
        <v/>
      </c>
      <c r="C302" s="628" t="str">
        <f t="shared" si="110"/>
        <v>E3a - Wall Mounted Block Heater Controls</v>
      </c>
      <c r="D302" s="628" t="str">
        <f t="shared" si="124"/>
        <v/>
      </c>
      <c r="E302" s="628" t="str">
        <f t="shared" si="124"/>
        <v/>
      </c>
      <c r="F302" s="628" t="str">
        <f t="shared" si="124"/>
        <v/>
      </c>
      <c r="G302" s="628" t="str">
        <f t="shared" si="124"/>
        <v/>
      </c>
      <c r="H302" s="628" t="str">
        <f t="shared" si="124"/>
        <v/>
      </c>
      <c r="I302" s="628" t="str">
        <f t="shared" si="124"/>
        <v/>
      </c>
      <c r="J302" s="628" t="str">
        <f t="shared" si="124"/>
        <v/>
      </c>
      <c r="K302" s="628" t="str">
        <f t="shared" si="124"/>
        <v/>
      </c>
      <c r="L302" s="628" t="str">
        <f t="shared" ref="L302:AI302" si="126">IF(L86="","",L86)</f>
        <v/>
      </c>
      <c r="M302" s="628" t="str">
        <f t="shared" si="126"/>
        <v/>
      </c>
      <c r="N302" s="628" t="str">
        <f t="shared" si="126"/>
        <v/>
      </c>
      <c r="O302" s="628" t="str">
        <f t="shared" si="126"/>
        <v/>
      </c>
      <c r="P302" s="628" t="str">
        <f t="shared" si="126"/>
        <v/>
      </c>
      <c r="Q302" s="628" t="str">
        <f t="shared" si="126"/>
        <v/>
      </c>
      <c r="R302" s="628" t="str">
        <f t="shared" si="126"/>
        <v/>
      </c>
      <c r="S302" s="628" t="str">
        <f t="shared" si="126"/>
        <v/>
      </c>
      <c r="T302" s="628" t="str">
        <f t="shared" si="126"/>
        <v/>
      </c>
      <c r="U302" s="628" t="str">
        <f t="shared" si="126"/>
        <v/>
      </c>
      <c r="V302" s="628" t="str">
        <f t="shared" si="126"/>
        <v xml:space="preserve">Total Eligible: </v>
      </c>
      <c r="W302" s="628" t="str">
        <f t="shared" si="126"/>
        <v/>
      </c>
      <c r="X302" s="628" t="str">
        <f t="shared" si="126"/>
        <v/>
      </c>
      <c r="Y302" s="628" t="str">
        <f t="shared" si="126"/>
        <v>unit(s)</v>
      </c>
      <c r="Z302" s="628" t="str">
        <f t="shared" si="126"/>
        <v/>
      </c>
      <c r="AA302" s="628" t="str">
        <f t="shared" si="126"/>
        <v/>
      </c>
      <c r="AB302" s="628" t="str">
        <f t="shared" si="126"/>
        <v/>
      </c>
      <c r="AC302" s="628" t="str">
        <f t="shared" si="126"/>
        <v/>
      </c>
      <c r="AD302" s="628" t="str">
        <f t="shared" si="126"/>
        <v>x $50 per unit=</v>
      </c>
      <c r="AE302" s="628" t="str">
        <f t="shared" si="126"/>
        <v>$</v>
      </c>
      <c r="AF302" s="628" t="str">
        <f t="shared" si="126"/>
        <v/>
      </c>
      <c r="AG302" s="628" t="str">
        <f t="shared" si="126"/>
        <v/>
      </c>
      <c r="AH302" s="628" t="str">
        <f t="shared" si="126"/>
        <v/>
      </c>
      <c r="AI302" s="638" t="str">
        <f t="shared" si="126"/>
        <v/>
      </c>
      <c r="AJ302" s="504"/>
      <c r="AK302" s="627"/>
      <c r="AL302" s="629"/>
      <c r="AM302" s="627"/>
      <c r="AN302" s="627"/>
      <c r="AO302" s="627"/>
      <c r="AP302" s="627"/>
      <c r="AQ302" s="627"/>
      <c r="AR302" s="627"/>
      <c r="AS302" s="627"/>
      <c r="AT302" s="627"/>
      <c r="AU302" s="627"/>
      <c r="AV302" s="627"/>
      <c r="AW302" s="627"/>
      <c r="AX302" s="627"/>
      <c r="AY302" s="627"/>
      <c r="AZ302" s="627"/>
      <c r="BA302" s="627"/>
      <c r="BB302" s="627"/>
      <c r="BC302" s="627"/>
      <c r="BD302" s="627"/>
      <c r="BE302" s="627"/>
      <c r="BF302" s="627"/>
      <c r="BG302" s="627"/>
      <c r="BH302" s="627"/>
      <c r="BI302" s="627"/>
      <c r="BJ302" s="627"/>
      <c r="BK302" s="627"/>
      <c r="BL302" s="627"/>
      <c r="BM302" s="627"/>
      <c r="BN302" s="627"/>
      <c r="BO302" s="627"/>
      <c r="BP302" s="627"/>
      <c r="BQ302" s="627"/>
      <c r="BR302" s="627"/>
      <c r="BS302" s="627"/>
      <c r="BT302" s="627"/>
      <c r="BU302" s="627"/>
      <c r="BV302" s="627"/>
      <c r="BW302" s="627"/>
      <c r="BX302" s="627"/>
      <c r="BY302" s="627"/>
      <c r="BZ302" s="627"/>
      <c r="CA302" s="690"/>
      <c r="CB302" s="690"/>
      <c r="CC302" s="690"/>
      <c r="CD302" s="690"/>
      <c r="CE302" s="690"/>
      <c r="CF302" s="690"/>
      <c r="CG302" s="690"/>
      <c r="CH302" s="690"/>
      <c r="CI302" s="690"/>
      <c r="CJ302" s="690"/>
      <c r="CK302" s="690"/>
      <c r="CL302" s="690"/>
      <c r="CM302" s="690"/>
      <c r="CN302" s="690"/>
      <c r="CO302" s="690"/>
      <c r="CP302" s="690"/>
      <c r="CQ302" s="690"/>
      <c r="CR302" s="690"/>
      <c r="CS302" s="690"/>
      <c r="CT302" s="690"/>
      <c r="CU302" s="690"/>
      <c r="CV302" s="690"/>
      <c r="CW302" s="690"/>
      <c r="CX302" s="690"/>
      <c r="CY302" s="690"/>
      <c r="CZ302" s="690"/>
      <c r="DA302" s="690"/>
      <c r="DB302" s="690"/>
      <c r="DC302" s="690"/>
    </row>
    <row r="303" spans="1:107" s="630" customFormat="1" ht="12.75" hidden="1" customHeight="1">
      <c r="A303" s="504"/>
      <c r="B303" s="636" t="str">
        <f t="shared" si="115"/>
        <v/>
      </c>
      <c r="C303" s="628" t="str">
        <f t="shared" si="110"/>
        <v>E3b - Engine Mounted Block Heater Controls</v>
      </c>
      <c r="D303" s="628" t="str">
        <f t="shared" si="124"/>
        <v/>
      </c>
      <c r="E303" s="628" t="str">
        <f t="shared" si="124"/>
        <v/>
      </c>
      <c r="F303" s="628" t="str">
        <f t="shared" si="124"/>
        <v/>
      </c>
      <c r="G303" s="628" t="str">
        <f t="shared" si="124"/>
        <v/>
      </c>
      <c r="H303" s="628" t="str">
        <f t="shared" si="124"/>
        <v/>
      </c>
      <c r="I303" s="628" t="str">
        <f t="shared" si="124"/>
        <v/>
      </c>
      <c r="J303" s="628" t="str">
        <f t="shared" si="124"/>
        <v/>
      </c>
      <c r="K303" s="628" t="str">
        <f t="shared" si="124"/>
        <v/>
      </c>
      <c r="L303" s="628" t="str">
        <f t="shared" ref="L303:AI303" si="127">IF(L87="","",L87)</f>
        <v/>
      </c>
      <c r="M303" s="628" t="str">
        <f t="shared" si="127"/>
        <v/>
      </c>
      <c r="N303" s="628" t="str">
        <f t="shared" si="127"/>
        <v/>
      </c>
      <c r="O303" s="628" t="str">
        <f t="shared" si="127"/>
        <v/>
      </c>
      <c r="P303" s="628" t="str">
        <f t="shared" si="127"/>
        <v/>
      </c>
      <c r="Q303" s="628" t="str">
        <f t="shared" si="127"/>
        <v/>
      </c>
      <c r="R303" s="628" t="str">
        <f t="shared" si="127"/>
        <v/>
      </c>
      <c r="S303" s="628" t="str">
        <f t="shared" si="127"/>
        <v/>
      </c>
      <c r="T303" s="628" t="str">
        <f t="shared" si="127"/>
        <v/>
      </c>
      <c r="U303" s="628" t="str">
        <f t="shared" si="127"/>
        <v/>
      </c>
      <c r="V303" s="628" t="str">
        <f t="shared" si="127"/>
        <v xml:space="preserve">Total Eligible: </v>
      </c>
      <c r="W303" s="628" t="str">
        <f t="shared" si="127"/>
        <v/>
      </c>
      <c r="X303" s="628" t="str">
        <f t="shared" si="127"/>
        <v/>
      </c>
      <c r="Y303" s="628" t="str">
        <f t="shared" si="127"/>
        <v>unit(s)</v>
      </c>
      <c r="Z303" s="628" t="str">
        <f t="shared" si="127"/>
        <v/>
      </c>
      <c r="AA303" s="628" t="str">
        <f t="shared" si="127"/>
        <v/>
      </c>
      <c r="AB303" s="628" t="str">
        <f t="shared" si="127"/>
        <v/>
      </c>
      <c r="AC303" s="628" t="str">
        <f t="shared" si="127"/>
        <v/>
      </c>
      <c r="AD303" s="628" t="str">
        <f t="shared" si="127"/>
        <v>x $100 per unit=</v>
      </c>
      <c r="AE303" s="628" t="str">
        <f t="shared" si="127"/>
        <v>$</v>
      </c>
      <c r="AF303" s="628" t="str">
        <f t="shared" si="127"/>
        <v/>
      </c>
      <c r="AG303" s="628" t="str">
        <f t="shared" si="127"/>
        <v/>
      </c>
      <c r="AH303" s="628" t="str">
        <f t="shared" si="127"/>
        <v/>
      </c>
      <c r="AI303" s="638" t="str">
        <f t="shared" si="127"/>
        <v/>
      </c>
      <c r="AJ303" s="504"/>
      <c r="AK303" s="627"/>
      <c r="AL303" s="629"/>
      <c r="AM303" s="627"/>
      <c r="AN303" s="627"/>
      <c r="AO303" s="627"/>
      <c r="AP303" s="627"/>
      <c r="AQ303" s="627"/>
      <c r="AR303" s="627"/>
      <c r="AS303" s="627"/>
      <c r="AT303" s="627"/>
      <c r="AU303" s="627"/>
      <c r="AV303" s="627"/>
      <c r="AW303" s="627"/>
      <c r="AX303" s="627"/>
      <c r="AY303" s="627"/>
      <c r="AZ303" s="627"/>
      <c r="BA303" s="627"/>
      <c r="BB303" s="627"/>
      <c r="BC303" s="627"/>
      <c r="BD303" s="627"/>
      <c r="BE303" s="627"/>
      <c r="BF303" s="627"/>
      <c r="BG303" s="627"/>
      <c r="BH303" s="627"/>
      <c r="BI303" s="627"/>
      <c r="BJ303" s="627"/>
      <c r="BK303" s="627"/>
      <c r="BL303" s="627"/>
      <c r="BM303" s="627"/>
      <c r="BN303" s="627"/>
      <c r="BO303" s="627"/>
      <c r="BP303" s="627"/>
      <c r="BQ303" s="627"/>
      <c r="BR303" s="627"/>
      <c r="BS303" s="627"/>
      <c r="BT303" s="627"/>
      <c r="BU303" s="627"/>
      <c r="BV303" s="627"/>
      <c r="BW303" s="627"/>
      <c r="BX303" s="627"/>
      <c r="BY303" s="627"/>
      <c r="BZ303" s="627"/>
      <c r="CA303" s="690"/>
      <c r="CB303" s="690"/>
      <c r="CC303" s="690"/>
      <c r="CD303" s="690"/>
      <c r="CE303" s="690"/>
      <c r="CF303" s="690"/>
      <c r="CG303" s="690"/>
      <c r="CH303" s="690"/>
      <c r="CI303" s="690"/>
      <c r="CJ303" s="690"/>
      <c r="CK303" s="690"/>
      <c r="CL303" s="690"/>
      <c r="CM303" s="690"/>
      <c r="CN303" s="690"/>
      <c r="CO303" s="690"/>
      <c r="CP303" s="690"/>
      <c r="CQ303" s="690"/>
      <c r="CR303" s="690"/>
      <c r="CS303" s="690"/>
      <c r="CT303" s="690"/>
      <c r="CU303" s="690"/>
      <c r="CV303" s="690"/>
      <c r="CW303" s="690"/>
      <c r="CX303" s="690"/>
      <c r="CY303" s="690"/>
      <c r="CZ303" s="690"/>
      <c r="DA303" s="690"/>
      <c r="DB303" s="690"/>
      <c r="DC303" s="690"/>
    </row>
    <row r="304" spans="1:107" s="630" customFormat="1" ht="12.75" hidden="1" customHeight="1">
      <c r="A304" s="504"/>
      <c r="B304" s="636" t="str">
        <f t="shared" si="115"/>
        <v/>
      </c>
      <c r="C304" s="628" t="str">
        <f t="shared" si="110"/>
        <v/>
      </c>
      <c r="D304" s="628" t="str">
        <f t="shared" si="124"/>
        <v/>
      </c>
      <c r="E304" s="628" t="str">
        <f t="shared" si="124"/>
        <v/>
      </c>
      <c r="F304" s="628" t="str">
        <f t="shared" si="124"/>
        <v/>
      </c>
      <c r="G304" s="628" t="str">
        <f t="shared" si="124"/>
        <v/>
      </c>
      <c r="H304" s="628" t="str">
        <f t="shared" si="124"/>
        <v/>
      </c>
      <c r="I304" s="628" t="str">
        <f t="shared" si="124"/>
        <v/>
      </c>
      <c r="J304" s="628" t="str">
        <f t="shared" si="124"/>
        <v/>
      </c>
      <c r="K304" s="628" t="str">
        <f t="shared" si="124"/>
        <v/>
      </c>
      <c r="L304" s="628" t="str">
        <f t="shared" ref="L304:AI304" si="128">IF(L88="","",L88)</f>
        <v/>
      </c>
      <c r="M304" s="628" t="str">
        <f t="shared" si="128"/>
        <v/>
      </c>
      <c r="N304" s="628" t="str">
        <f t="shared" si="128"/>
        <v/>
      </c>
      <c r="O304" s="628" t="str">
        <f t="shared" si="128"/>
        <v/>
      </c>
      <c r="P304" s="628" t="str">
        <f t="shared" si="128"/>
        <v/>
      </c>
      <c r="Q304" s="628" t="str">
        <f t="shared" si="128"/>
        <v/>
      </c>
      <c r="R304" s="628" t="str">
        <f t="shared" si="128"/>
        <v/>
      </c>
      <c r="S304" s="628" t="str">
        <f t="shared" si="128"/>
        <v/>
      </c>
      <c r="T304" s="628" t="str">
        <f t="shared" si="128"/>
        <v/>
      </c>
      <c r="U304" s="628" t="str">
        <f t="shared" si="128"/>
        <v/>
      </c>
      <c r="V304" s="628" t="str">
        <f t="shared" si="128"/>
        <v/>
      </c>
      <c r="W304" s="628" t="str">
        <f t="shared" si="128"/>
        <v/>
      </c>
      <c r="X304" s="628" t="str">
        <f t="shared" si="128"/>
        <v/>
      </c>
      <c r="Y304" s="628" t="str">
        <f t="shared" si="128"/>
        <v/>
      </c>
      <c r="Z304" s="628" t="str">
        <f t="shared" si="128"/>
        <v/>
      </c>
      <c r="AA304" s="628" t="str">
        <f t="shared" si="128"/>
        <v/>
      </c>
      <c r="AB304" s="628" t="str">
        <f t="shared" si="128"/>
        <v/>
      </c>
      <c r="AC304" s="628" t="str">
        <f t="shared" si="128"/>
        <v/>
      </c>
      <c r="AD304" s="628" t="str">
        <f t="shared" si="128"/>
        <v/>
      </c>
      <c r="AE304" s="628" t="str">
        <f t="shared" si="128"/>
        <v/>
      </c>
      <c r="AF304" s="628" t="str">
        <f t="shared" si="128"/>
        <v/>
      </c>
      <c r="AG304" s="628" t="str">
        <f t="shared" si="128"/>
        <v/>
      </c>
      <c r="AH304" s="628" t="str">
        <f t="shared" si="128"/>
        <v/>
      </c>
      <c r="AI304" s="638" t="str">
        <f t="shared" si="128"/>
        <v/>
      </c>
      <c r="AJ304" s="504"/>
      <c r="AK304" s="627"/>
      <c r="AL304" s="629"/>
      <c r="AM304" s="627"/>
      <c r="AN304" s="627"/>
      <c r="AO304" s="627"/>
      <c r="AP304" s="627"/>
      <c r="AQ304" s="627"/>
      <c r="AR304" s="627"/>
      <c r="AS304" s="627"/>
      <c r="AT304" s="627"/>
      <c r="AU304" s="627"/>
      <c r="AV304" s="627"/>
      <c r="AW304" s="627"/>
      <c r="AX304" s="627"/>
      <c r="AY304" s="627"/>
      <c r="AZ304" s="627"/>
      <c r="BA304" s="627"/>
      <c r="BB304" s="627"/>
      <c r="BC304" s="627"/>
      <c r="BD304" s="627"/>
      <c r="BE304" s="627"/>
      <c r="BF304" s="627"/>
      <c r="BG304" s="627"/>
      <c r="BH304" s="627"/>
      <c r="BI304" s="627"/>
      <c r="BJ304" s="627"/>
      <c r="BK304" s="627"/>
      <c r="BL304" s="627"/>
      <c r="BM304" s="627"/>
      <c r="BN304" s="627"/>
      <c r="BO304" s="627"/>
      <c r="BP304" s="627"/>
      <c r="BQ304" s="627"/>
      <c r="BR304" s="627"/>
      <c r="BS304" s="627"/>
      <c r="BT304" s="627"/>
      <c r="BU304" s="627"/>
      <c r="BV304" s="627"/>
      <c r="BW304" s="627"/>
      <c r="BX304" s="627"/>
      <c r="BY304" s="627"/>
      <c r="BZ304" s="627"/>
      <c r="CA304" s="690"/>
      <c r="CB304" s="690"/>
      <c r="CC304" s="690"/>
      <c r="CD304" s="690"/>
      <c r="CE304" s="690"/>
      <c r="CF304" s="690"/>
      <c r="CG304" s="690"/>
      <c r="CH304" s="690"/>
      <c r="CI304" s="690"/>
      <c r="CJ304" s="690"/>
      <c r="CK304" s="690"/>
      <c r="CL304" s="690"/>
      <c r="CM304" s="690"/>
      <c r="CN304" s="690"/>
      <c r="CO304" s="690"/>
      <c r="CP304" s="690"/>
      <c r="CQ304" s="690"/>
      <c r="CR304" s="690"/>
      <c r="CS304" s="690"/>
      <c r="CT304" s="690"/>
      <c r="CU304" s="690"/>
      <c r="CV304" s="690"/>
      <c r="CW304" s="690"/>
      <c r="CX304" s="690"/>
      <c r="CY304" s="690"/>
      <c r="CZ304" s="690"/>
      <c r="DA304" s="690"/>
      <c r="DB304" s="690"/>
      <c r="DC304" s="690"/>
    </row>
    <row r="305" spans="1:107" s="630" customFormat="1" ht="12.75" hidden="1" customHeight="1">
      <c r="A305" s="504"/>
      <c r="B305" s="636" t="str">
        <f t="shared" si="115"/>
        <v/>
      </c>
      <c r="C305" s="628" t="str">
        <f t="shared" si="110"/>
        <v/>
      </c>
      <c r="D305" s="628" t="str">
        <f t="shared" si="124"/>
        <v/>
      </c>
      <c r="E305" s="628" t="str">
        <f t="shared" si="124"/>
        <v/>
      </c>
      <c r="F305" s="628" t="str">
        <f t="shared" si="124"/>
        <v/>
      </c>
      <c r="G305" s="628" t="str">
        <f t="shared" si="124"/>
        <v/>
      </c>
      <c r="H305" s="628" t="str">
        <f t="shared" si="124"/>
        <v/>
      </c>
      <c r="I305" s="628" t="str">
        <f t="shared" si="124"/>
        <v/>
      </c>
      <c r="J305" s="628" t="str">
        <f t="shared" si="124"/>
        <v/>
      </c>
      <c r="K305" s="628" t="str">
        <f t="shared" si="124"/>
        <v/>
      </c>
      <c r="L305" s="628" t="str">
        <f t="shared" ref="L305:AI305" si="129">IF(L89="","",L89)</f>
        <v/>
      </c>
      <c r="M305" s="628" t="str">
        <f t="shared" si="129"/>
        <v/>
      </c>
      <c r="N305" s="628" t="str">
        <f t="shared" si="129"/>
        <v/>
      </c>
      <c r="O305" s="628" t="str">
        <f t="shared" si="129"/>
        <v/>
      </c>
      <c r="P305" s="628" t="str">
        <f t="shared" si="129"/>
        <v/>
      </c>
      <c r="Q305" s="628" t="str">
        <f t="shared" si="129"/>
        <v/>
      </c>
      <c r="R305" s="628" t="str">
        <f t="shared" si="129"/>
        <v/>
      </c>
      <c r="S305" s="628" t="str">
        <f t="shared" si="129"/>
        <v/>
      </c>
      <c r="T305" s="628" t="str">
        <f t="shared" si="129"/>
        <v/>
      </c>
      <c r="U305" s="628" t="str">
        <f t="shared" si="129"/>
        <v/>
      </c>
      <c r="V305" s="628" t="str">
        <f t="shared" si="129"/>
        <v/>
      </c>
      <c r="W305" s="628" t="str">
        <f t="shared" si="129"/>
        <v/>
      </c>
      <c r="X305" s="628" t="str">
        <f t="shared" si="129"/>
        <v/>
      </c>
      <c r="Y305" s="628" t="str">
        <f t="shared" si="129"/>
        <v/>
      </c>
      <c r="Z305" s="628" t="str">
        <f t="shared" si="129"/>
        <v/>
      </c>
      <c r="AA305" s="628" t="str">
        <f t="shared" si="129"/>
        <v/>
      </c>
      <c r="AB305" s="628" t="str">
        <f t="shared" si="129"/>
        <v/>
      </c>
      <c r="AC305" s="628" t="str">
        <f t="shared" si="129"/>
        <v/>
      </c>
      <c r="AD305" s="628" t="str">
        <f t="shared" si="129"/>
        <v/>
      </c>
      <c r="AE305" s="628" t="str">
        <f t="shared" si="129"/>
        <v/>
      </c>
      <c r="AF305" s="628" t="str">
        <f t="shared" si="129"/>
        <v/>
      </c>
      <c r="AG305" s="628" t="str">
        <f t="shared" si="129"/>
        <v/>
      </c>
      <c r="AH305" s="628" t="str">
        <f t="shared" si="129"/>
        <v/>
      </c>
      <c r="AI305" s="638" t="str">
        <f t="shared" si="129"/>
        <v/>
      </c>
      <c r="AJ305" s="504"/>
      <c r="AK305" s="627"/>
      <c r="AL305" s="629"/>
      <c r="AM305" s="627"/>
      <c r="AN305" s="627"/>
      <c r="AO305" s="627"/>
      <c r="AP305" s="627"/>
      <c r="AQ305" s="627"/>
      <c r="AR305" s="627"/>
      <c r="AS305" s="627"/>
      <c r="AT305" s="627"/>
      <c r="AU305" s="627"/>
      <c r="AV305" s="627"/>
      <c r="AW305" s="627"/>
      <c r="AX305" s="627"/>
      <c r="AY305" s="627"/>
      <c r="AZ305" s="627"/>
      <c r="BA305" s="627"/>
      <c r="BB305" s="627"/>
      <c r="BC305" s="627"/>
      <c r="BD305" s="627"/>
      <c r="BE305" s="627"/>
      <c r="BF305" s="627"/>
      <c r="BG305" s="627"/>
      <c r="BH305" s="627"/>
      <c r="BI305" s="627"/>
      <c r="BJ305" s="627"/>
      <c r="BK305" s="627"/>
      <c r="BL305" s="627"/>
      <c r="BM305" s="627"/>
      <c r="BN305" s="627"/>
      <c r="BO305" s="627"/>
      <c r="BP305" s="627"/>
      <c r="BQ305" s="627"/>
      <c r="BR305" s="627"/>
      <c r="BS305" s="627"/>
      <c r="BT305" s="627"/>
      <c r="BU305" s="627"/>
      <c r="BV305" s="627"/>
      <c r="BW305" s="627"/>
      <c r="BX305" s="627"/>
      <c r="BY305" s="627"/>
      <c r="BZ305" s="627"/>
      <c r="CA305" s="690"/>
      <c r="CB305" s="690"/>
      <c r="CC305" s="690"/>
      <c r="CD305" s="690"/>
      <c r="CE305" s="690"/>
      <c r="CF305" s="690"/>
      <c r="CG305" s="690"/>
      <c r="CH305" s="690"/>
      <c r="CI305" s="690"/>
      <c r="CJ305" s="690"/>
      <c r="CK305" s="690"/>
      <c r="CL305" s="690"/>
      <c r="CM305" s="690"/>
      <c r="CN305" s="690"/>
      <c r="CO305" s="690"/>
      <c r="CP305" s="690"/>
      <c r="CQ305" s="690"/>
      <c r="CR305" s="690"/>
      <c r="CS305" s="690"/>
      <c r="CT305" s="690"/>
      <c r="CU305" s="690"/>
      <c r="CV305" s="690"/>
      <c r="CW305" s="690"/>
      <c r="CX305" s="690"/>
      <c r="CY305" s="690"/>
      <c r="CZ305" s="690"/>
      <c r="DA305" s="690"/>
      <c r="DB305" s="690"/>
      <c r="DC305" s="690"/>
    </row>
    <row r="306" spans="1:107" s="630" customFormat="1" ht="12.75" hidden="1" customHeight="1">
      <c r="A306" s="504"/>
      <c r="B306" s="636" t="str">
        <f t="shared" si="115"/>
        <v>Refrigeration (Commercial Systems only - Ammonia systems do not qualify for the prescriptive offering on R1)</v>
      </c>
      <c r="C306" s="628" t="str">
        <f t="shared" si="110"/>
        <v/>
      </c>
      <c r="D306" s="628" t="str">
        <f t="shared" si="124"/>
        <v/>
      </c>
      <c r="E306" s="628" t="str">
        <f t="shared" si="124"/>
        <v/>
      </c>
      <c r="F306" s="628" t="str">
        <f t="shared" si="124"/>
        <v/>
      </c>
      <c r="G306" s="628" t="str">
        <f t="shared" si="124"/>
        <v/>
      </c>
      <c r="H306" s="628" t="str">
        <f t="shared" si="124"/>
        <v/>
      </c>
      <c r="I306" s="628" t="str">
        <f t="shared" si="124"/>
        <v/>
      </c>
      <c r="J306" s="628" t="str">
        <f t="shared" si="124"/>
        <v/>
      </c>
      <c r="K306" s="628" t="str">
        <f t="shared" si="124"/>
        <v/>
      </c>
      <c r="L306" s="628" t="str">
        <f t="shared" ref="L306:AI306" si="130">IF(L90="","",L90)</f>
        <v/>
      </c>
      <c r="M306" s="628" t="str">
        <f t="shared" si="130"/>
        <v/>
      </c>
      <c r="N306" s="628" t="str">
        <f t="shared" si="130"/>
        <v/>
      </c>
      <c r="O306" s="628" t="str">
        <f t="shared" si="130"/>
        <v/>
      </c>
      <c r="P306" s="628" t="str">
        <f t="shared" si="130"/>
        <v/>
      </c>
      <c r="Q306" s="628" t="str">
        <f t="shared" si="130"/>
        <v/>
      </c>
      <c r="R306" s="628" t="str">
        <f t="shared" si="130"/>
        <v/>
      </c>
      <c r="S306" s="628" t="str">
        <f t="shared" si="130"/>
        <v/>
      </c>
      <c r="T306" s="628" t="str">
        <f t="shared" si="130"/>
        <v/>
      </c>
      <c r="U306" s="628" t="str">
        <f t="shared" si="130"/>
        <v/>
      </c>
      <c r="V306" s="628" t="str">
        <f t="shared" si="130"/>
        <v/>
      </c>
      <c r="W306" s="628" t="str">
        <f t="shared" si="130"/>
        <v/>
      </c>
      <c r="X306" s="628" t="str">
        <f t="shared" si="130"/>
        <v/>
      </c>
      <c r="Y306" s="628" t="str">
        <f t="shared" si="130"/>
        <v/>
      </c>
      <c r="Z306" s="628" t="str">
        <f t="shared" si="130"/>
        <v/>
      </c>
      <c r="AA306" s="628" t="str">
        <f t="shared" si="130"/>
        <v/>
      </c>
      <c r="AB306" s="628" t="str">
        <f t="shared" si="130"/>
        <v/>
      </c>
      <c r="AC306" s="628" t="str">
        <f t="shared" si="130"/>
        <v/>
      </c>
      <c r="AD306" s="628" t="str">
        <f t="shared" si="130"/>
        <v/>
      </c>
      <c r="AE306" s="628" t="str">
        <f t="shared" si="130"/>
        <v/>
      </c>
      <c r="AF306" s="628" t="str">
        <f t="shared" si="130"/>
        <v/>
      </c>
      <c r="AG306" s="628" t="str">
        <f t="shared" si="130"/>
        <v/>
      </c>
      <c r="AH306" s="628" t="str">
        <f t="shared" si="130"/>
        <v/>
      </c>
      <c r="AI306" s="638" t="str">
        <f t="shared" si="130"/>
        <v/>
      </c>
      <c r="AJ306" s="504"/>
      <c r="AK306" s="627"/>
      <c r="AL306" s="629"/>
      <c r="AM306" s="627"/>
      <c r="AN306" s="627"/>
      <c r="AO306" s="627"/>
      <c r="AP306" s="627"/>
      <c r="AQ306" s="627"/>
      <c r="AR306" s="627"/>
      <c r="AS306" s="627"/>
      <c r="AT306" s="627"/>
      <c r="AU306" s="627"/>
      <c r="AV306" s="627"/>
      <c r="AW306" s="627"/>
      <c r="AX306" s="627"/>
      <c r="AY306" s="627"/>
      <c r="AZ306" s="627"/>
      <c r="BA306" s="627"/>
      <c r="BB306" s="627"/>
      <c r="BC306" s="627"/>
      <c r="BD306" s="627"/>
      <c r="BE306" s="627"/>
      <c r="BF306" s="627"/>
      <c r="BG306" s="627"/>
      <c r="BH306" s="627"/>
      <c r="BI306" s="627"/>
      <c r="BJ306" s="627"/>
      <c r="BK306" s="627"/>
      <c r="BL306" s="627"/>
      <c r="BM306" s="627"/>
      <c r="BN306" s="627"/>
      <c r="BO306" s="627"/>
      <c r="BP306" s="627"/>
      <c r="BQ306" s="627"/>
      <c r="BR306" s="627"/>
      <c r="BS306" s="627"/>
      <c r="BT306" s="627"/>
      <c r="BU306" s="627"/>
      <c r="BV306" s="627"/>
      <c r="BW306" s="627"/>
      <c r="BX306" s="627"/>
      <c r="BY306" s="627"/>
      <c r="BZ306" s="627"/>
      <c r="CA306" s="690"/>
      <c r="CB306" s="690"/>
      <c r="CC306" s="690"/>
      <c r="CD306" s="690"/>
      <c r="CE306" s="690"/>
      <c r="CF306" s="690"/>
      <c r="CG306" s="690"/>
      <c r="CH306" s="690"/>
      <c r="CI306" s="690"/>
      <c r="CJ306" s="690"/>
      <c r="CK306" s="690"/>
      <c r="CL306" s="690"/>
      <c r="CM306" s="690"/>
      <c r="CN306" s="690"/>
      <c r="CO306" s="690"/>
      <c r="CP306" s="690"/>
      <c r="CQ306" s="690"/>
      <c r="CR306" s="690"/>
      <c r="CS306" s="690"/>
      <c r="CT306" s="690"/>
      <c r="CU306" s="690"/>
      <c r="CV306" s="690"/>
      <c r="CW306" s="690"/>
      <c r="CX306" s="690"/>
      <c r="CY306" s="690"/>
      <c r="CZ306" s="690"/>
      <c r="DA306" s="690"/>
      <c r="DB306" s="690"/>
      <c r="DC306" s="690"/>
    </row>
    <row r="307" spans="1:107" s="630" customFormat="1" ht="12.75" hidden="1" customHeight="1">
      <c r="A307" s="504"/>
      <c r="B307" s="636" t="str">
        <f t="shared" si="115"/>
        <v/>
      </c>
      <c r="C307" s="628" t="str">
        <f t="shared" si="110"/>
        <v/>
      </c>
      <c r="D307" s="628" t="str">
        <f t="shared" si="124"/>
        <v/>
      </c>
      <c r="E307" s="628" t="str">
        <f t="shared" si="124"/>
        <v/>
      </c>
      <c r="F307" s="628" t="str">
        <f t="shared" si="124"/>
        <v/>
      </c>
      <c r="G307" s="628" t="str">
        <f t="shared" si="124"/>
        <v/>
      </c>
      <c r="H307" s="628" t="str">
        <f t="shared" si="124"/>
        <v/>
      </c>
      <c r="I307" s="628" t="str">
        <f t="shared" si="124"/>
        <v/>
      </c>
      <c r="J307" s="628" t="str">
        <f t="shared" si="124"/>
        <v/>
      </c>
      <c r="K307" s="628" t="str">
        <f t="shared" si="124"/>
        <v/>
      </c>
      <c r="L307" s="628" t="str">
        <f t="shared" ref="L307:AI307" si="131">IF(L91="","",L91)</f>
        <v/>
      </c>
      <c r="M307" s="628" t="str">
        <f t="shared" si="131"/>
        <v/>
      </c>
      <c r="N307" s="628" t="str">
        <f t="shared" si="131"/>
        <v/>
      </c>
      <c r="O307" s="628" t="str">
        <f t="shared" si="131"/>
        <v/>
      </c>
      <c r="P307" s="628" t="str">
        <f t="shared" si="131"/>
        <v/>
      </c>
      <c r="Q307" s="628" t="str">
        <f t="shared" si="131"/>
        <v/>
      </c>
      <c r="R307" s="628" t="str">
        <f t="shared" si="131"/>
        <v/>
      </c>
      <c r="S307" s="628" t="str">
        <f t="shared" si="131"/>
        <v/>
      </c>
      <c r="T307" s="628" t="str">
        <f t="shared" si="131"/>
        <v/>
      </c>
      <c r="U307" s="628" t="str">
        <f t="shared" si="131"/>
        <v/>
      </c>
      <c r="V307" s="628" t="str">
        <f t="shared" si="131"/>
        <v/>
      </c>
      <c r="W307" s="628" t="str">
        <f t="shared" si="131"/>
        <v/>
      </c>
      <c r="X307" s="628" t="str">
        <f t="shared" si="131"/>
        <v/>
      </c>
      <c r="Y307" s="628" t="str">
        <f t="shared" si="131"/>
        <v/>
      </c>
      <c r="Z307" s="628" t="str">
        <f t="shared" si="131"/>
        <v/>
      </c>
      <c r="AA307" s="628" t="str">
        <f t="shared" si="131"/>
        <v/>
      </c>
      <c r="AB307" s="628" t="str">
        <f t="shared" si="131"/>
        <v/>
      </c>
      <c r="AC307" s="628" t="str">
        <f t="shared" si="131"/>
        <v/>
      </c>
      <c r="AD307" s="628" t="str">
        <f t="shared" si="131"/>
        <v/>
      </c>
      <c r="AE307" s="628" t="str">
        <f t="shared" si="131"/>
        <v/>
      </c>
      <c r="AF307" s="628" t="str">
        <f t="shared" si="131"/>
        <v>Incentive</v>
      </c>
      <c r="AG307" s="628" t="str">
        <f t="shared" si="131"/>
        <v/>
      </c>
      <c r="AH307" s="628" t="str">
        <f t="shared" si="131"/>
        <v/>
      </c>
      <c r="AI307" s="638" t="str">
        <f t="shared" si="131"/>
        <v/>
      </c>
      <c r="AJ307" s="504"/>
      <c r="AK307" s="627"/>
      <c r="AL307" s="629"/>
      <c r="AM307" s="627"/>
      <c r="AN307" s="627"/>
      <c r="AO307" s="627"/>
      <c r="AP307" s="627"/>
      <c r="AQ307" s="627"/>
      <c r="AR307" s="627"/>
      <c r="AS307" s="627"/>
      <c r="AT307" s="627"/>
      <c r="AU307" s="627"/>
      <c r="AV307" s="627"/>
      <c r="AW307" s="627"/>
      <c r="AX307" s="627"/>
      <c r="AY307" s="627"/>
      <c r="AZ307" s="627"/>
      <c r="BA307" s="627"/>
      <c r="BB307" s="627"/>
      <c r="BC307" s="627"/>
      <c r="BD307" s="627"/>
      <c r="BE307" s="627"/>
      <c r="BF307" s="627"/>
      <c r="BG307" s="627"/>
      <c r="BH307" s="627"/>
      <c r="BI307" s="627"/>
      <c r="BJ307" s="627"/>
      <c r="BK307" s="627"/>
      <c r="BL307" s="627"/>
      <c r="BM307" s="627"/>
      <c r="BN307" s="627"/>
      <c r="BO307" s="627"/>
      <c r="BP307" s="627"/>
      <c r="BQ307" s="627"/>
      <c r="BR307" s="627"/>
      <c r="BS307" s="627"/>
      <c r="BT307" s="627"/>
      <c r="BU307" s="627"/>
      <c r="BV307" s="627"/>
      <c r="BW307" s="627"/>
      <c r="BX307" s="627"/>
      <c r="BY307" s="627"/>
      <c r="BZ307" s="627"/>
      <c r="CA307" s="690"/>
      <c r="CB307" s="690"/>
      <c r="CC307" s="690"/>
      <c r="CD307" s="690"/>
      <c r="CE307" s="690"/>
      <c r="CF307" s="690"/>
      <c r="CG307" s="690"/>
      <c r="CH307" s="690"/>
      <c r="CI307" s="690"/>
      <c r="CJ307" s="690"/>
      <c r="CK307" s="690"/>
      <c r="CL307" s="690"/>
      <c r="CM307" s="690"/>
      <c r="CN307" s="690"/>
      <c r="CO307" s="690"/>
      <c r="CP307" s="690"/>
      <c r="CQ307" s="690"/>
      <c r="CR307" s="690"/>
      <c r="CS307" s="690"/>
      <c r="CT307" s="690"/>
      <c r="CU307" s="690"/>
      <c r="CV307" s="690"/>
      <c r="CW307" s="690"/>
      <c r="CX307" s="690"/>
      <c r="CY307" s="690"/>
      <c r="CZ307" s="690"/>
      <c r="DA307" s="690"/>
      <c r="DB307" s="690"/>
      <c r="DC307" s="690"/>
    </row>
    <row r="308" spans="1:107" s="630" customFormat="1" ht="12.75" hidden="1" customHeight="1">
      <c r="A308" s="504"/>
      <c r="B308" s="636" t="str">
        <f t="shared" si="115"/>
        <v/>
      </c>
      <c r="C308" s="628" t="str">
        <f t="shared" si="110"/>
        <v xml:space="preserve"> R1 - Efficient Condensers*</v>
      </c>
      <c r="D308" s="628" t="str">
        <f t="shared" si="124"/>
        <v/>
      </c>
      <c r="E308" s="628" t="str">
        <f t="shared" si="124"/>
        <v/>
      </c>
      <c r="F308" s="628" t="str">
        <f t="shared" si="124"/>
        <v/>
      </c>
      <c r="G308" s="628" t="str">
        <f t="shared" si="124"/>
        <v/>
      </c>
      <c r="H308" s="628" t="str">
        <f t="shared" si="124"/>
        <v/>
      </c>
      <c r="I308" s="628" t="str">
        <f t="shared" si="124"/>
        <v/>
      </c>
      <c r="J308" s="628" t="str">
        <f t="shared" si="124"/>
        <v/>
      </c>
      <c r="K308" s="628" t="str">
        <f t="shared" si="124"/>
        <v/>
      </c>
      <c r="L308" s="628" t="str">
        <f t="shared" ref="L308:AI308" si="132">IF(L92="","",L92)</f>
        <v/>
      </c>
      <c r="M308" s="628" t="str">
        <f t="shared" si="132"/>
        <v/>
      </c>
      <c r="N308" s="628" t="str">
        <f t="shared" si="132"/>
        <v/>
      </c>
      <c r="O308" s="628" t="str">
        <f t="shared" si="132"/>
        <v/>
      </c>
      <c r="P308" s="628" t="str">
        <f t="shared" si="132"/>
        <v/>
      </c>
      <c r="Q308" s="628" t="str">
        <f t="shared" si="132"/>
        <v/>
      </c>
      <c r="R308" s="628" t="str">
        <f t="shared" si="132"/>
        <v/>
      </c>
      <c r="S308" s="628" t="str">
        <f t="shared" si="132"/>
        <v/>
      </c>
      <c r="T308" s="628" t="str">
        <f t="shared" si="132"/>
        <v/>
      </c>
      <c r="U308" s="628" t="str">
        <f t="shared" si="132"/>
        <v/>
      </c>
      <c r="V308" s="628" t="str">
        <f t="shared" si="132"/>
        <v xml:space="preserve">Total Eligible: </v>
      </c>
      <c r="W308" s="628" t="str">
        <f t="shared" si="132"/>
        <v/>
      </c>
      <c r="X308" s="628" t="str">
        <f t="shared" si="132"/>
        <v/>
      </c>
      <c r="Y308" s="628" t="str">
        <f t="shared" si="132"/>
        <v>ton</v>
      </c>
      <c r="Z308" s="628" t="str">
        <f t="shared" si="132"/>
        <v/>
      </c>
      <c r="AA308" s="628" t="str">
        <f t="shared" si="132"/>
        <v/>
      </c>
      <c r="AB308" s="628" t="str">
        <f t="shared" si="132"/>
        <v/>
      </c>
      <c r="AC308" s="628" t="str">
        <f t="shared" si="132"/>
        <v/>
      </c>
      <c r="AD308" s="628" t="str">
        <f t="shared" si="132"/>
        <v>x $20 per ton=</v>
      </c>
      <c r="AE308" s="628" t="str">
        <f t="shared" si="132"/>
        <v>$</v>
      </c>
      <c r="AF308" s="628" t="str">
        <f t="shared" si="132"/>
        <v/>
      </c>
      <c r="AG308" s="628" t="str">
        <f t="shared" si="132"/>
        <v/>
      </c>
      <c r="AH308" s="628" t="str">
        <f t="shared" si="132"/>
        <v/>
      </c>
      <c r="AI308" s="638" t="str">
        <f t="shared" si="132"/>
        <v/>
      </c>
      <c r="AJ308" s="504"/>
      <c r="AK308" s="627"/>
      <c r="AL308" s="629"/>
      <c r="AM308" s="627"/>
      <c r="AN308" s="627"/>
      <c r="AO308" s="627"/>
      <c r="AP308" s="627"/>
      <c r="AQ308" s="627"/>
      <c r="AR308" s="627"/>
      <c r="AS308" s="627"/>
      <c r="AT308" s="627"/>
      <c r="AU308" s="627"/>
      <c r="AV308" s="627"/>
      <c r="AW308" s="627"/>
      <c r="AX308" s="627"/>
      <c r="AY308" s="627"/>
      <c r="AZ308" s="627"/>
      <c r="BA308" s="627"/>
      <c r="BB308" s="627"/>
      <c r="BC308" s="627"/>
      <c r="BD308" s="627"/>
      <c r="BE308" s="627"/>
      <c r="BF308" s="627"/>
      <c r="BG308" s="627"/>
      <c r="BH308" s="627"/>
      <c r="BI308" s="627"/>
      <c r="BJ308" s="627"/>
      <c r="BK308" s="627"/>
      <c r="BL308" s="627"/>
      <c r="BM308" s="627"/>
      <c r="BN308" s="627"/>
      <c r="BO308" s="627"/>
      <c r="BP308" s="627"/>
      <c r="BQ308" s="627"/>
      <c r="BR308" s="627"/>
      <c r="BS308" s="627"/>
      <c r="BT308" s="627"/>
      <c r="BU308" s="627"/>
      <c r="BV308" s="627"/>
      <c r="BW308" s="627"/>
      <c r="BX308" s="627"/>
      <c r="BY308" s="627"/>
      <c r="BZ308" s="627"/>
      <c r="CA308" s="690"/>
      <c r="CB308" s="690"/>
      <c r="CC308" s="690"/>
      <c r="CD308" s="690"/>
      <c r="CE308" s="690"/>
      <c r="CF308" s="690"/>
      <c r="CG308" s="690"/>
      <c r="CH308" s="690"/>
      <c r="CI308" s="690"/>
      <c r="CJ308" s="690"/>
      <c r="CK308" s="690"/>
      <c r="CL308" s="690"/>
      <c r="CM308" s="690"/>
      <c r="CN308" s="690"/>
      <c r="CO308" s="690"/>
      <c r="CP308" s="690"/>
      <c r="CQ308" s="690"/>
      <c r="CR308" s="690"/>
      <c r="CS308" s="690"/>
      <c r="CT308" s="690"/>
      <c r="CU308" s="690"/>
      <c r="CV308" s="690"/>
      <c r="CW308" s="690"/>
      <c r="CX308" s="690"/>
      <c r="CY308" s="690"/>
      <c r="CZ308" s="690"/>
      <c r="DA308" s="690"/>
      <c r="DB308" s="690"/>
      <c r="DC308" s="690"/>
    </row>
    <row r="309" spans="1:107" s="630" customFormat="1" ht="12.75" hidden="1" customHeight="1">
      <c r="A309" s="504"/>
      <c r="B309" s="636" t="str">
        <f t="shared" si="115"/>
        <v/>
      </c>
      <c r="C309" s="628" t="str">
        <f t="shared" si="110"/>
        <v xml:space="preserve"> R2a - Automatic High Speed Door: Between Refrigerator &amp; Unrefrigerated Dock</v>
      </c>
      <c r="D309" s="628" t="str">
        <f t="shared" si="124"/>
        <v/>
      </c>
      <c r="E309" s="628" t="str">
        <f t="shared" si="124"/>
        <v/>
      </c>
      <c r="F309" s="628" t="str">
        <f t="shared" si="124"/>
        <v/>
      </c>
      <c r="G309" s="628" t="str">
        <f t="shared" si="124"/>
        <v/>
      </c>
      <c r="H309" s="628" t="str">
        <f t="shared" si="124"/>
        <v/>
      </c>
      <c r="I309" s="628" t="str">
        <f t="shared" si="124"/>
        <v/>
      </c>
      <c r="J309" s="628" t="str">
        <f t="shared" si="124"/>
        <v/>
      </c>
      <c r="K309" s="628" t="str">
        <f t="shared" si="124"/>
        <v/>
      </c>
      <c r="L309" s="628" t="str">
        <f t="shared" ref="L309:R318" si="133">IF(L93="","",L93)</f>
        <v/>
      </c>
      <c r="M309" s="628" t="str">
        <f t="shared" si="133"/>
        <v/>
      </c>
      <c r="N309" s="628" t="str">
        <f t="shared" si="133"/>
        <v/>
      </c>
      <c r="O309" s="628" t="str">
        <f t="shared" si="133"/>
        <v/>
      </c>
      <c r="P309" s="628" t="str">
        <f t="shared" si="133"/>
        <v/>
      </c>
      <c r="Q309" s="628" t="str">
        <f t="shared" si="133"/>
        <v/>
      </c>
      <c r="R309" s="628" t="str">
        <f t="shared" si="133"/>
        <v/>
      </c>
      <c r="S309" s="628" t="str">
        <f t="shared" ref="S309:AI309" si="134">IF(S93="","",S93)</f>
        <v/>
      </c>
      <c r="T309" s="628" t="str">
        <f t="shared" si="134"/>
        <v/>
      </c>
      <c r="U309" s="628" t="str">
        <f t="shared" si="134"/>
        <v/>
      </c>
      <c r="V309" s="628" t="str">
        <f t="shared" si="134"/>
        <v xml:space="preserve">Qty: </v>
      </c>
      <c r="W309" s="628" t="str">
        <f t="shared" si="134"/>
        <v/>
      </c>
      <c r="X309" s="628" t="str">
        <f t="shared" si="134"/>
        <v/>
      </c>
      <c r="Y309" s="628" t="str">
        <f t="shared" si="134"/>
        <v>sq ft</v>
      </c>
      <c r="Z309" s="628" t="str">
        <f t="shared" si="134"/>
        <v/>
      </c>
      <c r="AA309" s="628" t="str">
        <f t="shared" si="134"/>
        <v/>
      </c>
      <c r="AB309" s="628" t="str">
        <f t="shared" si="134"/>
        <v/>
      </c>
      <c r="AC309" s="628" t="str">
        <f t="shared" si="134"/>
        <v/>
      </c>
      <c r="AD309" s="628" t="str">
        <f t="shared" si="134"/>
        <v>x $25 per sq ft of door =</v>
      </c>
      <c r="AE309" s="628" t="str">
        <f t="shared" si="134"/>
        <v>$</v>
      </c>
      <c r="AF309" s="628" t="str">
        <f t="shared" si="134"/>
        <v/>
      </c>
      <c r="AG309" s="628" t="str">
        <f t="shared" si="134"/>
        <v/>
      </c>
      <c r="AH309" s="628" t="str">
        <f t="shared" si="134"/>
        <v/>
      </c>
      <c r="AI309" s="638" t="str">
        <f t="shared" si="134"/>
        <v/>
      </c>
      <c r="AJ309" s="504"/>
      <c r="AK309" s="627"/>
      <c r="AL309" s="629"/>
      <c r="AM309" s="627"/>
      <c r="AN309" s="627"/>
      <c r="AO309" s="627"/>
      <c r="AP309" s="627"/>
      <c r="AQ309" s="627"/>
      <c r="AR309" s="627"/>
      <c r="AS309" s="627"/>
      <c r="AT309" s="627"/>
      <c r="AU309" s="627"/>
      <c r="AV309" s="627"/>
      <c r="AW309" s="627"/>
      <c r="AX309" s="627"/>
      <c r="AY309" s="627"/>
      <c r="AZ309" s="627"/>
      <c r="BA309" s="627"/>
      <c r="BB309" s="627"/>
      <c r="BC309" s="627"/>
      <c r="BD309" s="627"/>
      <c r="BE309" s="627"/>
      <c r="BF309" s="627"/>
      <c r="BG309" s="627"/>
      <c r="BH309" s="627"/>
      <c r="BI309" s="627"/>
      <c r="BJ309" s="627"/>
      <c r="BK309" s="627"/>
      <c r="BL309" s="627"/>
      <c r="BM309" s="627"/>
      <c r="BN309" s="627"/>
      <c r="BO309" s="627"/>
      <c r="BP309" s="627"/>
      <c r="BQ309" s="627"/>
      <c r="BR309" s="627"/>
      <c r="BS309" s="627"/>
      <c r="BT309" s="627"/>
      <c r="BU309" s="627"/>
      <c r="BV309" s="627"/>
      <c r="BW309" s="627"/>
      <c r="BX309" s="627"/>
      <c r="BY309" s="627"/>
      <c r="BZ309" s="627"/>
      <c r="CA309" s="690"/>
      <c r="CB309" s="690"/>
      <c r="CC309" s="690"/>
      <c r="CD309" s="690"/>
      <c r="CE309" s="690"/>
      <c r="CF309" s="690"/>
      <c r="CG309" s="690"/>
      <c r="CH309" s="690"/>
      <c r="CI309" s="690"/>
      <c r="CJ309" s="690"/>
      <c r="CK309" s="690"/>
      <c r="CL309" s="690"/>
      <c r="CM309" s="690"/>
      <c r="CN309" s="690"/>
      <c r="CO309" s="690"/>
      <c r="CP309" s="690"/>
      <c r="CQ309" s="690"/>
      <c r="CR309" s="690"/>
      <c r="CS309" s="690"/>
      <c r="CT309" s="690"/>
      <c r="CU309" s="690"/>
      <c r="CV309" s="690"/>
      <c r="CW309" s="690"/>
      <c r="CX309" s="690"/>
      <c r="CY309" s="690"/>
      <c r="CZ309" s="690"/>
      <c r="DA309" s="690"/>
      <c r="DB309" s="690"/>
      <c r="DC309" s="690"/>
    </row>
    <row r="310" spans="1:107" s="630" customFormat="1" ht="12.75" hidden="1" customHeight="1">
      <c r="A310" s="504"/>
      <c r="B310" s="636" t="str">
        <f t="shared" si="115"/>
        <v/>
      </c>
      <c r="C310" s="628" t="str">
        <f t="shared" si="110"/>
        <v xml:space="preserve"> R2b - Automatic High Speed Door: Between Freezer &amp; Refrigerator</v>
      </c>
      <c r="D310" s="628" t="str">
        <f t="shared" si="124"/>
        <v/>
      </c>
      <c r="E310" s="628" t="str">
        <f t="shared" si="124"/>
        <v/>
      </c>
      <c r="F310" s="628" t="str">
        <f t="shared" si="124"/>
        <v/>
      </c>
      <c r="G310" s="628" t="str">
        <f t="shared" si="124"/>
        <v/>
      </c>
      <c r="H310" s="628" t="str">
        <f t="shared" si="124"/>
        <v/>
      </c>
      <c r="I310" s="628" t="str">
        <f t="shared" si="124"/>
        <v/>
      </c>
      <c r="J310" s="628" t="str">
        <f t="shared" si="124"/>
        <v/>
      </c>
      <c r="K310" s="628" t="str">
        <f t="shared" si="124"/>
        <v/>
      </c>
      <c r="L310" s="628" t="str">
        <f t="shared" si="133"/>
        <v/>
      </c>
      <c r="M310" s="628" t="str">
        <f t="shared" si="133"/>
        <v/>
      </c>
      <c r="N310" s="628" t="str">
        <f t="shared" si="133"/>
        <v/>
      </c>
      <c r="O310" s="628" t="str">
        <f t="shared" si="133"/>
        <v/>
      </c>
      <c r="P310" s="628" t="str">
        <f t="shared" si="133"/>
        <v/>
      </c>
      <c r="Q310" s="628" t="str">
        <f t="shared" si="133"/>
        <v/>
      </c>
      <c r="R310" s="628" t="str">
        <f t="shared" si="133"/>
        <v/>
      </c>
      <c r="S310" s="628" t="str">
        <f t="shared" ref="S310:AI310" si="135">IF(S94="","",S94)</f>
        <v/>
      </c>
      <c r="T310" s="628" t="str">
        <f t="shared" si="135"/>
        <v/>
      </c>
      <c r="U310" s="628" t="str">
        <f t="shared" si="135"/>
        <v/>
      </c>
      <c r="V310" s="628" t="str">
        <f t="shared" si="135"/>
        <v xml:space="preserve">Qty: </v>
      </c>
      <c r="W310" s="628" t="str">
        <f t="shared" si="135"/>
        <v/>
      </c>
      <c r="X310" s="628" t="str">
        <f t="shared" si="135"/>
        <v/>
      </c>
      <c r="Y310" s="628" t="str">
        <f t="shared" si="135"/>
        <v>sq ft</v>
      </c>
      <c r="Z310" s="628" t="str">
        <f t="shared" si="135"/>
        <v/>
      </c>
      <c r="AA310" s="628" t="str">
        <f t="shared" si="135"/>
        <v/>
      </c>
      <c r="AB310" s="628" t="str">
        <f t="shared" si="135"/>
        <v/>
      </c>
      <c r="AC310" s="628" t="str">
        <f t="shared" si="135"/>
        <v/>
      </c>
      <c r="AD310" s="628" t="str">
        <f t="shared" si="135"/>
        <v>x $50 per sq ft of door =</v>
      </c>
      <c r="AE310" s="628" t="str">
        <f t="shared" si="135"/>
        <v>$</v>
      </c>
      <c r="AF310" s="628" t="str">
        <f t="shared" si="135"/>
        <v/>
      </c>
      <c r="AG310" s="628" t="str">
        <f t="shared" si="135"/>
        <v/>
      </c>
      <c r="AH310" s="628" t="str">
        <f t="shared" si="135"/>
        <v/>
      </c>
      <c r="AI310" s="638" t="str">
        <f t="shared" si="135"/>
        <v/>
      </c>
      <c r="AJ310" s="504"/>
      <c r="AK310" s="627"/>
      <c r="AL310" s="629"/>
      <c r="AM310" s="627"/>
      <c r="AN310" s="627"/>
      <c r="AO310" s="627"/>
      <c r="AP310" s="627"/>
      <c r="AQ310" s="627"/>
      <c r="AR310" s="627"/>
      <c r="AS310" s="627"/>
      <c r="AT310" s="627"/>
      <c r="AU310" s="627"/>
      <c r="AV310" s="627"/>
      <c r="AW310" s="627"/>
      <c r="AX310" s="627"/>
      <c r="AY310" s="627"/>
      <c r="AZ310" s="627"/>
      <c r="BA310" s="627"/>
      <c r="BB310" s="627"/>
      <c r="BC310" s="627"/>
      <c r="BD310" s="627"/>
      <c r="BE310" s="627"/>
      <c r="BF310" s="627"/>
      <c r="BG310" s="627"/>
      <c r="BH310" s="627"/>
      <c r="BI310" s="627"/>
      <c r="BJ310" s="627"/>
      <c r="BK310" s="627"/>
      <c r="BL310" s="627"/>
      <c r="BM310" s="627"/>
      <c r="BN310" s="627"/>
      <c r="BO310" s="627"/>
      <c r="BP310" s="627"/>
      <c r="BQ310" s="627"/>
      <c r="BR310" s="627"/>
      <c r="BS310" s="627"/>
      <c r="BT310" s="627"/>
      <c r="BU310" s="627"/>
      <c r="BV310" s="627"/>
      <c r="BW310" s="627"/>
      <c r="BX310" s="627"/>
      <c r="BY310" s="627"/>
      <c r="BZ310" s="627"/>
      <c r="CA310" s="690"/>
      <c r="CB310" s="690"/>
      <c r="CC310" s="690"/>
      <c r="CD310" s="690"/>
      <c r="CE310" s="690"/>
      <c r="CF310" s="690"/>
      <c r="CG310" s="690"/>
      <c r="CH310" s="690"/>
      <c r="CI310" s="690"/>
      <c r="CJ310" s="690"/>
      <c r="CK310" s="690"/>
      <c r="CL310" s="690"/>
      <c r="CM310" s="690"/>
      <c r="CN310" s="690"/>
      <c r="CO310" s="690"/>
      <c r="CP310" s="690"/>
      <c r="CQ310" s="690"/>
      <c r="CR310" s="690"/>
      <c r="CS310" s="690"/>
      <c r="CT310" s="690"/>
      <c r="CU310" s="690"/>
      <c r="CV310" s="690"/>
      <c r="CW310" s="690"/>
      <c r="CX310" s="690"/>
      <c r="CY310" s="690"/>
      <c r="CZ310" s="690"/>
      <c r="DA310" s="690"/>
      <c r="DB310" s="690"/>
      <c r="DC310" s="690"/>
    </row>
    <row r="311" spans="1:107" s="630" customFormat="1" ht="12.75" hidden="1" customHeight="1">
      <c r="A311" s="504"/>
      <c r="B311" s="636" t="str">
        <f t="shared" si="115"/>
        <v/>
      </c>
      <c r="C311" s="628" t="str">
        <f t="shared" si="110"/>
        <v xml:space="preserve"> R2c - Automatic High Speed Door: Between Freezer &amp; Unrefrigerated Dock</v>
      </c>
      <c r="D311" s="628" t="str">
        <f t="shared" ref="D311:K320" si="136">IF(D95="","",D95)</f>
        <v/>
      </c>
      <c r="E311" s="628" t="str">
        <f t="shared" si="136"/>
        <v/>
      </c>
      <c r="F311" s="628" t="str">
        <f t="shared" si="136"/>
        <v/>
      </c>
      <c r="G311" s="628" t="str">
        <f t="shared" si="136"/>
        <v/>
      </c>
      <c r="H311" s="628" t="str">
        <f t="shared" si="136"/>
        <v/>
      </c>
      <c r="I311" s="628" t="str">
        <f t="shared" si="136"/>
        <v/>
      </c>
      <c r="J311" s="628" t="str">
        <f t="shared" si="136"/>
        <v/>
      </c>
      <c r="K311" s="628" t="str">
        <f t="shared" si="136"/>
        <v/>
      </c>
      <c r="L311" s="628" t="str">
        <f t="shared" si="133"/>
        <v/>
      </c>
      <c r="M311" s="628" t="str">
        <f t="shared" si="133"/>
        <v/>
      </c>
      <c r="N311" s="628" t="str">
        <f t="shared" si="133"/>
        <v/>
      </c>
      <c r="O311" s="628" t="str">
        <f t="shared" si="133"/>
        <v/>
      </c>
      <c r="P311" s="628" t="str">
        <f t="shared" si="133"/>
        <v/>
      </c>
      <c r="Q311" s="628" t="str">
        <f t="shared" si="133"/>
        <v/>
      </c>
      <c r="R311" s="628" t="str">
        <f t="shared" si="133"/>
        <v/>
      </c>
      <c r="S311" s="628" t="str">
        <f t="shared" ref="S311:AI311" si="137">IF(S95="","",S95)</f>
        <v/>
      </c>
      <c r="T311" s="628" t="str">
        <f t="shared" si="137"/>
        <v/>
      </c>
      <c r="U311" s="628" t="str">
        <f t="shared" si="137"/>
        <v/>
      </c>
      <c r="V311" s="628" t="str">
        <f t="shared" si="137"/>
        <v xml:space="preserve">Qty: </v>
      </c>
      <c r="W311" s="628" t="str">
        <f t="shared" si="137"/>
        <v/>
      </c>
      <c r="X311" s="628" t="str">
        <f t="shared" si="137"/>
        <v/>
      </c>
      <c r="Y311" s="628" t="str">
        <f t="shared" si="137"/>
        <v>sq ft</v>
      </c>
      <c r="Z311" s="628" t="str">
        <f t="shared" si="137"/>
        <v/>
      </c>
      <c r="AA311" s="628" t="str">
        <f t="shared" si="137"/>
        <v/>
      </c>
      <c r="AB311" s="628" t="str">
        <f t="shared" si="137"/>
        <v/>
      </c>
      <c r="AC311" s="628" t="str">
        <f t="shared" si="137"/>
        <v/>
      </c>
      <c r="AD311" s="628" t="str">
        <f t="shared" si="137"/>
        <v>x $100 per sq ft of door =</v>
      </c>
      <c r="AE311" s="628" t="str">
        <f t="shared" si="137"/>
        <v>$</v>
      </c>
      <c r="AF311" s="628" t="str">
        <f t="shared" si="137"/>
        <v/>
      </c>
      <c r="AG311" s="628" t="str">
        <f t="shared" si="137"/>
        <v/>
      </c>
      <c r="AH311" s="628" t="str">
        <f t="shared" si="137"/>
        <v/>
      </c>
      <c r="AI311" s="638" t="str">
        <f t="shared" si="137"/>
        <v/>
      </c>
      <c r="AJ311" s="504"/>
      <c r="AK311" s="627"/>
      <c r="AL311" s="629"/>
      <c r="AM311" s="627"/>
      <c r="AN311" s="627"/>
      <c r="AO311" s="627"/>
      <c r="AP311" s="627"/>
      <c r="AQ311" s="627"/>
      <c r="AR311" s="627"/>
      <c r="AS311" s="627"/>
      <c r="AT311" s="627"/>
      <c r="AU311" s="627"/>
      <c r="AV311" s="627"/>
      <c r="AW311" s="627"/>
      <c r="AX311" s="627"/>
      <c r="AY311" s="627"/>
      <c r="AZ311" s="627"/>
      <c r="BA311" s="627"/>
      <c r="BB311" s="627"/>
      <c r="BC311" s="627"/>
      <c r="BD311" s="627"/>
      <c r="BE311" s="627"/>
      <c r="BF311" s="627"/>
      <c r="BG311" s="627"/>
      <c r="BH311" s="627"/>
      <c r="BI311" s="627"/>
      <c r="BJ311" s="627"/>
      <c r="BK311" s="627"/>
      <c r="BL311" s="627"/>
      <c r="BM311" s="627"/>
      <c r="BN311" s="627"/>
      <c r="BO311" s="627"/>
      <c r="BP311" s="627"/>
      <c r="BQ311" s="627"/>
      <c r="BR311" s="627"/>
      <c r="BS311" s="627"/>
      <c r="BT311" s="627"/>
      <c r="BU311" s="627"/>
      <c r="BV311" s="627"/>
      <c r="BW311" s="627"/>
      <c r="BX311" s="627"/>
      <c r="BY311" s="627"/>
      <c r="BZ311" s="627"/>
      <c r="CA311" s="690"/>
      <c r="CB311" s="690"/>
      <c r="CC311" s="690"/>
      <c r="CD311" s="690"/>
      <c r="CE311" s="690"/>
      <c r="CF311" s="690"/>
      <c r="CG311" s="690"/>
      <c r="CH311" s="690"/>
      <c r="CI311" s="690"/>
      <c r="CJ311" s="690"/>
      <c r="CK311" s="690"/>
      <c r="CL311" s="690"/>
      <c r="CM311" s="690"/>
      <c r="CN311" s="690"/>
      <c r="CO311" s="690"/>
      <c r="CP311" s="690"/>
      <c r="CQ311" s="690"/>
      <c r="CR311" s="690"/>
      <c r="CS311" s="690"/>
      <c r="CT311" s="690"/>
      <c r="CU311" s="690"/>
      <c r="CV311" s="690"/>
      <c r="CW311" s="690"/>
      <c r="CX311" s="690"/>
      <c r="CY311" s="690"/>
      <c r="CZ311" s="690"/>
      <c r="DA311" s="690"/>
      <c r="DB311" s="690"/>
      <c r="DC311" s="690"/>
    </row>
    <row r="312" spans="1:107" s="630" customFormat="1" ht="12.75" hidden="1" customHeight="1">
      <c r="A312" s="504"/>
      <c r="B312" s="636" t="str">
        <f t="shared" si="115"/>
        <v/>
      </c>
      <c r="C312" s="628" t="str">
        <f t="shared" si="110"/>
        <v xml:space="preserve"> R3 - Evaporative Pre-coolers on Air-Cooled Condensers (Refrigeration)*</v>
      </c>
      <c r="D312" s="628" t="str">
        <f t="shared" si="136"/>
        <v/>
      </c>
      <c r="E312" s="628" t="str">
        <f t="shared" si="136"/>
        <v/>
      </c>
      <c r="F312" s="628" t="str">
        <f t="shared" si="136"/>
        <v/>
      </c>
      <c r="G312" s="628" t="str">
        <f t="shared" si="136"/>
        <v/>
      </c>
      <c r="H312" s="628" t="str">
        <f t="shared" si="136"/>
        <v/>
      </c>
      <c r="I312" s="628" t="str">
        <f t="shared" si="136"/>
        <v/>
      </c>
      <c r="J312" s="628" t="str">
        <f t="shared" si="136"/>
        <v/>
      </c>
      <c r="K312" s="628" t="str">
        <f t="shared" si="136"/>
        <v/>
      </c>
      <c r="L312" s="628" t="str">
        <f t="shared" si="133"/>
        <v/>
      </c>
      <c r="M312" s="628" t="str">
        <f t="shared" si="133"/>
        <v/>
      </c>
      <c r="N312" s="628" t="str">
        <f t="shared" si="133"/>
        <v/>
      </c>
      <c r="O312" s="628" t="str">
        <f t="shared" si="133"/>
        <v/>
      </c>
      <c r="P312" s="628" t="str">
        <f t="shared" si="133"/>
        <v/>
      </c>
      <c r="Q312" s="628" t="str">
        <f t="shared" si="133"/>
        <v/>
      </c>
      <c r="R312" s="628" t="str">
        <f t="shared" si="133"/>
        <v/>
      </c>
      <c r="S312" s="628" t="str">
        <f t="shared" ref="S312:AI312" si="138">IF(S96="","",S96)</f>
        <v/>
      </c>
      <c r="T312" s="628" t="str">
        <f t="shared" si="138"/>
        <v/>
      </c>
      <c r="U312" s="628" t="str">
        <f t="shared" si="138"/>
        <v/>
      </c>
      <c r="V312" s="628" t="str">
        <f t="shared" si="138"/>
        <v xml:space="preserve">Total Eligible: </v>
      </c>
      <c r="W312" s="628" t="str">
        <f t="shared" si="138"/>
        <v/>
      </c>
      <c r="X312" s="628" t="str">
        <f t="shared" si="138"/>
        <v/>
      </c>
      <c r="Y312" s="628" t="str">
        <f t="shared" si="138"/>
        <v>tons</v>
      </c>
      <c r="Z312" s="628" t="str">
        <f t="shared" si="138"/>
        <v/>
      </c>
      <c r="AA312" s="628" t="str">
        <f t="shared" si="138"/>
        <v/>
      </c>
      <c r="AB312" s="628" t="str">
        <f t="shared" si="138"/>
        <v/>
      </c>
      <c r="AC312" s="628" t="str">
        <f t="shared" si="138"/>
        <v/>
      </c>
      <c r="AD312" s="628" t="str">
        <f t="shared" si="138"/>
        <v>x $30 per ton=</v>
      </c>
      <c r="AE312" s="628" t="str">
        <f t="shared" si="138"/>
        <v>$</v>
      </c>
      <c r="AF312" s="628" t="str">
        <f t="shared" si="138"/>
        <v/>
      </c>
      <c r="AG312" s="628" t="str">
        <f t="shared" si="138"/>
        <v/>
      </c>
      <c r="AH312" s="628" t="str">
        <f t="shared" si="138"/>
        <v/>
      </c>
      <c r="AI312" s="638" t="str">
        <f t="shared" si="138"/>
        <v/>
      </c>
      <c r="AJ312" s="504"/>
      <c r="AK312" s="627"/>
      <c r="AL312" s="629"/>
      <c r="AM312" s="627"/>
      <c r="AN312" s="627"/>
      <c r="AO312" s="627"/>
      <c r="AP312" s="627"/>
      <c r="AQ312" s="627"/>
      <c r="AR312" s="627"/>
      <c r="AS312" s="627"/>
      <c r="AT312" s="627"/>
      <c r="AU312" s="627"/>
      <c r="AV312" s="627"/>
      <c r="AW312" s="627"/>
      <c r="AX312" s="627"/>
      <c r="AY312" s="627"/>
      <c r="AZ312" s="627"/>
      <c r="BA312" s="627"/>
      <c r="BB312" s="627"/>
      <c r="BC312" s="627"/>
      <c r="BD312" s="627"/>
      <c r="BE312" s="627"/>
      <c r="BF312" s="627"/>
      <c r="BG312" s="627"/>
      <c r="BH312" s="627"/>
      <c r="BI312" s="627"/>
      <c r="BJ312" s="627"/>
      <c r="BK312" s="627"/>
      <c r="BL312" s="627"/>
      <c r="BM312" s="627"/>
      <c r="BN312" s="627"/>
      <c r="BO312" s="627"/>
      <c r="BP312" s="627"/>
      <c r="BQ312" s="627"/>
      <c r="BR312" s="627"/>
      <c r="BS312" s="627"/>
      <c r="BT312" s="627"/>
      <c r="BU312" s="627"/>
      <c r="BV312" s="627"/>
      <c r="BW312" s="627"/>
      <c r="BX312" s="627"/>
      <c r="BY312" s="627"/>
      <c r="BZ312" s="627"/>
      <c r="CA312" s="690"/>
      <c r="CB312" s="690"/>
      <c r="CC312" s="690"/>
      <c r="CD312" s="690"/>
      <c r="CE312" s="690"/>
      <c r="CF312" s="690"/>
      <c r="CG312" s="690"/>
      <c r="CH312" s="690"/>
      <c r="CI312" s="690"/>
      <c r="CJ312" s="690"/>
      <c r="CK312" s="690"/>
      <c r="CL312" s="690"/>
      <c r="CM312" s="690"/>
      <c r="CN312" s="690"/>
      <c r="CO312" s="690"/>
      <c r="CP312" s="690"/>
      <c r="CQ312" s="690"/>
      <c r="CR312" s="690"/>
      <c r="CS312" s="690"/>
      <c r="CT312" s="690"/>
      <c r="CU312" s="690"/>
      <c r="CV312" s="690"/>
      <c r="CW312" s="690"/>
      <c r="CX312" s="690"/>
      <c r="CY312" s="690"/>
      <c r="CZ312" s="690"/>
      <c r="DA312" s="690"/>
      <c r="DB312" s="690"/>
      <c r="DC312" s="690"/>
    </row>
    <row r="313" spans="1:107" s="630" customFormat="1" ht="12.75" hidden="1" customHeight="1">
      <c r="A313" s="504"/>
      <c r="B313" s="636" t="str">
        <f t="shared" si="115"/>
        <v/>
      </c>
      <c r="C313" s="628" t="str">
        <f t="shared" si="110"/>
        <v/>
      </c>
      <c r="D313" s="628" t="str">
        <f t="shared" si="136"/>
        <v/>
      </c>
      <c r="E313" s="628" t="str">
        <f t="shared" si="136"/>
        <v/>
      </c>
      <c r="F313" s="628" t="str">
        <f t="shared" si="136"/>
        <v/>
      </c>
      <c r="G313" s="628" t="str">
        <f t="shared" si="136"/>
        <v/>
      </c>
      <c r="H313" s="628" t="str">
        <f t="shared" si="136"/>
        <v/>
      </c>
      <c r="I313" s="628" t="str">
        <f t="shared" si="136"/>
        <v/>
      </c>
      <c r="J313" s="628" t="str">
        <f t="shared" si="136"/>
        <v/>
      </c>
      <c r="K313" s="628" t="str">
        <f t="shared" si="136"/>
        <v/>
      </c>
      <c r="L313" s="628" t="str">
        <f t="shared" si="133"/>
        <v/>
      </c>
      <c r="M313" s="628" t="str">
        <f t="shared" si="133"/>
        <v/>
      </c>
      <c r="N313" s="628" t="str">
        <f t="shared" si="133"/>
        <v/>
      </c>
      <c r="O313" s="628" t="str">
        <f t="shared" si="133"/>
        <v/>
      </c>
      <c r="P313" s="628" t="str">
        <f t="shared" si="133"/>
        <v/>
      </c>
      <c r="Q313" s="628" t="str">
        <f t="shared" si="133"/>
        <v/>
      </c>
      <c r="R313" s="628" t="str">
        <f t="shared" si="133"/>
        <v/>
      </c>
      <c r="S313" s="628" t="str">
        <f t="shared" ref="S313:AI313" si="139">IF(S97="","",S97)</f>
        <v/>
      </c>
      <c r="T313" s="628" t="str">
        <f t="shared" si="139"/>
        <v/>
      </c>
      <c r="U313" s="628" t="str">
        <f t="shared" si="139"/>
        <v/>
      </c>
      <c r="V313" s="628" t="str">
        <f t="shared" si="139"/>
        <v/>
      </c>
      <c r="W313" s="628" t="str">
        <f t="shared" si="139"/>
        <v/>
      </c>
      <c r="X313" s="628" t="str">
        <f t="shared" si="139"/>
        <v/>
      </c>
      <c r="Y313" s="628" t="str">
        <f t="shared" si="139"/>
        <v/>
      </c>
      <c r="Z313" s="628" t="str">
        <f t="shared" si="139"/>
        <v/>
      </c>
      <c r="AA313" s="628" t="str">
        <f t="shared" si="139"/>
        <v/>
      </c>
      <c r="AB313" s="628" t="str">
        <f t="shared" si="139"/>
        <v/>
      </c>
      <c r="AC313" s="628" t="str">
        <f t="shared" si="139"/>
        <v/>
      </c>
      <c r="AD313" s="628" t="str">
        <f t="shared" si="139"/>
        <v/>
      </c>
      <c r="AE313" s="628" t="str">
        <f t="shared" si="139"/>
        <v/>
      </c>
      <c r="AF313" s="628" t="str">
        <f t="shared" si="139"/>
        <v/>
      </c>
      <c r="AG313" s="628" t="str">
        <f t="shared" si="139"/>
        <v/>
      </c>
      <c r="AH313" s="628" t="str">
        <f t="shared" si="139"/>
        <v/>
      </c>
      <c r="AI313" s="638" t="str">
        <f t="shared" si="139"/>
        <v/>
      </c>
      <c r="AJ313" s="504"/>
      <c r="AK313" s="627"/>
      <c r="AL313" s="629"/>
      <c r="AM313" s="627"/>
      <c r="AN313" s="627"/>
      <c r="AO313" s="627"/>
      <c r="AP313" s="627"/>
      <c r="AQ313" s="627"/>
      <c r="AR313" s="627"/>
      <c r="AS313" s="627"/>
      <c r="AT313" s="627"/>
      <c r="AU313" s="627"/>
      <c r="AV313" s="627"/>
      <c r="AW313" s="627"/>
      <c r="AX313" s="627"/>
      <c r="AY313" s="627"/>
      <c r="AZ313" s="627"/>
      <c r="BA313" s="627"/>
      <c r="BB313" s="627"/>
      <c r="BC313" s="627"/>
      <c r="BD313" s="627"/>
      <c r="BE313" s="627"/>
      <c r="BF313" s="627"/>
      <c r="BG313" s="627"/>
      <c r="BH313" s="627"/>
      <c r="BI313" s="627"/>
      <c r="BJ313" s="627"/>
      <c r="BK313" s="627"/>
      <c r="BL313" s="627"/>
      <c r="BM313" s="627"/>
      <c r="BN313" s="627"/>
      <c r="BO313" s="627"/>
      <c r="BP313" s="627"/>
      <c r="BQ313" s="627"/>
      <c r="BR313" s="627"/>
      <c r="BS313" s="627"/>
      <c r="BT313" s="627"/>
      <c r="BU313" s="627"/>
      <c r="BV313" s="627"/>
      <c r="BW313" s="627"/>
      <c r="BX313" s="627"/>
      <c r="BY313" s="627"/>
      <c r="BZ313" s="627"/>
      <c r="CA313" s="690"/>
      <c r="CB313" s="690"/>
      <c r="CC313" s="690"/>
      <c r="CD313" s="690"/>
      <c r="CE313" s="690"/>
      <c r="CF313" s="690"/>
      <c r="CG313" s="690"/>
      <c r="CH313" s="690"/>
      <c r="CI313" s="690"/>
      <c r="CJ313" s="690"/>
      <c r="CK313" s="690"/>
      <c r="CL313" s="690"/>
      <c r="CM313" s="690"/>
      <c r="CN313" s="690"/>
      <c r="CO313" s="690"/>
      <c r="CP313" s="690"/>
      <c r="CQ313" s="690"/>
      <c r="CR313" s="690"/>
      <c r="CS313" s="690"/>
      <c r="CT313" s="690"/>
      <c r="CU313" s="690"/>
      <c r="CV313" s="690"/>
      <c r="CW313" s="690"/>
      <c r="CX313" s="690"/>
      <c r="CY313" s="690"/>
      <c r="CZ313" s="690"/>
      <c r="DA313" s="690"/>
      <c r="DB313" s="690"/>
      <c r="DC313" s="690"/>
    </row>
    <row r="314" spans="1:107" s="630" customFormat="1" ht="12.75" hidden="1" customHeight="1">
      <c r="A314" s="504"/>
      <c r="B314" s="636" t="str">
        <f t="shared" si="115"/>
        <v/>
      </c>
      <c r="C314" s="628" t="str">
        <f t="shared" si="110"/>
        <v/>
      </c>
      <c r="D314" s="628" t="str">
        <f t="shared" si="136"/>
        <v/>
      </c>
      <c r="E314" s="628" t="str">
        <f t="shared" si="136"/>
        <v/>
      </c>
      <c r="F314" s="628" t="str">
        <f t="shared" si="136"/>
        <v/>
      </c>
      <c r="G314" s="628" t="str">
        <f t="shared" si="136"/>
        <v/>
      </c>
      <c r="H314" s="628" t="str">
        <f t="shared" si="136"/>
        <v/>
      </c>
      <c r="I314" s="628" t="str">
        <f t="shared" si="136"/>
        <v/>
      </c>
      <c r="J314" s="628" t="str">
        <f t="shared" si="136"/>
        <v/>
      </c>
      <c r="K314" s="628" t="str">
        <f t="shared" si="136"/>
        <v/>
      </c>
      <c r="L314" s="628" t="str">
        <f t="shared" si="133"/>
        <v/>
      </c>
      <c r="M314" s="628" t="str">
        <f t="shared" si="133"/>
        <v/>
      </c>
      <c r="N314" s="628" t="str">
        <f t="shared" si="133"/>
        <v/>
      </c>
      <c r="O314" s="628" t="str">
        <f t="shared" si="133"/>
        <v/>
      </c>
      <c r="P314" s="628" t="str">
        <f t="shared" si="133"/>
        <v/>
      </c>
      <c r="Q314" s="628" t="str">
        <f t="shared" si="133"/>
        <v/>
      </c>
      <c r="R314" s="628" t="str">
        <f t="shared" si="133"/>
        <v/>
      </c>
      <c r="S314" s="628" t="str">
        <f t="shared" ref="S314:AI314" si="140">IF(S98="","",S98)</f>
        <v/>
      </c>
      <c r="T314" s="628" t="str">
        <f t="shared" si="140"/>
        <v/>
      </c>
      <c r="U314" s="628" t="str">
        <f t="shared" si="140"/>
        <v/>
      </c>
      <c r="V314" s="628" t="str">
        <f t="shared" si="140"/>
        <v/>
      </c>
      <c r="W314" s="628" t="str">
        <f t="shared" si="140"/>
        <v/>
      </c>
      <c r="X314" s="628" t="str">
        <f t="shared" si="140"/>
        <v/>
      </c>
      <c r="Y314" s="628" t="str">
        <f t="shared" si="140"/>
        <v/>
      </c>
      <c r="Z314" s="628" t="str">
        <f t="shared" si="140"/>
        <v/>
      </c>
      <c r="AA314" s="628" t="str">
        <f t="shared" si="140"/>
        <v/>
      </c>
      <c r="AB314" s="628" t="str">
        <f t="shared" si="140"/>
        <v/>
      </c>
      <c r="AC314" s="628" t="str">
        <f t="shared" si="140"/>
        <v/>
      </c>
      <c r="AD314" s="628" t="str">
        <f t="shared" si="140"/>
        <v/>
      </c>
      <c r="AE314" s="628" t="str">
        <f t="shared" si="140"/>
        <v/>
      </c>
      <c r="AF314" s="628" t="str">
        <f t="shared" si="140"/>
        <v/>
      </c>
      <c r="AG314" s="628" t="str">
        <f t="shared" si="140"/>
        <v/>
      </c>
      <c r="AH314" s="628" t="str">
        <f t="shared" si="140"/>
        <v/>
      </c>
      <c r="AI314" s="638" t="str">
        <f t="shared" si="140"/>
        <v/>
      </c>
      <c r="AJ314" s="504"/>
      <c r="AK314" s="627"/>
      <c r="AL314" s="629"/>
      <c r="AM314" s="627"/>
      <c r="AN314" s="627"/>
      <c r="AO314" s="627"/>
      <c r="AP314" s="627"/>
      <c r="AQ314" s="627"/>
      <c r="AR314" s="627"/>
      <c r="AS314" s="627"/>
      <c r="AT314" s="627"/>
      <c r="AU314" s="627"/>
      <c r="AV314" s="627"/>
      <c r="AW314" s="627"/>
      <c r="AX314" s="627"/>
      <c r="AY314" s="627"/>
      <c r="AZ314" s="627"/>
      <c r="BA314" s="627"/>
      <c r="BB314" s="627"/>
      <c r="BC314" s="627"/>
      <c r="BD314" s="627"/>
      <c r="BE314" s="627"/>
      <c r="BF314" s="627"/>
      <c r="BG314" s="627"/>
      <c r="BH314" s="627"/>
      <c r="BI314" s="627"/>
      <c r="BJ314" s="627"/>
      <c r="BK314" s="627"/>
      <c r="BL314" s="627"/>
      <c r="BM314" s="627"/>
      <c r="BN314" s="627"/>
      <c r="BO314" s="627"/>
      <c r="BP314" s="627"/>
      <c r="BQ314" s="627"/>
      <c r="BR314" s="627"/>
      <c r="BS314" s="627"/>
      <c r="BT314" s="627"/>
      <c r="BU314" s="627"/>
      <c r="BV314" s="627"/>
      <c r="BW314" s="627"/>
      <c r="BX314" s="627"/>
      <c r="BY314" s="627"/>
      <c r="BZ314" s="627"/>
      <c r="CA314" s="690"/>
      <c r="CB314" s="690"/>
      <c r="CC314" s="690"/>
      <c r="CD314" s="690"/>
      <c r="CE314" s="690"/>
      <c r="CF314" s="690"/>
      <c r="CG314" s="690"/>
      <c r="CH314" s="690"/>
      <c r="CI314" s="690"/>
      <c r="CJ314" s="690"/>
      <c r="CK314" s="690"/>
      <c r="CL314" s="690"/>
      <c r="CM314" s="690"/>
      <c r="CN314" s="690"/>
      <c r="CO314" s="690"/>
      <c r="CP314" s="690"/>
      <c r="CQ314" s="690"/>
      <c r="CR314" s="690"/>
      <c r="CS314" s="690"/>
      <c r="CT314" s="690"/>
      <c r="CU314" s="690"/>
      <c r="CV314" s="690"/>
      <c r="CW314" s="690"/>
      <c r="CX314" s="690"/>
      <c r="CY314" s="690"/>
      <c r="CZ314" s="690"/>
      <c r="DA314" s="690"/>
      <c r="DB314" s="690"/>
      <c r="DC314" s="690"/>
    </row>
    <row r="315" spans="1:107" s="630" customFormat="1" ht="12.75" hidden="1" customHeight="1">
      <c r="A315" s="504"/>
      <c r="B315" s="636" t="str">
        <f t="shared" si="115"/>
        <v>Compressed Air Equipment</v>
      </c>
      <c r="C315" s="628" t="str">
        <f t="shared" si="110"/>
        <v/>
      </c>
      <c r="D315" s="628" t="str">
        <f t="shared" si="136"/>
        <v/>
      </c>
      <c r="E315" s="628" t="str">
        <f t="shared" si="136"/>
        <v/>
      </c>
      <c r="F315" s="628" t="str">
        <f t="shared" si="136"/>
        <v/>
      </c>
      <c r="G315" s="628" t="str">
        <f t="shared" si="136"/>
        <v/>
      </c>
      <c r="H315" s="628" t="str">
        <f t="shared" si="136"/>
        <v/>
      </c>
      <c r="I315" s="628" t="str">
        <f t="shared" si="136"/>
        <v/>
      </c>
      <c r="J315" s="628" t="str">
        <f t="shared" si="136"/>
        <v/>
      </c>
      <c r="K315" s="628" t="str">
        <f t="shared" si="136"/>
        <v/>
      </c>
      <c r="L315" s="628" t="str">
        <f t="shared" si="133"/>
        <v/>
      </c>
      <c r="M315" s="628" t="str">
        <f t="shared" si="133"/>
        <v/>
      </c>
      <c r="N315" s="628" t="str">
        <f t="shared" si="133"/>
        <v/>
      </c>
      <c r="O315" s="628" t="str">
        <f t="shared" si="133"/>
        <v/>
      </c>
      <c r="P315" s="628" t="str">
        <f t="shared" si="133"/>
        <v/>
      </c>
      <c r="Q315" s="628" t="str">
        <f t="shared" si="133"/>
        <v/>
      </c>
      <c r="R315" s="628" t="str">
        <f t="shared" si="133"/>
        <v/>
      </c>
      <c r="S315" s="628" t="str">
        <f t="shared" ref="S315:AI315" si="141">IF(S99="","",S99)</f>
        <v/>
      </c>
      <c r="T315" s="628" t="str">
        <f t="shared" si="141"/>
        <v/>
      </c>
      <c r="U315" s="628" t="str">
        <f t="shared" si="141"/>
        <v/>
      </c>
      <c r="V315" s="628" t="str">
        <f t="shared" si="141"/>
        <v/>
      </c>
      <c r="W315" s="628" t="str">
        <f t="shared" si="141"/>
        <v/>
      </c>
      <c r="X315" s="628" t="str">
        <f t="shared" si="141"/>
        <v/>
      </c>
      <c r="Y315" s="628" t="str">
        <f t="shared" si="141"/>
        <v/>
      </c>
      <c r="Z315" s="628" t="str">
        <f t="shared" si="141"/>
        <v/>
      </c>
      <c r="AA315" s="628" t="str">
        <f t="shared" si="141"/>
        <v/>
      </c>
      <c r="AB315" s="628" t="str">
        <f t="shared" si="141"/>
        <v/>
      </c>
      <c r="AC315" s="628" t="str">
        <f t="shared" si="141"/>
        <v/>
      </c>
      <c r="AD315" s="628" t="str">
        <f t="shared" si="141"/>
        <v/>
      </c>
      <c r="AE315" s="628" t="str">
        <f t="shared" si="141"/>
        <v/>
      </c>
      <c r="AF315" s="628" t="str">
        <f t="shared" si="141"/>
        <v/>
      </c>
      <c r="AG315" s="628" t="str">
        <f t="shared" si="141"/>
        <v/>
      </c>
      <c r="AH315" s="628" t="str">
        <f t="shared" si="141"/>
        <v/>
      </c>
      <c r="AI315" s="638" t="str">
        <f t="shared" si="141"/>
        <v/>
      </c>
      <c r="AJ315" s="504"/>
      <c r="AK315" s="627"/>
      <c r="AL315" s="629"/>
      <c r="AM315" s="627"/>
      <c r="AN315" s="627"/>
      <c r="AO315" s="627"/>
      <c r="AP315" s="627"/>
      <c r="AQ315" s="627"/>
      <c r="AR315" s="627"/>
      <c r="AS315" s="627"/>
      <c r="AT315" s="627"/>
      <c r="AU315" s="627"/>
      <c r="AV315" s="627"/>
      <c r="AW315" s="627"/>
      <c r="AX315" s="627"/>
      <c r="AY315" s="627"/>
      <c r="AZ315" s="627"/>
      <c r="BA315" s="627"/>
      <c r="BB315" s="627"/>
      <c r="BC315" s="627"/>
      <c r="BD315" s="627"/>
      <c r="BE315" s="627"/>
      <c r="BF315" s="627"/>
      <c r="BG315" s="627"/>
      <c r="BH315" s="627"/>
      <c r="BI315" s="627"/>
      <c r="BJ315" s="627"/>
      <c r="BK315" s="627"/>
      <c r="BL315" s="627"/>
      <c r="BM315" s="627"/>
      <c r="BN315" s="627"/>
      <c r="BO315" s="627"/>
      <c r="BP315" s="627"/>
      <c r="BQ315" s="627"/>
      <c r="BR315" s="627"/>
      <c r="BS315" s="627"/>
      <c r="BT315" s="627"/>
      <c r="BU315" s="627"/>
      <c r="BV315" s="627"/>
      <c r="BW315" s="627"/>
      <c r="BX315" s="627"/>
      <c r="BY315" s="627"/>
      <c r="BZ315" s="627"/>
      <c r="CA315" s="690"/>
      <c r="CB315" s="690"/>
      <c r="CC315" s="690"/>
      <c r="CD315" s="690"/>
      <c r="CE315" s="690"/>
      <c r="CF315" s="690"/>
      <c r="CG315" s="690"/>
      <c r="CH315" s="690"/>
      <c r="CI315" s="690"/>
      <c r="CJ315" s="690"/>
      <c r="CK315" s="690"/>
      <c r="CL315" s="690"/>
      <c r="CM315" s="690"/>
      <c r="CN315" s="690"/>
      <c r="CO315" s="690"/>
      <c r="CP315" s="690"/>
      <c r="CQ315" s="690"/>
      <c r="CR315" s="690"/>
      <c r="CS315" s="690"/>
      <c r="CT315" s="690"/>
      <c r="CU315" s="690"/>
      <c r="CV315" s="690"/>
      <c r="CW315" s="690"/>
      <c r="CX315" s="690"/>
      <c r="CY315" s="690"/>
      <c r="CZ315" s="690"/>
      <c r="DA315" s="690"/>
      <c r="DB315" s="690"/>
      <c r="DC315" s="690"/>
    </row>
    <row r="316" spans="1:107" s="630" customFormat="1" ht="12.75" hidden="1" customHeight="1">
      <c r="A316" s="504"/>
      <c r="B316" s="636" t="str">
        <f t="shared" si="115"/>
        <v/>
      </c>
      <c r="C316" s="628" t="str">
        <f t="shared" si="110"/>
        <v/>
      </c>
      <c r="D316" s="628" t="str">
        <f t="shared" si="136"/>
        <v/>
      </c>
      <c r="E316" s="628" t="str">
        <f t="shared" si="136"/>
        <v/>
      </c>
      <c r="F316" s="628" t="str">
        <f t="shared" si="136"/>
        <v/>
      </c>
      <c r="G316" s="628" t="str">
        <f t="shared" si="136"/>
        <v/>
      </c>
      <c r="H316" s="628" t="str">
        <f t="shared" si="136"/>
        <v/>
      </c>
      <c r="I316" s="628" t="str">
        <f t="shared" si="136"/>
        <v/>
      </c>
      <c r="J316" s="628" t="str">
        <f t="shared" si="136"/>
        <v/>
      </c>
      <c r="K316" s="628" t="str">
        <f t="shared" si="136"/>
        <v/>
      </c>
      <c r="L316" s="628" t="str">
        <f t="shared" si="133"/>
        <v/>
      </c>
      <c r="M316" s="628" t="str">
        <f t="shared" si="133"/>
        <v/>
      </c>
      <c r="N316" s="628" t="str">
        <f t="shared" si="133"/>
        <v/>
      </c>
      <c r="O316" s="628" t="str">
        <f t="shared" si="133"/>
        <v/>
      </c>
      <c r="P316" s="628" t="str">
        <f t="shared" si="133"/>
        <v/>
      </c>
      <c r="Q316" s="628" t="str">
        <f t="shared" si="133"/>
        <v/>
      </c>
      <c r="R316" s="628" t="str">
        <f t="shared" si="133"/>
        <v/>
      </c>
      <c r="S316" s="628" t="str">
        <f t="shared" ref="S316:AI316" si="142">IF(S100="","",S100)</f>
        <v/>
      </c>
      <c r="T316" s="628" t="str">
        <f t="shared" si="142"/>
        <v/>
      </c>
      <c r="U316" s="628" t="str">
        <f t="shared" si="142"/>
        <v/>
      </c>
      <c r="V316" s="628" t="str">
        <f t="shared" si="142"/>
        <v/>
      </c>
      <c r="W316" s="628" t="str">
        <f t="shared" si="142"/>
        <v/>
      </c>
      <c r="X316" s="628" t="str">
        <f t="shared" si="142"/>
        <v/>
      </c>
      <c r="Y316" s="628" t="str">
        <f t="shared" si="142"/>
        <v/>
      </c>
      <c r="Z316" s="628" t="str">
        <f t="shared" si="142"/>
        <v/>
      </c>
      <c r="AA316" s="628" t="str">
        <f t="shared" si="142"/>
        <v/>
      </c>
      <c r="AB316" s="628" t="str">
        <f t="shared" si="142"/>
        <v/>
      </c>
      <c r="AC316" s="628" t="str">
        <f t="shared" si="142"/>
        <v/>
      </c>
      <c r="AD316" s="628" t="str">
        <f t="shared" si="142"/>
        <v/>
      </c>
      <c r="AE316" s="628" t="str">
        <f t="shared" si="142"/>
        <v/>
      </c>
      <c r="AF316" s="628" t="str">
        <f t="shared" si="142"/>
        <v>Incentive</v>
      </c>
      <c r="AG316" s="628" t="str">
        <f t="shared" si="142"/>
        <v/>
      </c>
      <c r="AH316" s="628" t="str">
        <f t="shared" si="142"/>
        <v/>
      </c>
      <c r="AI316" s="638" t="str">
        <f t="shared" si="142"/>
        <v/>
      </c>
      <c r="AJ316" s="504"/>
      <c r="AK316" s="627"/>
      <c r="AL316" s="629"/>
      <c r="AM316" s="627"/>
      <c r="AN316" s="627"/>
      <c r="AO316" s="627"/>
      <c r="AP316" s="627"/>
      <c r="AQ316" s="627"/>
      <c r="AR316" s="627"/>
      <c r="AS316" s="627"/>
      <c r="AT316" s="627"/>
      <c r="AU316" s="627"/>
      <c r="AV316" s="627"/>
      <c r="AW316" s="627"/>
      <c r="AX316" s="627"/>
      <c r="AY316" s="627"/>
      <c r="AZ316" s="627"/>
      <c r="BA316" s="627"/>
      <c r="BB316" s="627"/>
      <c r="BC316" s="627"/>
      <c r="BD316" s="627"/>
      <c r="BE316" s="627"/>
      <c r="BF316" s="627"/>
      <c r="BG316" s="627"/>
      <c r="BH316" s="627"/>
      <c r="BI316" s="627"/>
      <c r="BJ316" s="627"/>
      <c r="BK316" s="627"/>
      <c r="BL316" s="627"/>
      <c r="BM316" s="627"/>
      <c r="BN316" s="627"/>
      <c r="BO316" s="627"/>
      <c r="BP316" s="627"/>
      <c r="BQ316" s="627"/>
      <c r="BR316" s="627"/>
      <c r="BS316" s="627"/>
      <c r="BT316" s="627"/>
      <c r="BU316" s="627"/>
      <c r="BV316" s="627"/>
      <c r="BW316" s="627"/>
      <c r="BX316" s="627"/>
      <c r="BY316" s="627"/>
      <c r="BZ316" s="627"/>
      <c r="CA316" s="690"/>
      <c r="CB316" s="690"/>
      <c r="CC316" s="690"/>
      <c r="CD316" s="690"/>
      <c r="CE316" s="690"/>
      <c r="CF316" s="690"/>
      <c r="CG316" s="690"/>
      <c r="CH316" s="690"/>
      <c r="CI316" s="690"/>
      <c r="CJ316" s="690"/>
      <c r="CK316" s="690"/>
      <c r="CL316" s="690"/>
      <c r="CM316" s="690"/>
      <c r="CN316" s="690"/>
      <c r="CO316" s="690"/>
      <c r="CP316" s="690"/>
      <c r="CQ316" s="690"/>
      <c r="CR316" s="690"/>
      <c r="CS316" s="690"/>
      <c r="CT316" s="690"/>
      <c r="CU316" s="690"/>
      <c r="CV316" s="690"/>
      <c r="CW316" s="690"/>
      <c r="CX316" s="690"/>
      <c r="CY316" s="690"/>
      <c r="CZ316" s="690"/>
      <c r="DA316" s="690"/>
      <c r="DB316" s="690"/>
      <c r="DC316" s="690"/>
    </row>
    <row r="317" spans="1:107" s="630" customFormat="1" ht="12.75" hidden="1" customHeight="1">
      <c r="A317" s="504"/>
      <c r="B317" s="636" t="str">
        <f t="shared" si="115"/>
        <v/>
      </c>
      <c r="C317" s="628" t="str">
        <f t="shared" si="110"/>
        <v xml:space="preserve"> CA1 - Air Compressor Variable Speed Drives</v>
      </c>
      <c r="D317" s="628" t="str">
        <f t="shared" si="136"/>
        <v/>
      </c>
      <c r="E317" s="628" t="str">
        <f t="shared" si="136"/>
        <v/>
      </c>
      <c r="F317" s="628" t="str">
        <f t="shared" si="136"/>
        <v/>
      </c>
      <c r="G317" s="628" t="str">
        <f t="shared" si="136"/>
        <v/>
      </c>
      <c r="H317" s="628" t="str">
        <f t="shared" si="136"/>
        <v/>
      </c>
      <c r="I317" s="628" t="str">
        <f t="shared" si="136"/>
        <v/>
      </c>
      <c r="J317" s="628" t="str">
        <f t="shared" si="136"/>
        <v/>
      </c>
      <c r="K317" s="628" t="str">
        <f t="shared" si="136"/>
        <v/>
      </c>
      <c r="L317" s="628" t="str">
        <f t="shared" si="133"/>
        <v/>
      </c>
      <c r="M317" s="628" t="str">
        <f t="shared" si="133"/>
        <v/>
      </c>
      <c r="N317" s="628" t="str">
        <f t="shared" si="133"/>
        <v/>
      </c>
      <c r="O317" s="628" t="str">
        <f t="shared" si="133"/>
        <v/>
      </c>
      <c r="P317" s="628" t="str">
        <f t="shared" si="133"/>
        <v/>
      </c>
      <c r="Q317" s="628" t="str">
        <f t="shared" si="133"/>
        <v/>
      </c>
      <c r="R317" s="628" t="str">
        <f t="shared" si="133"/>
        <v/>
      </c>
      <c r="S317" s="628" t="str">
        <f t="shared" ref="S317:AI317" si="143">IF(S101="","",S101)</f>
        <v/>
      </c>
      <c r="T317" s="628" t="str">
        <f t="shared" si="143"/>
        <v/>
      </c>
      <c r="U317" s="628" t="str">
        <f t="shared" si="143"/>
        <v/>
      </c>
      <c r="V317" s="628" t="str">
        <f t="shared" si="143"/>
        <v xml:space="preserve">Qty: </v>
      </c>
      <c r="W317" s="628" t="str">
        <f t="shared" si="143"/>
        <v/>
      </c>
      <c r="X317" s="628" t="str">
        <f t="shared" si="143"/>
        <v/>
      </c>
      <c r="Y317" s="628" t="str">
        <f t="shared" si="143"/>
        <v>hp</v>
      </c>
      <c r="Z317" s="628" t="str">
        <f t="shared" si="143"/>
        <v/>
      </c>
      <c r="AA317" s="628" t="str">
        <f t="shared" si="143"/>
        <v/>
      </c>
      <c r="AB317" s="628" t="str">
        <f t="shared" si="143"/>
        <v/>
      </c>
      <c r="AC317" s="628" t="str">
        <f t="shared" si="143"/>
        <v/>
      </c>
      <c r="AD317" s="628" t="str">
        <f t="shared" si="143"/>
        <v>x $200 per hp=</v>
      </c>
      <c r="AE317" s="628" t="str">
        <f t="shared" si="143"/>
        <v>$</v>
      </c>
      <c r="AF317" s="628" t="str">
        <f t="shared" si="143"/>
        <v/>
      </c>
      <c r="AG317" s="628" t="str">
        <f t="shared" si="143"/>
        <v/>
      </c>
      <c r="AH317" s="628" t="str">
        <f t="shared" si="143"/>
        <v/>
      </c>
      <c r="AI317" s="638" t="str">
        <f t="shared" si="143"/>
        <v/>
      </c>
      <c r="AJ317" s="504"/>
      <c r="AK317" s="627"/>
      <c r="AL317" s="629"/>
      <c r="AM317" s="627"/>
      <c r="AN317" s="627"/>
      <c r="AO317" s="627"/>
      <c r="AP317" s="627"/>
      <c r="AQ317" s="627"/>
      <c r="AR317" s="627"/>
      <c r="AS317" s="627"/>
      <c r="AT317" s="627"/>
      <c r="AU317" s="627"/>
      <c r="AV317" s="627"/>
      <c r="AW317" s="627"/>
      <c r="AX317" s="627"/>
      <c r="AY317" s="627"/>
      <c r="AZ317" s="627"/>
      <c r="BA317" s="627"/>
      <c r="BB317" s="627"/>
      <c r="BC317" s="627"/>
      <c r="BD317" s="627"/>
      <c r="BE317" s="627"/>
      <c r="BF317" s="627"/>
      <c r="BG317" s="627"/>
      <c r="BH317" s="627"/>
      <c r="BI317" s="627"/>
      <c r="BJ317" s="627"/>
      <c r="BK317" s="627"/>
      <c r="BL317" s="627"/>
      <c r="BM317" s="627"/>
      <c r="BN317" s="627"/>
      <c r="BO317" s="627"/>
      <c r="BP317" s="627"/>
      <c r="BQ317" s="627"/>
      <c r="BR317" s="627"/>
      <c r="BS317" s="627"/>
      <c r="BT317" s="627"/>
      <c r="BU317" s="627"/>
      <c r="BV317" s="627"/>
      <c r="BW317" s="627"/>
      <c r="BX317" s="627"/>
      <c r="BY317" s="627"/>
      <c r="BZ317" s="627"/>
      <c r="CA317" s="690"/>
      <c r="CB317" s="690"/>
      <c r="CC317" s="690"/>
      <c r="CD317" s="690"/>
      <c r="CE317" s="690"/>
      <c r="CF317" s="690"/>
      <c r="CG317" s="690"/>
      <c r="CH317" s="690"/>
      <c r="CI317" s="690"/>
      <c r="CJ317" s="690"/>
      <c r="CK317" s="690"/>
      <c r="CL317" s="690"/>
      <c r="CM317" s="690"/>
      <c r="CN317" s="690"/>
      <c r="CO317" s="690"/>
      <c r="CP317" s="690"/>
      <c r="CQ317" s="690"/>
      <c r="CR317" s="690"/>
      <c r="CS317" s="690"/>
      <c r="CT317" s="690"/>
      <c r="CU317" s="690"/>
      <c r="CV317" s="690"/>
      <c r="CW317" s="690"/>
      <c r="CX317" s="690"/>
      <c r="CY317" s="690"/>
      <c r="CZ317" s="690"/>
      <c r="DA317" s="690"/>
      <c r="DB317" s="690"/>
      <c r="DC317" s="690"/>
    </row>
    <row r="318" spans="1:107" s="630" customFormat="1" ht="12.75" hidden="1" customHeight="1">
      <c r="A318" s="504"/>
      <c r="B318" s="636" t="str">
        <f t="shared" si="115"/>
        <v/>
      </c>
      <c r="C318" s="628" t="str">
        <f t="shared" si="110"/>
        <v xml:space="preserve"> CA2 - No Loss Condensate Drain</v>
      </c>
      <c r="D318" s="628" t="str">
        <f t="shared" si="136"/>
        <v/>
      </c>
      <c r="E318" s="628" t="str">
        <f t="shared" si="136"/>
        <v/>
      </c>
      <c r="F318" s="628" t="str">
        <f t="shared" si="136"/>
        <v/>
      </c>
      <c r="G318" s="628" t="str">
        <f t="shared" si="136"/>
        <v/>
      </c>
      <c r="H318" s="628" t="str">
        <f t="shared" si="136"/>
        <v/>
      </c>
      <c r="I318" s="628" t="str">
        <f t="shared" si="136"/>
        <v/>
      </c>
      <c r="J318" s="628" t="str">
        <f t="shared" si="136"/>
        <v/>
      </c>
      <c r="K318" s="628" t="str">
        <f t="shared" si="136"/>
        <v/>
      </c>
      <c r="L318" s="628" t="str">
        <f t="shared" si="133"/>
        <v/>
      </c>
      <c r="M318" s="628" t="str">
        <f t="shared" si="133"/>
        <v/>
      </c>
      <c r="N318" s="628" t="str">
        <f t="shared" si="133"/>
        <v/>
      </c>
      <c r="O318" s="628" t="str">
        <f t="shared" si="133"/>
        <v/>
      </c>
      <c r="P318" s="628" t="str">
        <f t="shared" si="133"/>
        <v/>
      </c>
      <c r="Q318" s="628" t="str">
        <f t="shared" si="133"/>
        <v/>
      </c>
      <c r="R318" s="628" t="str">
        <f t="shared" si="133"/>
        <v/>
      </c>
      <c r="S318" s="628" t="str">
        <f t="shared" ref="S318:AI318" si="144">IF(S102="","",S102)</f>
        <v/>
      </c>
      <c r="T318" s="628" t="str">
        <f t="shared" si="144"/>
        <v/>
      </c>
      <c r="U318" s="628" t="str">
        <f t="shared" si="144"/>
        <v/>
      </c>
      <c r="V318" s="628" t="str">
        <f t="shared" si="144"/>
        <v xml:space="preserve">Qty: </v>
      </c>
      <c r="W318" s="628" t="str">
        <f t="shared" si="144"/>
        <v/>
      </c>
      <c r="X318" s="628" t="str">
        <f t="shared" si="144"/>
        <v/>
      </c>
      <c r="Y318" s="628" t="str">
        <f t="shared" si="144"/>
        <v>unit</v>
      </c>
      <c r="Z318" s="628" t="str">
        <f t="shared" si="144"/>
        <v/>
      </c>
      <c r="AA318" s="628" t="str">
        <f t="shared" si="144"/>
        <v/>
      </c>
      <c r="AB318" s="628" t="str">
        <f t="shared" si="144"/>
        <v/>
      </c>
      <c r="AC318" s="628" t="str">
        <f t="shared" si="144"/>
        <v/>
      </c>
      <c r="AD318" s="628" t="str">
        <f t="shared" si="144"/>
        <v>x $200 per unit=</v>
      </c>
      <c r="AE318" s="628" t="str">
        <f t="shared" si="144"/>
        <v>$</v>
      </c>
      <c r="AF318" s="628" t="str">
        <f t="shared" si="144"/>
        <v/>
      </c>
      <c r="AG318" s="628" t="str">
        <f t="shared" si="144"/>
        <v/>
      </c>
      <c r="AH318" s="628" t="str">
        <f t="shared" si="144"/>
        <v/>
      </c>
      <c r="AI318" s="638" t="str">
        <f t="shared" si="144"/>
        <v/>
      </c>
      <c r="AJ318" s="504"/>
      <c r="AK318" s="627"/>
      <c r="AL318" s="629"/>
      <c r="AM318" s="627"/>
      <c r="AN318" s="627"/>
      <c r="AO318" s="627"/>
      <c r="AP318" s="627"/>
      <c r="AQ318" s="627"/>
      <c r="AR318" s="627"/>
      <c r="AS318" s="627"/>
      <c r="AT318" s="627"/>
      <c r="AU318" s="627"/>
      <c r="AV318" s="627"/>
      <c r="AW318" s="627"/>
      <c r="AX318" s="627"/>
      <c r="AY318" s="627"/>
      <c r="AZ318" s="627"/>
      <c r="BA318" s="627"/>
      <c r="BB318" s="627"/>
      <c r="BC318" s="627"/>
      <c r="BD318" s="627"/>
      <c r="BE318" s="627"/>
      <c r="BF318" s="627"/>
      <c r="BG318" s="627"/>
      <c r="BH318" s="627"/>
      <c r="BI318" s="627"/>
      <c r="BJ318" s="627"/>
      <c r="BK318" s="627"/>
      <c r="BL318" s="627"/>
      <c r="BM318" s="627"/>
      <c r="BN318" s="627"/>
      <c r="BO318" s="627"/>
      <c r="BP318" s="627"/>
      <c r="BQ318" s="627"/>
      <c r="BR318" s="627"/>
      <c r="BS318" s="627"/>
      <c r="BT318" s="627"/>
      <c r="BU318" s="627"/>
      <c r="BV318" s="627"/>
      <c r="BW318" s="627"/>
      <c r="BX318" s="627"/>
      <c r="BY318" s="627"/>
      <c r="BZ318" s="627"/>
      <c r="CA318" s="690"/>
      <c r="CB318" s="690"/>
      <c r="CC318" s="690"/>
      <c r="CD318" s="690"/>
      <c r="CE318" s="690"/>
      <c r="CF318" s="690"/>
      <c r="CG318" s="690"/>
      <c r="CH318" s="690"/>
      <c r="CI318" s="690"/>
      <c r="CJ318" s="690"/>
      <c r="CK318" s="690"/>
      <c r="CL318" s="690"/>
      <c r="CM318" s="690"/>
      <c r="CN318" s="690"/>
      <c r="CO318" s="690"/>
      <c r="CP318" s="690"/>
      <c r="CQ318" s="690"/>
      <c r="CR318" s="690"/>
      <c r="CS318" s="690"/>
      <c r="CT318" s="690"/>
      <c r="CU318" s="690"/>
      <c r="CV318" s="690"/>
      <c r="CW318" s="690"/>
      <c r="CX318" s="690"/>
      <c r="CY318" s="690"/>
      <c r="CZ318" s="690"/>
      <c r="DA318" s="690"/>
      <c r="DB318" s="690"/>
      <c r="DC318" s="690"/>
    </row>
    <row r="319" spans="1:107" s="630" customFormat="1" ht="12.75" hidden="1" customHeight="1">
      <c r="A319" s="504"/>
      <c r="B319" s="636" t="str">
        <f t="shared" si="115"/>
        <v/>
      </c>
      <c r="C319" s="628" t="str">
        <f t="shared" si="110"/>
        <v xml:space="preserve"> CA3 - Low Pressure Drop Filter</v>
      </c>
      <c r="D319" s="628" t="str">
        <f t="shared" si="136"/>
        <v/>
      </c>
      <c r="E319" s="628" t="str">
        <f t="shared" si="136"/>
        <v/>
      </c>
      <c r="F319" s="628" t="str">
        <f t="shared" si="136"/>
        <v/>
      </c>
      <c r="G319" s="628" t="str">
        <f t="shared" si="136"/>
        <v/>
      </c>
      <c r="H319" s="628" t="str">
        <f t="shared" si="136"/>
        <v/>
      </c>
      <c r="I319" s="628" t="str">
        <f t="shared" si="136"/>
        <v/>
      </c>
      <c r="J319" s="628" t="str">
        <f t="shared" si="136"/>
        <v/>
      </c>
      <c r="K319" s="628" t="str">
        <f t="shared" si="136"/>
        <v/>
      </c>
      <c r="L319" s="628" t="str">
        <f t="shared" ref="L319:R326" si="145">IF(L103="","",L103)</f>
        <v/>
      </c>
      <c r="M319" s="628" t="str">
        <f t="shared" si="145"/>
        <v/>
      </c>
      <c r="N319" s="628" t="str">
        <f t="shared" si="145"/>
        <v/>
      </c>
      <c r="O319" s="628" t="str">
        <f t="shared" si="145"/>
        <v/>
      </c>
      <c r="P319" s="628" t="str">
        <f t="shared" si="145"/>
        <v/>
      </c>
      <c r="Q319" s="628" t="str">
        <f t="shared" si="145"/>
        <v/>
      </c>
      <c r="R319" s="628" t="str">
        <f t="shared" si="145"/>
        <v/>
      </c>
      <c r="S319" s="628" t="str">
        <f t="shared" ref="S319:AI319" si="146">IF(S103="","",S103)</f>
        <v/>
      </c>
      <c r="T319" s="628" t="str">
        <f t="shared" si="146"/>
        <v/>
      </c>
      <c r="U319" s="628" t="str">
        <f t="shared" si="146"/>
        <v/>
      </c>
      <c r="V319" s="628" t="str">
        <f t="shared" si="146"/>
        <v xml:space="preserve">Qty: </v>
      </c>
      <c r="W319" s="628" t="str">
        <f t="shared" si="146"/>
        <v/>
      </c>
      <c r="X319" s="628" t="str">
        <f t="shared" si="146"/>
        <v/>
      </c>
      <c r="Y319" s="628" t="str">
        <f t="shared" si="146"/>
        <v>hp</v>
      </c>
      <c r="Z319" s="628" t="str">
        <f t="shared" si="146"/>
        <v/>
      </c>
      <c r="AA319" s="628" t="str">
        <f t="shared" si="146"/>
        <v/>
      </c>
      <c r="AB319" s="628" t="str">
        <f t="shared" si="146"/>
        <v/>
      </c>
      <c r="AC319" s="628" t="str">
        <f t="shared" si="146"/>
        <v/>
      </c>
      <c r="AD319" s="628" t="str">
        <f t="shared" si="146"/>
        <v>x $10 per hp=</v>
      </c>
      <c r="AE319" s="628" t="str">
        <f t="shared" si="146"/>
        <v>$</v>
      </c>
      <c r="AF319" s="628" t="str">
        <f t="shared" si="146"/>
        <v/>
      </c>
      <c r="AG319" s="628" t="str">
        <f t="shared" si="146"/>
        <v/>
      </c>
      <c r="AH319" s="628" t="str">
        <f t="shared" si="146"/>
        <v/>
      </c>
      <c r="AI319" s="638" t="str">
        <f t="shared" si="146"/>
        <v/>
      </c>
      <c r="AJ319" s="504"/>
      <c r="AK319" s="627"/>
      <c r="AL319" s="629"/>
      <c r="AM319" s="627"/>
      <c r="AN319" s="627"/>
      <c r="AO319" s="627"/>
      <c r="AP319" s="627"/>
      <c r="AQ319" s="627"/>
      <c r="AR319" s="627"/>
      <c r="AS319" s="627"/>
      <c r="AT319" s="627"/>
      <c r="AU319" s="627"/>
      <c r="AV319" s="627"/>
      <c r="AW319" s="627"/>
      <c r="AX319" s="627"/>
      <c r="AY319" s="627"/>
      <c r="AZ319" s="627"/>
      <c r="BA319" s="627"/>
      <c r="BB319" s="627"/>
      <c r="BC319" s="627"/>
      <c r="BD319" s="627"/>
      <c r="BE319" s="627"/>
      <c r="BF319" s="627"/>
      <c r="BG319" s="627"/>
      <c r="BH319" s="627"/>
      <c r="BI319" s="627"/>
      <c r="BJ319" s="627"/>
      <c r="BK319" s="627"/>
      <c r="BL319" s="627"/>
      <c r="BM319" s="627"/>
      <c r="BN319" s="627"/>
      <c r="BO319" s="627"/>
      <c r="BP319" s="627"/>
      <c r="BQ319" s="627"/>
      <c r="BR319" s="627"/>
      <c r="BS319" s="627"/>
      <c r="BT319" s="627"/>
      <c r="BU319" s="627"/>
      <c r="BV319" s="627"/>
      <c r="BW319" s="627"/>
      <c r="BX319" s="627"/>
      <c r="BY319" s="627"/>
      <c r="BZ319" s="627"/>
      <c r="CA319" s="690"/>
      <c r="CB319" s="690"/>
      <c r="CC319" s="690"/>
      <c r="CD319" s="690"/>
      <c r="CE319" s="690"/>
      <c r="CF319" s="690"/>
      <c r="CG319" s="690"/>
      <c r="CH319" s="690"/>
      <c r="CI319" s="690"/>
      <c r="CJ319" s="690"/>
      <c r="CK319" s="690"/>
      <c r="CL319" s="690"/>
      <c r="CM319" s="690"/>
      <c r="CN319" s="690"/>
      <c r="CO319" s="690"/>
      <c r="CP319" s="690"/>
      <c r="CQ319" s="690"/>
      <c r="CR319" s="690"/>
      <c r="CS319" s="690"/>
      <c r="CT319" s="690"/>
      <c r="CU319" s="690"/>
      <c r="CV319" s="690"/>
      <c r="CW319" s="690"/>
      <c r="CX319" s="690"/>
      <c r="CY319" s="690"/>
      <c r="CZ319" s="690"/>
      <c r="DA319" s="690"/>
      <c r="DB319" s="690"/>
      <c r="DC319" s="690"/>
    </row>
    <row r="320" spans="1:107" s="630" customFormat="1" ht="12.75" hidden="1" customHeight="1">
      <c r="A320" s="504"/>
      <c r="B320" s="636" t="str">
        <f t="shared" si="115"/>
        <v/>
      </c>
      <c r="C320" s="628" t="str">
        <f t="shared" si="110"/>
        <v xml:space="preserve"> CA4 - Refrigerated Compressed Air Dryer*</v>
      </c>
      <c r="D320" s="628" t="str">
        <f t="shared" si="136"/>
        <v/>
      </c>
      <c r="E320" s="628" t="str">
        <f t="shared" si="136"/>
        <v/>
      </c>
      <c r="F320" s="628" t="str">
        <f t="shared" si="136"/>
        <v/>
      </c>
      <c r="G320" s="628" t="str">
        <f t="shared" si="136"/>
        <v/>
      </c>
      <c r="H320" s="628" t="str">
        <f t="shared" si="136"/>
        <v/>
      </c>
      <c r="I320" s="628" t="str">
        <f t="shared" si="136"/>
        <v/>
      </c>
      <c r="J320" s="628" t="str">
        <f t="shared" si="136"/>
        <v/>
      </c>
      <c r="K320" s="628" t="str">
        <f t="shared" si="136"/>
        <v/>
      </c>
      <c r="L320" s="628" t="str">
        <f t="shared" si="145"/>
        <v/>
      </c>
      <c r="M320" s="628" t="str">
        <f t="shared" si="145"/>
        <v/>
      </c>
      <c r="N320" s="628" t="str">
        <f t="shared" si="145"/>
        <v/>
      </c>
      <c r="O320" s="628" t="str">
        <f t="shared" si="145"/>
        <v/>
      </c>
      <c r="P320" s="628" t="str">
        <f t="shared" si="145"/>
        <v/>
      </c>
      <c r="Q320" s="628" t="str">
        <f t="shared" si="145"/>
        <v/>
      </c>
      <c r="R320" s="628" t="str">
        <f t="shared" si="145"/>
        <v/>
      </c>
      <c r="S320" s="628" t="str">
        <f t="shared" ref="S320:AI320" si="147">IF(S104="","",S104)</f>
        <v/>
      </c>
      <c r="T320" s="628" t="str">
        <f t="shared" si="147"/>
        <v/>
      </c>
      <c r="U320" s="628" t="str">
        <f t="shared" si="147"/>
        <v/>
      </c>
      <c r="V320" s="628" t="str">
        <f t="shared" si="147"/>
        <v xml:space="preserve">Qty: </v>
      </c>
      <c r="W320" s="628" t="str">
        <f t="shared" si="147"/>
        <v/>
      </c>
      <c r="X320" s="628" t="str">
        <f t="shared" si="147"/>
        <v/>
      </c>
      <c r="Y320" s="628" t="str">
        <f t="shared" si="147"/>
        <v>cfm</v>
      </c>
      <c r="Z320" s="628" t="str">
        <f t="shared" si="147"/>
        <v/>
      </c>
      <c r="AA320" s="628" t="str">
        <f t="shared" si="147"/>
        <v/>
      </c>
      <c r="AB320" s="628" t="str">
        <f t="shared" si="147"/>
        <v/>
      </c>
      <c r="AC320" s="628" t="str">
        <f t="shared" si="147"/>
        <v/>
      </c>
      <c r="AD320" s="628" t="str">
        <f t="shared" si="147"/>
        <v>x $3 per cfm =</v>
      </c>
      <c r="AE320" s="628" t="str">
        <f t="shared" si="147"/>
        <v>$</v>
      </c>
      <c r="AF320" s="628" t="str">
        <f t="shared" si="147"/>
        <v/>
      </c>
      <c r="AG320" s="628" t="str">
        <f t="shared" si="147"/>
        <v/>
      </c>
      <c r="AH320" s="628" t="str">
        <f t="shared" si="147"/>
        <v/>
      </c>
      <c r="AI320" s="638" t="str">
        <f t="shared" si="147"/>
        <v/>
      </c>
      <c r="AJ320" s="504"/>
      <c r="AK320" s="627"/>
      <c r="AL320" s="629"/>
      <c r="AM320" s="627"/>
      <c r="AN320" s="627"/>
      <c r="AO320" s="627"/>
      <c r="AP320" s="627"/>
      <c r="AQ320" s="627"/>
      <c r="AR320" s="627"/>
      <c r="AS320" s="627"/>
      <c r="AT320" s="627"/>
      <c r="AU320" s="627"/>
      <c r="AV320" s="627"/>
      <c r="AW320" s="627"/>
      <c r="AX320" s="627"/>
      <c r="AY320" s="627"/>
      <c r="AZ320" s="627"/>
      <c r="BA320" s="627"/>
      <c r="BB320" s="627"/>
      <c r="BC320" s="627"/>
      <c r="BD320" s="627"/>
      <c r="BE320" s="627"/>
      <c r="BF320" s="627"/>
      <c r="BG320" s="627"/>
      <c r="BH320" s="627"/>
      <c r="BI320" s="627"/>
      <c r="BJ320" s="627"/>
      <c r="BK320" s="627"/>
      <c r="BL320" s="627"/>
      <c r="BM320" s="627"/>
      <c r="BN320" s="627"/>
      <c r="BO320" s="627"/>
      <c r="BP320" s="627"/>
      <c r="BQ320" s="627"/>
      <c r="BR320" s="627"/>
      <c r="BS320" s="627"/>
      <c r="BT320" s="627"/>
      <c r="BU320" s="627"/>
      <c r="BV320" s="627"/>
      <c r="BW320" s="627"/>
      <c r="BX320" s="627"/>
      <c r="BY320" s="627"/>
      <c r="BZ320" s="627"/>
      <c r="CA320" s="690"/>
      <c r="CB320" s="690"/>
      <c r="CC320" s="690"/>
      <c r="CD320" s="690"/>
      <c r="CE320" s="690"/>
      <c r="CF320" s="690"/>
      <c r="CG320" s="690"/>
      <c r="CH320" s="690"/>
      <c r="CI320" s="690"/>
      <c r="CJ320" s="690"/>
      <c r="CK320" s="690"/>
      <c r="CL320" s="690"/>
      <c r="CM320" s="690"/>
      <c r="CN320" s="690"/>
      <c r="CO320" s="690"/>
      <c r="CP320" s="690"/>
      <c r="CQ320" s="690"/>
      <c r="CR320" s="690"/>
      <c r="CS320" s="690"/>
      <c r="CT320" s="690"/>
      <c r="CU320" s="690"/>
      <c r="CV320" s="690"/>
      <c r="CW320" s="690"/>
      <c r="CX320" s="690"/>
      <c r="CY320" s="690"/>
      <c r="CZ320" s="690"/>
      <c r="DA320" s="690"/>
      <c r="DB320" s="690"/>
      <c r="DC320" s="690"/>
    </row>
    <row r="321" spans="1:256" s="630" customFormat="1" ht="12.75" hidden="1" customHeight="1">
      <c r="A321" s="504"/>
      <c r="B321" s="636" t="str">
        <f t="shared" si="115"/>
        <v/>
      </c>
      <c r="C321" s="628" t="str">
        <f t="shared" si="110"/>
        <v xml:space="preserve"> CA5 - Efficient Compressed Air Nozzle</v>
      </c>
      <c r="D321" s="628" t="str">
        <f t="shared" ref="D321:K326" si="148">IF(D105="","",D105)</f>
        <v/>
      </c>
      <c r="E321" s="628" t="str">
        <f t="shared" si="148"/>
        <v/>
      </c>
      <c r="F321" s="628" t="str">
        <f t="shared" si="148"/>
        <v/>
      </c>
      <c r="G321" s="628" t="str">
        <f t="shared" si="148"/>
        <v/>
      </c>
      <c r="H321" s="628" t="str">
        <f t="shared" si="148"/>
        <v/>
      </c>
      <c r="I321" s="628" t="str">
        <f t="shared" si="148"/>
        <v/>
      </c>
      <c r="J321" s="628" t="str">
        <f t="shared" si="148"/>
        <v/>
      </c>
      <c r="K321" s="628" t="str">
        <f t="shared" si="148"/>
        <v/>
      </c>
      <c r="L321" s="628" t="str">
        <f t="shared" si="145"/>
        <v/>
      </c>
      <c r="M321" s="628" t="str">
        <f t="shared" si="145"/>
        <v/>
      </c>
      <c r="N321" s="628" t="str">
        <f t="shared" si="145"/>
        <v/>
      </c>
      <c r="O321" s="628" t="str">
        <f t="shared" si="145"/>
        <v/>
      </c>
      <c r="P321" s="628" t="str">
        <f t="shared" si="145"/>
        <v/>
      </c>
      <c r="Q321" s="628" t="str">
        <f t="shared" si="145"/>
        <v/>
      </c>
      <c r="R321" s="628" t="str">
        <f t="shared" si="145"/>
        <v/>
      </c>
      <c r="S321" s="628" t="str">
        <f t="shared" ref="S321:AI321" si="149">IF(S105="","",S105)</f>
        <v/>
      </c>
      <c r="T321" s="628" t="str">
        <f t="shared" si="149"/>
        <v/>
      </c>
      <c r="U321" s="628" t="str">
        <f t="shared" si="149"/>
        <v/>
      </c>
      <c r="V321" s="628" t="str">
        <f t="shared" si="149"/>
        <v xml:space="preserve">Qty: </v>
      </c>
      <c r="W321" s="628" t="str">
        <f t="shared" si="149"/>
        <v/>
      </c>
      <c r="X321" s="628" t="str">
        <f t="shared" si="149"/>
        <v/>
      </c>
      <c r="Y321" s="628" t="str">
        <f t="shared" si="149"/>
        <v>nozzle</v>
      </c>
      <c r="Z321" s="628" t="str">
        <f t="shared" si="149"/>
        <v/>
      </c>
      <c r="AA321" s="628" t="str">
        <f t="shared" si="149"/>
        <v/>
      </c>
      <c r="AB321" s="628" t="str">
        <f t="shared" si="149"/>
        <v/>
      </c>
      <c r="AC321" s="628" t="str">
        <f t="shared" si="149"/>
        <v/>
      </c>
      <c r="AD321" s="628" t="str">
        <f t="shared" si="149"/>
        <v>x $80 per nozzle =</v>
      </c>
      <c r="AE321" s="628" t="str">
        <f t="shared" si="149"/>
        <v>$</v>
      </c>
      <c r="AF321" s="628" t="str">
        <f t="shared" si="149"/>
        <v/>
      </c>
      <c r="AG321" s="628" t="str">
        <f t="shared" si="149"/>
        <v/>
      </c>
      <c r="AH321" s="628" t="str">
        <f t="shared" si="149"/>
        <v/>
      </c>
      <c r="AI321" s="638" t="str">
        <f t="shared" si="149"/>
        <v/>
      </c>
      <c r="AJ321" s="504"/>
      <c r="AK321" s="627"/>
      <c r="AL321" s="629"/>
      <c r="AM321" s="627"/>
      <c r="AN321" s="627"/>
      <c r="AO321" s="627"/>
      <c r="AP321" s="627"/>
      <c r="AQ321" s="627"/>
      <c r="AR321" s="627"/>
      <c r="AS321" s="627"/>
      <c r="AT321" s="627"/>
      <c r="AU321" s="627"/>
      <c r="AV321" s="627"/>
      <c r="AW321" s="627"/>
      <c r="AX321" s="627"/>
      <c r="AY321" s="627"/>
      <c r="AZ321" s="627"/>
      <c r="BA321" s="627"/>
      <c r="BB321" s="627"/>
      <c r="BC321" s="627"/>
      <c r="BD321" s="627"/>
      <c r="BE321" s="627"/>
      <c r="BF321" s="627"/>
      <c r="BG321" s="627"/>
      <c r="BH321" s="627"/>
      <c r="BI321" s="627"/>
      <c r="BJ321" s="627"/>
      <c r="BK321" s="627"/>
      <c r="BL321" s="627"/>
      <c r="BM321" s="627"/>
      <c r="BN321" s="627"/>
      <c r="BO321" s="627"/>
      <c r="BP321" s="627"/>
      <c r="BQ321" s="627"/>
      <c r="BR321" s="627"/>
      <c r="BS321" s="627"/>
      <c r="BT321" s="627"/>
      <c r="BU321" s="627"/>
      <c r="BV321" s="627"/>
      <c r="BW321" s="627"/>
      <c r="BX321" s="627"/>
      <c r="BY321" s="627"/>
      <c r="BZ321" s="627"/>
      <c r="CA321" s="690"/>
      <c r="CB321" s="690"/>
      <c r="CC321" s="690"/>
      <c r="CD321" s="690"/>
      <c r="CE321" s="690"/>
      <c r="CF321" s="690"/>
      <c r="CG321" s="690"/>
      <c r="CH321" s="690"/>
      <c r="CI321" s="690"/>
      <c r="CJ321" s="690"/>
      <c r="CK321" s="690"/>
      <c r="CL321" s="690"/>
      <c r="CM321" s="690"/>
      <c r="CN321" s="690"/>
      <c r="CO321" s="690"/>
      <c r="CP321" s="690"/>
      <c r="CQ321" s="690"/>
      <c r="CR321" s="690"/>
      <c r="CS321" s="690"/>
      <c r="CT321" s="690"/>
      <c r="CU321" s="690"/>
      <c r="CV321" s="690"/>
      <c r="CW321" s="690"/>
      <c r="CX321" s="690"/>
      <c r="CY321" s="690"/>
      <c r="CZ321" s="690"/>
      <c r="DA321" s="690"/>
      <c r="DB321" s="690"/>
      <c r="DC321" s="690"/>
    </row>
    <row r="322" spans="1:256" s="630" customFormat="1" ht="12.75" hidden="1" customHeight="1">
      <c r="A322" s="504"/>
      <c r="B322" s="636" t="str">
        <f t="shared" si="115"/>
        <v/>
      </c>
      <c r="C322" s="628" t="str">
        <f t="shared" si="110"/>
        <v/>
      </c>
      <c r="D322" s="628" t="str">
        <f t="shared" si="148"/>
        <v/>
      </c>
      <c r="E322" s="628" t="str">
        <f t="shared" si="148"/>
        <v/>
      </c>
      <c r="F322" s="628" t="str">
        <f t="shared" si="148"/>
        <v/>
      </c>
      <c r="G322" s="628" t="str">
        <f t="shared" si="148"/>
        <v/>
      </c>
      <c r="H322" s="628" t="str">
        <f t="shared" si="148"/>
        <v/>
      </c>
      <c r="I322" s="628" t="str">
        <f t="shared" si="148"/>
        <v/>
      </c>
      <c r="J322" s="628" t="str">
        <f t="shared" si="148"/>
        <v/>
      </c>
      <c r="K322" s="628" t="str">
        <f t="shared" si="148"/>
        <v/>
      </c>
      <c r="L322" s="628" t="str">
        <f t="shared" si="145"/>
        <v/>
      </c>
      <c r="M322" s="628" t="str">
        <f t="shared" si="145"/>
        <v/>
      </c>
      <c r="N322" s="628" t="str">
        <f t="shared" si="145"/>
        <v/>
      </c>
      <c r="O322" s="628" t="str">
        <f t="shared" si="145"/>
        <v/>
      </c>
      <c r="P322" s="628" t="str">
        <f t="shared" si="145"/>
        <v/>
      </c>
      <c r="Q322" s="628" t="str">
        <f t="shared" si="145"/>
        <v/>
      </c>
      <c r="R322" s="628" t="str">
        <f t="shared" si="145"/>
        <v/>
      </c>
      <c r="S322" s="628" t="str">
        <f t="shared" ref="S322:AI322" si="150">IF(S106="","",S106)</f>
        <v/>
      </c>
      <c r="T322" s="628" t="str">
        <f t="shared" si="150"/>
        <v/>
      </c>
      <c r="U322" s="628" t="str">
        <f t="shared" si="150"/>
        <v/>
      </c>
      <c r="V322" s="628" t="str">
        <f t="shared" si="150"/>
        <v/>
      </c>
      <c r="W322" s="628" t="str">
        <f t="shared" si="150"/>
        <v/>
      </c>
      <c r="X322" s="628" t="str">
        <f t="shared" si="150"/>
        <v/>
      </c>
      <c r="Y322" s="628" t="str">
        <f t="shared" si="150"/>
        <v/>
      </c>
      <c r="Z322" s="628" t="str">
        <f t="shared" si="150"/>
        <v/>
      </c>
      <c r="AA322" s="628" t="str">
        <f t="shared" si="150"/>
        <v/>
      </c>
      <c r="AB322" s="628" t="str">
        <f t="shared" si="150"/>
        <v/>
      </c>
      <c r="AC322" s="628" t="str">
        <f t="shared" si="150"/>
        <v/>
      </c>
      <c r="AD322" s="628" t="str">
        <f t="shared" si="150"/>
        <v/>
      </c>
      <c r="AE322" s="628" t="str">
        <f t="shared" si="150"/>
        <v/>
      </c>
      <c r="AF322" s="628" t="str">
        <f t="shared" si="150"/>
        <v/>
      </c>
      <c r="AG322" s="628" t="str">
        <f t="shared" si="150"/>
        <v/>
      </c>
      <c r="AH322" s="628" t="str">
        <f t="shared" si="150"/>
        <v/>
      </c>
      <c r="AI322" s="638" t="str">
        <f t="shared" si="150"/>
        <v/>
      </c>
      <c r="AJ322" s="504"/>
      <c r="AK322" s="627"/>
      <c r="AL322" s="629"/>
      <c r="AM322" s="627"/>
      <c r="AN322" s="627"/>
      <c r="AO322" s="627"/>
      <c r="AP322" s="627"/>
      <c r="AQ322" s="627"/>
      <c r="AR322" s="627"/>
      <c r="AS322" s="627"/>
      <c r="AT322" s="627"/>
      <c r="AU322" s="627"/>
      <c r="AV322" s="627"/>
      <c r="AW322" s="627"/>
      <c r="AX322" s="627"/>
      <c r="AY322" s="627"/>
      <c r="AZ322" s="627"/>
      <c r="BA322" s="627"/>
      <c r="BB322" s="627"/>
      <c r="BC322" s="627"/>
      <c r="BD322" s="627"/>
      <c r="BE322" s="627"/>
      <c r="BF322" s="627"/>
      <c r="BG322" s="627"/>
      <c r="BH322" s="627"/>
      <c r="BI322" s="627"/>
      <c r="BJ322" s="627"/>
      <c r="BK322" s="627"/>
      <c r="BL322" s="627"/>
      <c r="BM322" s="627"/>
      <c r="BN322" s="627"/>
      <c r="BO322" s="627"/>
      <c r="BP322" s="627"/>
      <c r="BQ322" s="627"/>
      <c r="BR322" s="627"/>
      <c r="BS322" s="627"/>
      <c r="BT322" s="627"/>
      <c r="BU322" s="627"/>
      <c r="BV322" s="627"/>
      <c r="BW322" s="627"/>
      <c r="BX322" s="627"/>
      <c r="BY322" s="627"/>
      <c r="BZ322" s="627"/>
      <c r="CA322" s="690"/>
      <c r="CB322" s="690"/>
      <c r="CC322" s="690"/>
      <c r="CD322" s="690"/>
      <c r="CE322" s="690"/>
      <c r="CF322" s="690"/>
      <c r="CG322" s="690"/>
      <c r="CH322" s="690"/>
      <c r="CI322" s="690"/>
      <c r="CJ322" s="690"/>
      <c r="CK322" s="690"/>
      <c r="CL322" s="690"/>
      <c r="CM322" s="690"/>
      <c r="CN322" s="690"/>
      <c r="CO322" s="690"/>
      <c r="CP322" s="690"/>
      <c r="CQ322" s="690"/>
      <c r="CR322" s="690"/>
      <c r="CS322" s="690"/>
      <c r="CT322" s="690"/>
      <c r="CU322" s="690"/>
      <c r="CV322" s="690"/>
      <c r="CW322" s="690"/>
      <c r="CX322" s="690"/>
      <c r="CY322" s="690"/>
      <c r="CZ322" s="690"/>
      <c r="DA322" s="690"/>
      <c r="DB322" s="690"/>
      <c r="DC322" s="690"/>
    </row>
    <row r="323" spans="1:256" s="630" customFormat="1" ht="12.75" hidden="1" customHeight="1">
      <c r="A323" s="504"/>
      <c r="B323" s="636" t="str">
        <f t="shared" si="115"/>
        <v/>
      </c>
      <c r="C323" s="628" t="str">
        <f t="shared" si="110"/>
        <v/>
      </c>
      <c r="D323" s="628" t="str">
        <f t="shared" si="148"/>
        <v/>
      </c>
      <c r="E323" s="628" t="str">
        <f t="shared" si="148"/>
        <v/>
      </c>
      <c r="F323" s="628" t="str">
        <f t="shared" si="148"/>
        <v/>
      </c>
      <c r="G323" s="628" t="str">
        <f t="shared" si="148"/>
        <v/>
      </c>
      <c r="H323" s="628" t="str">
        <f t="shared" si="148"/>
        <v/>
      </c>
      <c r="I323" s="628" t="str">
        <f t="shared" si="148"/>
        <v/>
      </c>
      <c r="J323" s="628" t="str">
        <f t="shared" si="148"/>
        <v/>
      </c>
      <c r="K323" s="628" t="str">
        <f t="shared" si="148"/>
        <v/>
      </c>
      <c r="L323" s="628" t="str">
        <f t="shared" si="145"/>
        <v/>
      </c>
      <c r="M323" s="628" t="str">
        <f t="shared" si="145"/>
        <v/>
      </c>
      <c r="N323" s="628" t="str">
        <f t="shared" si="145"/>
        <v/>
      </c>
      <c r="O323" s="628" t="str">
        <f t="shared" si="145"/>
        <v/>
      </c>
      <c r="P323" s="628" t="str">
        <f t="shared" si="145"/>
        <v/>
      </c>
      <c r="Q323" s="628" t="str">
        <f t="shared" si="145"/>
        <v/>
      </c>
      <c r="R323" s="628" t="str">
        <f t="shared" si="145"/>
        <v/>
      </c>
      <c r="S323" s="628" t="str">
        <f t="shared" ref="S323:AI323" si="151">IF(S107="","",S107)</f>
        <v/>
      </c>
      <c r="T323" s="628" t="str">
        <f t="shared" si="151"/>
        <v/>
      </c>
      <c r="U323" s="628" t="str">
        <f t="shared" si="151"/>
        <v/>
      </c>
      <c r="V323" s="628" t="str">
        <f t="shared" si="151"/>
        <v/>
      </c>
      <c r="W323" s="628" t="str">
        <f t="shared" si="151"/>
        <v/>
      </c>
      <c r="X323" s="628" t="str">
        <f t="shared" si="151"/>
        <v/>
      </c>
      <c r="Y323" s="628" t="str">
        <f t="shared" si="151"/>
        <v/>
      </c>
      <c r="Z323" s="628" t="str">
        <f t="shared" si="151"/>
        <v/>
      </c>
      <c r="AA323" s="628" t="str">
        <f t="shared" si="151"/>
        <v/>
      </c>
      <c r="AB323" s="628" t="str">
        <f t="shared" si="151"/>
        <v/>
      </c>
      <c r="AC323" s="628" t="str">
        <f t="shared" si="151"/>
        <v/>
      </c>
      <c r="AD323" s="628" t="str">
        <f t="shared" si="151"/>
        <v/>
      </c>
      <c r="AE323" s="628" t="str">
        <f t="shared" si="151"/>
        <v/>
      </c>
      <c r="AF323" s="628" t="str">
        <f t="shared" si="151"/>
        <v/>
      </c>
      <c r="AG323" s="628" t="str">
        <f t="shared" si="151"/>
        <v/>
      </c>
      <c r="AH323" s="628" t="str">
        <f t="shared" si="151"/>
        <v/>
      </c>
      <c r="AI323" s="638" t="str">
        <f t="shared" si="151"/>
        <v/>
      </c>
      <c r="AJ323" s="504"/>
      <c r="AK323" s="627"/>
      <c r="AL323" s="629"/>
      <c r="AM323" s="627"/>
      <c r="AN323" s="627"/>
      <c r="AO323" s="627"/>
      <c r="AP323" s="627"/>
      <c r="AQ323" s="627"/>
      <c r="AR323" s="627"/>
      <c r="AS323" s="627"/>
      <c r="AT323" s="627"/>
      <c r="AU323" s="627"/>
      <c r="AV323" s="627"/>
      <c r="AW323" s="627"/>
      <c r="AX323" s="627"/>
      <c r="AY323" s="627"/>
      <c r="AZ323" s="627"/>
      <c r="BA323" s="627"/>
      <c r="BB323" s="627"/>
      <c r="BC323" s="627"/>
      <c r="BD323" s="627"/>
      <c r="BE323" s="627"/>
      <c r="BF323" s="627"/>
      <c r="BG323" s="627"/>
      <c r="BH323" s="627"/>
      <c r="BI323" s="627"/>
      <c r="BJ323" s="627"/>
      <c r="BK323" s="627"/>
      <c r="BL323" s="627"/>
      <c r="BM323" s="627"/>
      <c r="BN323" s="627"/>
      <c r="BO323" s="627"/>
      <c r="BP323" s="627"/>
      <c r="BQ323" s="627"/>
      <c r="BR323" s="627"/>
      <c r="BS323" s="627"/>
      <c r="BT323" s="627"/>
      <c r="BU323" s="627"/>
      <c r="BV323" s="627"/>
      <c r="BW323" s="627"/>
      <c r="BX323" s="627"/>
      <c r="BY323" s="627"/>
      <c r="BZ323" s="627"/>
      <c r="CA323" s="690"/>
      <c r="CB323" s="690"/>
      <c r="CC323" s="690"/>
      <c r="CD323" s="690"/>
      <c r="CE323" s="690"/>
      <c r="CF323" s="690"/>
      <c r="CG323" s="690"/>
      <c r="CH323" s="690"/>
      <c r="CI323" s="690"/>
      <c r="CJ323" s="690"/>
      <c r="CK323" s="690"/>
      <c r="CL323" s="690"/>
      <c r="CM323" s="690"/>
      <c r="CN323" s="690"/>
      <c r="CO323" s="690"/>
      <c r="CP323" s="690"/>
      <c r="CQ323" s="690"/>
      <c r="CR323" s="690"/>
      <c r="CS323" s="690"/>
      <c r="CT323" s="690"/>
      <c r="CU323" s="690"/>
      <c r="CV323" s="690"/>
      <c r="CW323" s="690"/>
      <c r="CX323" s="690"/>
      <c r="CY323" s="690"/>
      <c r="CZ323" s="690"/>
      <c r="DA323" s="690"/>
      <c r="DB323" s="690"/>
      <c r="DC323" s="690"/>
    </row>
    <row r="324" spans="1:256" s="630" customFormat="1" ht="12.75" hidden="1" customHeight="1">
      <c r="A324" s="504"/>
      <c r="B324" s="636" t="str">
        <f t="shared" si="115"/>
        <v/>
      </c>
      <c r="C324" s="628" t="str">
        <f t="shared" si="110"/>
        <v/>
      </c>
      <c r="D324" s="628" t="str">
        <f t="shared" si="148"/>
        <v/>
      </c>
      <c r="E324" s="628" t="str">
        <f t="shared" si="148"/>
        <v/>
      </c>
      <c r="F324" s="628" t="str">
        <f t="shared" si="148"/>
        <v/>
      </c>
      <c r="G324" s="628" t="str">
        <f t="shared" si="148"/>
        <v/>
      </c>
      <c r="H324" s="628" t="str">
        <f t="shared" si="148"/>
        <v/>
      </c>
      <c r="I324" s="628" t="str">
        <f t="shared" si="148"/>
        <v/>
      </c>
      <c r="J324" s="628" t="str">
        <f t="shared" si="148"/>
        <v/>
      </c>
      <c r="K324" s="628" t="str">
        <f t="shared" si="148"/>
        <v/>
      </c>
      <c r="L324" s="628" t="str">
        <f t="shared" si="145"/>
        <v/>
      </c>
      <c r="M324" s="628" t="str">
        <f t="shared" si="145"/>
        <v/>
      </c>
      <c r="N324" s="628" t="str">
        <f t="shared" si="145"/>
        <v/>
      </c>
      <c r="O324" s="628" t="str">
        <f t="shared" si="145"/>
        <v/>
      </c>
      <c r="P324" s="628" t="str">
        <f t="shared" si="145"/>
        <v/>
      </c>
      <c r="Q324" s="628" t="str">
        <f t="shared" si="145"/>
        <v/>
      </c>
      <c r="R324" s="628" t="str">
        <f t="shared" si="145"/>
        <v/>
      </c>
      <c r="S324" s="628" t="str">
        <f t="shared" ref="S324:AI324" si="152">IF(S108="","",S108)</f>
        <v/>
      </c>
      <c r="T324" s="628" t="str">
        <f t="shared" si="152"/>
        <v/>
      </c>
      <c r="U324" s="628" t="str">
        <f t="shared" si="152"/>
        <v/>
      </c>
      <c r="V324" s="628" t="str">
        <f t="shared" si="152"/>
        <v/>
      </c>
      <c r="W324" s="628" t="str">
        <f t="shared" si="152"/>
        <v/>
      </c>
      <c r="X324" s="628" t="str">
        <f t="shared" si="152"/>
        <v/>
      </c>
      <c r="Y324" s="628" t="str">
        <f t="shared" si="152"/>
        <v/>
      </c>
      <c r="Z324" s="628" t="str">
        <f t="shared" si="152"/>
        <v/>
      </c>
      <c r="AA324" s="628" t="str">
        <f t="shared" si="152"/>
        <v/>
      </c>
      <c r="AB324" s="628" t="str">
        <f t="shared" si="152"/>
        <v/>
      </c>
      <c r="AC324" s="628" t="str">
        <f t="shared" si="152"/>
        <v/>
      </c>
      <c r="AD324" s="628" t="str">
        <f t="shared" si="152"/>
        <v/>
      </c>
      <c r="AE324" s="628" t="str">
        <f t="shared" si="152"/>
        <v/>
      </c>
      <c r="AF324" s="628" t="str">
        <f t="shared" si="152"/>
        <v/>
      </c>
      <c r="AG324" s="628" t="str">
        <f t="shared" si="152"/>
        <v/>
      </c>
      <c r="AH324" s="628" t="str">
        <f t="shared" si="152"/>
        <v/>
      </c>
      <c r="AI324" s="638" t="str">
        <f t="shared" si="152"/>
        <v/>
      </c>
      <c r="AJ324" s="504"/>
      <c r="AK324" s="627"/>
      <c r="AL324" s="629"/>
      <c r="AM324" s="627"/>
      <c r="AN324" s="627"/>
      <c r="AO324" s="627"/>
      <c r="AP324" s="627"/>
      <c r="AQ324" s="627"/>
      <c r="AR324" s="627"/>
      <c r="AS324" s="627"/>
      <c r="AT324" s="627"/>
      <c r="AU324" s="627"/>
      <c r="AV324" s="627"/>
      <c r="AW324" s="627"/>
      <c r="AX324" s="627"/>
      <c r="AY324" s="627"/>
      <c r="AZ324" s="627"/>
      <c r="BA324" s="627"/>
      <c r="BB324" s="627"/>
      <c r="BC324" s="627"/>
      <c r="BD324" s="627"/>
      <c r="BE324" s="627"/>
      <c r="BF324" s="627"/>
      <c r="BG324" s="627"/>
      <c r="BH324" s="627"/>
      <c r="BI324" s="627"/>
      <c r="BJ324" s="627"/>
      <c r="BK324" s="627"/>
      <c r="BL324" s="627"/>
      <c r="BM324" s="627"/>
      <c r="BN324" s="627"/>
      <c r="BO324" s="627"/>
      <c r="BP324" s="627"/>
      <c r="BQ324" s="627"/>
      <c r="BR324" s="627"/>
      <c r="BS324" s="627"/>
      <c r="BT324" s="627"/>
      <c r="BU324" s="627"/>
      <c r="BV324" s="627"/>
      <c r="BW324" s="627"/>
      <c r="BX324" s="627"/>
      <c r="BY324" s="627"/>
      <c r="BZ324" s="627"/>
      <c r="CA324" s="690"/>
      <c r="CB324" s="690"/>
      <c r="CC324" s="690"/>
      <c r="CD324" s="690"/>
      <c r="CE324" s="690"/>
      <c r="CF324" s="690"/>
      <c r="CG324" s="690"/>
      <c r="CH324" s="690"/>
      <c r="CI324" s="690"/>
      <c r="CJ324" s="690"/>
      <c r="CK324" s="690"/>
      <c r="CL324" s="690"/>
      <c r="CM324" s="690"/>
      <c r="CN324" s="690"/>
      <c r="CO324" s="690"/>
      <c r="CP324" s="690"/>
      <c r="CQ324" s="690"/>
      <c r="CR324" s="690"/>
      <c r="CS324" s="690"/>
      <c r="CT324" s="690"/>
      <c r="CU324" s="690"/>
      <c r="CV324" s="690"/>
      <c r="CW324" s="690"/>
      <c r="CX324" s="690"/>
      <c r="CY324" s="690"/>
      <c r="CZ324" s="690"/>
      <c r="DA324" s="690"/>
      <c r="DB324" s="690"/>
      <c r="DC324" s="690"/>
    </row>
    <row r="325" spans="1:256" s="630" customFormat="1" ht="12.75" hidden="1" customHeight="1">
      <c r="A325" s="504"/>
      <c r="B325" s="639" t="str">
        <f t="shared" si="115"/>
        <v>Pool Covers</v>
      </c>
      <c r="C325" s="628" t="str">
        <f t="shared" si="110"/>
        <v/>
      </c>
      <c r="D325" s="628" t="str">
        <f t="shared" si="148"/>
        <v/>
      </c>
      <c r="E325" s="628" t="str">
        <f t="shared" si="148"/>
        <v/>
      </c>
      <c r="F325" s="628" t="str">
        <f t="shared" si="148"/>
        <v/>
      </c>
      <c r="G325" s="628" t="str">
        <f t="shared" si="148"/>
        <v/>
      </c>
      <c r="H325" s="628" t="str">
        <f t="shared" si="148"/>
        <v/>
      </c>
      <c r="I325" s="628" t="str">
        <f t="shared" si="148"/>
        <v/>
      </c>
      <c r="J325" s="628" t="str">
        <f t="shared" si="148"/>
        <v/>
      </c>
      <c r="K325" s="628" t="str">
        <f t="shared" si="148"/>
        <v/>
      </c>
      <c r="L325" s="628" t="str">
        <f t="shared" si="145"/>
        <v/>
      </c>
      <c r="M325" s="628" t="str">
        <f t="shared" si="145"/>
        <v/>
      </c>
      <c r="N325" s="628" t="str">
        <f t="shared" si="145"/>
        <v/>
      </c>
      <c r="O325" s="628" t="str">
        <f t="shared" si="145"/>
        <v/>
      </c>
      <c r="P325" s="628" t="str">
        <f t="shared" si="145"/>
        <v/>
      </c>
      <c r="Q325" s="628" t="str">
        <f t="shared" si="145"/>
        <v/>
      </c>
      <c r="R325" s="628" t="str">
        <f t="shared" si="145"/>
        <v/>
      </c>
      <c r="S325" s="628" t="str">
        <f t="shared" ref="S325:AI325" si="153">IF(S109="","",S109)</f>
        <v/>
      </c>
      <c r="T325" s="628" t="str">
        <f t="shared" si="153"/>
        <v/>
      </c>
      <c r="U325" s="628" t="str">
        <f t="shared" si="153"/>
        <v/>
      </c>
      <c r="V325" s="628" t="str">
        <f t="shared" si="153"/>
        <v/>
      </c>
      <c r="W325" s="628" t="str">
        <f t="shared" si="153"/>
        <v/>
      </c>
      <c r="X325" s="628" t="str">
        <f t="shared" si="153"/>
        <v/>
      </c>
      <c r="Y325" s="628" t="str">
        <f t="shared" si="153"/>
        <v/>
      </c>
      <c r="Z325" s="628" t="str">
        <f t="shared" si="153"/>
        <v/>
      </c>
      <c r="AA325" s="628" t="str">
        <f t="shared" si="153"/>
        <v/>
      </c>
      <c r="AB325" s="628" t="str">
        <f t="shared" si="153"/>
        <v/>
      </c>
      <c r="AC325" s="628" t="str">
        <f t="shared" si="153"/>
        <v/>
      </c>
      <c r="AD325" s="628" t="str">
        <f t="shared" si="153"/>
        <v/>
      </c>
      <c r="AE325" s="628" t="str">
        <f t="shared" si="153"/>
        <v/>
      </c>
      <c r="AF325" s="628" t="str">
        <f t="shared" si="153"/>
        <v/>
      </c>
      <c r="AG325" s="628" t="str">
        <f t="shared" si="153"/>
        <v/>
      </c>
      <c r="AH325" s="628" t="str">
        <f t="shared" si="153"/>
        <v/>
      </c>
      <c r="AI325" s="638" t="str">
        <f t="shared" si="153"/>
        <v/>
      </c>
      <c r="AJ325" s="504"/>
      <c r="AK325" s="627"/>
      <c r="AL325" s="629"/>
      <c r="AM325" s="627"/>
      <c r="AN325" s="627"/>
      <c r="AO325" s="627"/>
      <c r="AP325" s="627"/>
      <c r="AQ325" s="627"/>
      <c r="AR325" s="627"/>
      <c r="AS325" s="627"/>
      <c r="AT325" s="627"/>
      <c r="AU325" s="627"/>
      <c r="AV325" s="627"/>
      <c r="AW325" s="627"/>
      <c r="AX325" s="627"/>
      <c r="AY325" s="627"/>
      <c r="AZ325" s="627"/>
      <c r="BA325" s="627"/>
      <c r="BB325" s="627"/>
      <c r="BC325" s="627"/>
      <c r="BD325" s="627"/>
      <c r="BE325" s="627"/>
      <c r="BF325" s="627"/>
      <c r="BG325" s="627"/>
      <c r="BH325" s="627"/>
      <c r="BI325" s="627"/>
      <c r="BJ325" s="627"/>
      <c r="BK325" s="627"/>
      <c r="BL325" s="627"/>
      <c r="BM325" s="627"/>
      <c r="BN325" s="627"/>
      <c r="BO325" s="627"/>
      <c r="BP325" s="627"/>
      <c r="BQ325" s="627"/>
      <c r="BR325" s="627"/>
      <c r="BS325" s="627"/>
      <c r="BT325" s="627"/>
      <c r="BU325" s="627"/>
      <c r="BV325" s="627"/>
      <c r="BW325" s="627"/>
      <c r="BX325" s="627"/>
      <c r="BY325" s="627"/>
      <c r="BZ325" s="627"/>
      <c r="CA325" s="690"/>
      <c r="CB325" s="690"/>
      <c r="CC325" s="690"/>
      <c r="CD325" s="690"/>
      <c r="CE325" s="690"/>
      <c r="CF325" s="690"/>
      <c r="CG325" s="690"/>
      <c r="CH325" s="690"/>
      <c r="CI325" s="690"/>
      <c r="CJ325" s="690"/>
      <c r="CK325" s="690"/>
      <c r="CL325" s="690"/>
      <c r="CM325" s="690"/>
      <c r="CN325" s="690"/>
      <c r="CO325" s="690"/>
      <c r="CP325" s="690"/>
      <c r="CQ325" s="690"/>
      <c r="CR325" s="690"/>
      <c r="CS325" s="690"/>
      <c r="CT325" s="690"/>
      <c r="CU325" s="690"/>
      <c r="CV325" s="690"/>
      <c r="CW325" s="690"/>
      <c r="CX325" s="690"/>
      <c r="CY325" s="690"/>
      <c r="CZ325" s="690"/>
      <c r="DA325" s="690"/>
      <c r="DB325" s="690"/>
      <c r="DC325" s="690"/>
    </row>
    <row r="326" spans="1:256" s="630" customFormat="1" ht="12.75" hidden="1" customHeight="1">
      <c r="A326" s="504"/>
      <c r="B326" s="636" t="str">
        <f t="shared" si="115"/>
        <v/>
      </c>
      <c r="C326" s="628" t="str">
        <f t="shared" si="110"/>
        <v/>
      </c>
      <c r="D326" s="628" t="str">
        <f t="shared" si="148"/>
        <v/>
      </c>
      <c r="E326" s="628" t="str">
        <f t="shared" si="148"/>
        <v/>
      </c>
      <c r="F326" s="628" t="str">
        <f t="shared" si="148"/>
        <v/>
      </c>
      <c r="G326" s="628" t="str">
        <f t="shared" si="148"/>
        <v/>
      </c>
      <c r="H326" s="628" t="str">
        <f t="shared" si="148"/>
        <v/>
      </c>
      <c r="I326" s="628" t="str">
        <f t="shared" si="148"/>
        <v/>
      </c>
      <c r="J326" s="628" t="str">
        <f t="shared" si="148"/>
        <v/>
      </c>
      <c r="K326" s="628" t="str">
        <f t="shared" si="148"/>
        <v/>
      </c>
      <c r="L326" s="628" t="str">
        <f t="shared" si="145"/>
        <v/>
      </c>
      <c r="M326" s="628" t="str">
        <f t="shared" si="145"/>
        <v/>
      </c>
      <c r="N326" s="628" t="str">
        <f t="shared" si="145"/>
        <v/>
      </c>
      <c r="O326" s="628" t="str">
        <f t="shared" si="145"/>
        <v/>
      </c>
      <c r="P326" s="628" t="str">
        <f t="shared" si="145"/>
        <v/>
      </c>
      <c r="Q326" s="628" t="str">
        <f t="shared" si="145"/>
        <v/>
      </c>
      <c r="R326" s="628" t="str">
        <f t="shared" si="145"/>
        <v/>
      </c>
      <c r="S326" s="628" t="str">
        <f t="shared" ref="S326:AI326" si="154">IF(S110="","",S110)</f>
        <v/>
      </c>
      <c r="T326" s="628" t="str">
        <f t="shared" si="154"/>
        <v/>
      </c>
      <c r="U326" s="628" t="str">
        <f t="shared" si="154"/>
        <v/>
      </c>
      <c r="V326" s="628" t="str">
        <f t="shared" si="154"/>
        <v/>
      </c>
      <c r="W326" s="628" t="str">
        <f t="shared" si="154"/>
        <v/>
      </c>
      <c r="X326" s="628" t="str">
        <f t="shared" si="154"/>
        <v/>
      </c>
      <c r="Y326" s="628" t="str">
        <f t="shared" si="154"/>
        <v/>
      </c>
      <c r="Z326" s="628" t="str">
        <f t="shared" si="154"/>
        <v/>
      </c>
      <c r="AA326" s="628" t="str">
        <f t="shared" si="154"/>
        <v/>
      </c>
      <c r="AB326" s="628" t="str">
        <f t="shared" si="154"/>
        <v/>
      </c>
      <c r="AC326" s="628" t="str">
        <f t="shared" si="154"/>
        <v/>
      </c>
      <c r="AD326" s="628" t="str">
        <f t="shared" si="154"/>
        <v/>
      </c>
      <c r="AE326" s="628" t="str">
        <f t="shared" si="154"/>
        <v/>
      </c>
      <c r="AF326" s="628" t="str">
        <f t="shared" si="154"/>
        <v>Incentive</v>
      </c>
      <c r="AG326" s="628" t="str">
        <f t="shared" si="154"/>
        <v/>
      </c>
      <c r="AH326" s="628" t="str">
        <f t="shared" si="154"/>
        <v/>
      </c>
      <c r="AI326" s="638" t="str">
        <f t="shared" si="154"/>
        <v/>
      </c>
      <c r="AJ326" s="504"/>
      <c r="AK326" s="627"/>
      <c r="AL326" s="629"/>
      <c r="AM326" s="627"/>
      <c r="AN326" s="627"/>
      <c r="AO326" s="627"/>
      <c r="AP326" s="627"/>
      <c r="AQ326" s="627"/>
      <c r="AR326" s="627"/>
      <c r="AS326" s="627"/>
      <c r="AT326" s="627"/>
      <c r="AU326" s="627"/>
      <c r="AV326" s="627"/>
      <c r="AW326" s="627"/>
      <c r="AX326" s="627"/>
      <c r="AY326" s="627"/>
      <c r="AZ326" s="627"/>
      <c r="BA326" s="627"/>
      <c r="BB326" s="627"/>
      <c r="BC326" s="627"/>
      <c r="BD326" s="627"/>
      <c r="BE326" s="627"/>
      <c r="BF326" s="627"/>
      <c r="BG326" s="627"/>
      <c r="BH326" s="627"/>
      <c r="BI326" s="627"/>
      <c r="BJ326" s="627"/>
      <c r="BK326" s="627"/>
      <c r="BL326" s="627"/>
      <c r="BM326" s="627"/>
      <c r="BN326" s="627"/>
      <c r="BO326" s="627"/>
      <c r="BP326" s="627"/>
      <c r="BQ326" s="627"/>
      <c r="BR326" s="627"/>
      <c r="BS326" s="627"/>
      <c r="BT326" s="627"/>
      <c r="BU326" s="627"/>
      <c r="BV326" s="627"/>
      <c r="BW326" s="627"/>
      <c r="BX326" s="627"/>
      <c r="BY326" s="627"/>
      <c r="BZ326" s="627"/>
      <c r="CA326" s="690"/>
      <c r="CB326" s="690"/>
      <c r="CC326" s="690"/>
      <c r="CD326" s="690"/>
      <c r="CE326" s="690"/>
      <c r="CF326" s="690"/>
      <c r="CG326" s="690"/>
      <c r="CH326" s="690"/>
      <c r="CI326" s="690"/>
      <c r="CJ326" s="690"/>
      <c r="CK326" s="690"/>
      <c r="CL326" s="690"/>
      <c r="CM326" s="690"/>
      <c r="CN326" s="690"/>
      <c r="CO326" s="690"/>
      <c r="CP326" s="690"/>
      <c r="CQ326" s="690"/>
      <c r="CR326" s="690"/>
      <c r="CS326" s="690"/>
      <c r="CT326" s="690"/>
      <c r="CU326" s="690"/>
      <c r="CV326" s="690"/>
      <c r="CW326" s="690"/>
      <c r="CX326" s="690"/>
      <c r="CY326" s="690"/>
      <c r="CZ326" s="690"/>
      <c r="DA326" s="690"/>
      <c r="DB326" s="690"/>
      <c r="DC326" s="690"/>
    </row>
    <row r="327" spans="1:256" s="5" customFormat="1" ht="12.75" customHeight="1">
      <c r="A327" s="1"/>
      <c r="B327" s="253" t="str">
        <f t="shared" ref="B327" si="155">IF(B111="","",B111)</f>
        <v/>
      </c>
      <c r="C327" s="9" t="str">
        <f t="shared" si="110"/>
        <v xml:space="preserve"> P1R - Pool Covers (electric heat only)</v>
      </c>
      <c r="D327" s="9"/>
      <c r="E327" s="9"/>
      <c r="F327" s="9"/>
      <c r="G327" s="9"/>
      <c r="H327" s="9"/>
      <c r="I327" s="9"/>
      <c r="J327" s="9"/>
      <c r="K327" s="9"/>
      <c r="L327" s="9"/>
      <c r="M327" s="623" t="str">
        <f>IF(M111="","",M111)</f>
        <v/>
      </c>
      <c r="N327" s="847" t="str">
        <f>IF(N111="","",N111)</f>
        <v/>
      </c>
      <c r="O327" s="847"/>
      <c r="P327" s="847"/>
      <c r="Q327" s="847"/>
      <c r="R327" s="847"/>
      <c r="S327" s="672"/>
      <c r="T327" s="9"/>
      <c r="U327" s="9"/>
      <c r="V327" s="623" t="str">
        <f>IF(V111="","",V111)</f>
        <v xml:space="preserve">Indoor Pool area: </v>
      </c>
      <c r="W327" s="844" t="str">
        <f>IF(W111="","",W111)</f>
        <v/>
      </c>
      <c r="X327" s="845"/>
      <c r="Y327" s="9" t="str">
        <f>IF(Y111="","",Y111)</f>
        <v>sq ft</v>
      </c>
      <c r="Z327" s="9"/>
      <c r="AA327" s="9"/>
      <c r="AB327" s="9"/>
      <c r="AC327" s="9"/>
      <c r="AD327" s="623" t="str">
        <f t="shared" ref="AD327:AF328" si="156">IF(AD111="","",AD111)</f>
        <v>x $2 per sq ft=</v>
      </c>
      <c r="AE327" s="9" t="str">
        <f t="shared" si="156"/>
        <v>$</v>
      </c>
      <c r="AF327" s="846" t="str">
        <f t="shared" si="156"/>
        <v/>
      </c>
      <c r="AG327" s="846"/>
      <c r="AH327" s="846"/>
      <c r="AI327" s="633" t="str">
        <f>IF(AI111="","",AI111)</f>
        <v/>
      </c>
      <c r="AJ327" s="1"/>
      <c r="AK327" s="94"/>
      <c r="AL327" s="98"/>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A327" s="684"/>
      <c r="CB327" s="684"/>
      <c r="CC327" s="684"/>
      <c r="CD327" s="684"/>
      <c r="CE327" s="684"/>
      <c r="CF327" s="684"/>
      <c r="CG327" s="684"/>
      <c r="CH327" s="684"/>
      <c r="CI327" s="684"/>
      <c r="CJ327" s="684"/>
      <c r="CK327" s="684"/>
      <c r="CL327" s="684"/>
      <c r="CM327" s="684"/>
      <c r="CN327" s="684"/>
      <c r="CO327" s="684"/>
      <c r="CP327" s="684"/>
      <c r="CQ327" s="684"/>
      <c r="CR327" s="684"/>
      <c r="CS327" s="684"/>
      <c r="CT327" s="684"/>
      <c r="CU327" s="684"/>
      <c r="CV327" s="684"/>
      <c r="CW327" s="684"/>
      <c r="CX327" s="684"/>
      <c r="CY327" s="684"/>
      <c r="CZ327" s="684"/>
      <c r="DA327" s="684"/>
      <c r="DB327" s="684"/>
      <c r="DC327" s="684"/>
    </row>
    <row r="328" spans="1:256" s="5" customFormat="1" ht="12.75" customHeight="1">
      <c r="A328" s="1"/>
      <c r="B328" s="253"/>
      <c r="C328" s="9"/>
      <c r="D328" s="9"/>
      <c r="E328" s="9"/>
      <c r="F328" s="9"/>
      <c r="G328" s="9"/>
      <c r="H328" s="9"/>
      <c r="I328" s="9"/>
      <c r="J328" s="9"/>
      <c r="K328" s="9"/>
      <c r="L328" s="9"/>
      <c r="M328" s="623" t="str">
        <f>IF(M112="","",M112)</f>
        <v/>
      </c>
      <c r="N328" s="847" t="str">
        <f>IF(N112="","",N112)</f>
        <v/>
      </c>
      <c r="O328" s="847"/>
      <c r="P328" s="847"/>
      <c r="Q328" s="847"/>
      <c r="R328" s="847"/>
      <c r="S328" s="672"/>
      <c r="T328" s="9"/>
      <c r="U328" s="9"/>
      <c r="V328" s="623" t="str">
        <f>IF(V112="","",V112)</f>
        <v xml:space="preserve">Outdoor Pool area: </v>
      </c>
      <c r="W328" s="844" t="str">
        <f>IF(W112="","",W112)</f>
        <v/>
      </c>
      <c r="X328" s="845"/>
      <c r="Y328" s="9" t="str">
        <f>IF(Y112="","",Y112)</f>
        <v>sq ft</v>
      </c>
      <c r="Z328" s="9"/>
      <c r="AA328" s="9"/>
      <c r="AB328" s="9"/>
      <c r="AC328" s="9"/>
      <c r="AD328" s="623" t="str">
        <f t="shared" si="156"/>
        <v>x $2 per sq ft=</v>
      </c>
      <c r="AE328" s="9" t="str">
        <f t="shared" si="156"/>
        <v>$</v>
      </c>
      <c r="AF328" s="846" t="str">
        <f t="shared" si="156"/>
        <v/>
      </c>
      <c r="AG328" s="846"/>
      <c r="AH328" s="846"/>
      <c r="AI328" s="633"/>
      <c r="AJ328" s="1"/>
      <c r="AK328" s="94"/>
      <c r="AL328" s="98"/>
      <c r="AM328" s="94"/>
      <c r="AN328" s="94"/>
      <c r="AO328" s="94"/>
      <c r="AP328" s="94"/>
      <c r="AQ328" s="94"/>
      <c r="AR328" s="94"/>
      <c r="AS328" s="94"/>
      <c r="AT328" s="94"/>
      <c r="AU328" s="94"/>
      <c r="AV328" s="94"/>
      <c r="AW328" s="94"/>
      <c r="AX328" s="94"/>
      <c r="AY328" s="94"/>
      <c r="AZ328" s="94"/>
      <c r="BA328" s="94"/>
      <c r="BB328" s="94"/>
      <c r="BC328" s="94"/>
      <c r="BD328" s="94"/>
      <c r="BE328" s="94"/>
      <c r="BF328" s="94"/>
      <c r="BG328" s="94"/>
      <c r="BH328" s="94"/>
      <c r="BI328" s="94"/>
      <c r="BJ328" s="94"/>
      <c r="BK328" s="94"/>
      <c r="BL328" s="94"/>
      <c r="BM328" s="94"/>
      <c r="BN328" s="94"/>
      <c r="BO328" s="94"/>
      <c r="BP328" s="94"/>
      <c r="BQ328" s="94"/>
      <c r="BR328" s="94"/>
      <c r="BS328" s="94"/>
      <c r="BT328" s="94"/>
      <c r="BU328" s="94"/>
      <c r="BV328" s="94"/>
      <c r="BW328" s="94"/>
      <c r="BX328" s="94"/>
      <c r="BY328" s="94"/>
      <c r="BZ328" s="94"/>
      <c r="CA328" s="684"/>
      <c r="CB328" s="684"/>
      <c r="CC328" s="684"/>
      <c r="CD328" s="684"/>
      <c r="CE328" s="684"/>
      <c r="CF328" s="684"/>
      <c r="CG328" s="684"/>
      <c r="CH328" s="684"/>
      <c r="CI328" s="684"/>
      <c r="CJ328" s="684"/>
      <c r="CK328" s="684"/>
      <c r="CL328" s="684"/>
      <c r="CM328" s="684"/>
      <c r="CN328" s="684"/>
      <c r="CO328" s="684"/>
      <c r="CP328" s="684"/>
      <c r="CQ328" s="684"/>
      <c r="CR328" s="684"/>
      <c r="CS328" s="684"/>
      <c r="CT328" s="684"/>
      <c r="CU328" s="684"/>
      <c r="CV328" s="684"/>
      <c r="CW328" s="684"/>
      <c r="CX328" s="684"/>
      <c r="CY328" s="684"/>
      <c r="CZ328" s="684"/>
      <c r="DA328" s="684"/>
      <c r="DB328" s="684"/>
      <c r="DC328" s="684"/>
    </row>
    <row r="329" spans="1:256" s="5" customFormat="1" ht="12.75" customHeight="1">
      <c r="A329" s="1"/>
      <c r="B329" s="634" t="str">
        <f t="shared" ref="B329:AI331" si="157">IF(B113="","",B113)</f>
        <v/>
      </c>
      <c r="C329" s="248" t="str">
        <f t="shared" si="157"/>
        <v/>
      </c>
      <c r="D329" s="248" t="str">
        <f t="shared" si="157"/>
        <v/>
      </c>
      <c r="E329" s="248" t="str">
        <f t="shared" si="157"/>
        <v/>
      </c>
      <c r="F329" s="248" t="str">
        <f t="shared" si="157"/>
        <v/>
      </c>
      <c r="G329" s="248" t="str">
        <f t="shared" si="157"/>
        <v/>
      </c>
      <c r="H329" s="248" t="str">
        <f t="shared" si="157"/>
        <v/>
      </c>
      <c r="I329" s="248" t="str">
        <f t="shared" si="157"/>
        <v/>
      </c>
      <c r="J329" s="248" t="str">
        <f t="shared" si="157"/>
        <v/>
      </c>
      <c r="K329" s="248" t="str">
        <f t="shared" si="157"/>
        <v/>
      </c>
      <c r="L329" s="248" t="str">
        <f t="shared" si="157"/>
        <v/>
      </c>
      <c r="M329" s="248" t="str">
        <f t="shared" si="157"/>
        <v/>
      </c>
      <c r="N329" s="248" t="str">
        <f t="shared" si="157"/>
        <v/>
      </c>
      <c r="O329" s="248" t="str">
        <f t="shared" si="157"/>
        <v/>
      </c>
      <c r="P329" s="248" t="str">
        <f t="shared" si="157"/>
        <v/>
      </c>
      <c r="Q329" s="248" t="str">
        <f t="shared" si="157"/>
        <v/>
      </c>
      <c r="R329" s="248" t="str">
        <f t="shared" si="157"/>
        <v/>
      </c>
      <c r="S329" s="248" t="str">
        <f t="shared" si="157"/>
        <v/>
      </c>
      <c r="T329" s="248" t="str">
        <f t="shared" si="157"/>
        <v/>
      </c>
      <c r="U329" s="248" t="str">
        <f t="shared" si="157"/>
        <v/>
      </c>
      <c r="V329" s="248" t="str">
        <f t="shared" si="157"/>
        <v/>
      </c>
      <c r="W329" s="248" t="str">
        <f t="shared" si="157"/>
        <v/>
      </c>
      <c r="X329" s="248" t="str">
        <f t="shared" si="157"/>
        <v/>
      </c>
      <c r="Y329" s="248" t="str">
        <f t="shared" si="157"/>
        <v/>
      </c>
      <c r="Z329" s="248" t="str">
        <f t="shared" si="157"/>
        <v/>
      </c>
      <c r="AA329" s="248" t="str">
        <f t="shared" si="157"/>
        <v/>
      </c>
      <c r="AB329" s="248" t="str">
        <f t="shared" si="157"/>
        <v/>
      </c>
      <c r="AC329" s="248" t="str">
        <f t="shared" si="157"/>
        <v/>
      </c>
      <c r="AD329" s="248" t="str">
        <f t="shared" si="157"/>
        <v/>
      </c>
      <c r="AE329" s="248" t="str">
        <f t="shared" si="157"/>
        <v/>
      </c>
      <c r="AF329" s="248" t="str">
        <f t="shared" si="157"/>
        <v/>
      </c>
      <c r="AG329" s="248" t="str">
        <f t="shared" si="157"/>
        <v/>
      </c>
      <c r="AH329" s="248" t="str">
        <f t="shared" si="157"/>
        <v/>
      </c>
      <c r="AI329" s="635" t="str">
        <f t="shared" si="157"/>
        <v/>
      </c>
      <c r="AJ329" s="1"/>
      <c r="AK329" s="94"/>
      <c r="AL329" s="98"/>
      <c r="AM329" s="94"/>
      <c r="AN329" s="94"/>
      <c r="AO329" s="94"/>
      <c r="AP329" s="94"/>
      <c r="AQ329" s="94"/>
      <c r="AR329" s="94"/>
      <c r="AS329" s="94"/>
      <c r="AT329" s="94"/>
      <c r="AU329" s="94"/>
      <c r="AV329" s="94"/>
      <c r="AW329" s="94"/>
      <c r="AX329" s="94"/>
      <c r="AY329" s="94"/>
      <c r="AZ329" s="94"/>
      <c r="BA329" s="94"/>
      <c r="BB329" s="94"/>
      <c r="BC329" s="94"/>
      <c r="BD329" s="94"/>
      <c r="BE329" s="94"/>
      <c r="BF329" s="94"/>
      <c r="BG329" s="94"/>
      <c r="BH329" s="94"/>
      <c r="BI329" s="94"/>
      <c r="BJ329" s="94"/>
      <c r="BK329" s="94"/>
      <c r="BL329" s="94"/>
      <c r="BM329" s="94"/>
      <c r="BN329" s="94"/>
      <c r="BO329" s="94"/>
      <c r="BP329" s="94"/>
      <c r="BQ329" s="94"/>
      <c r="BR329" s="94"/>
      <c r="BS329" s="94"/>
      <c r="BT329" s="94"/>
      <c r="BU329" s="94"/>
      <c r="BV329" s="94"/>
      <c r="BW329" s="94"/>
      <c r="BX329" s="94"/>
      <c r="BY329" s="94"/>
      <c r="BZ329" s="94"/>
      <c r="CA329" s="684"/>
      <c r="CB329" s="684"/>
      <c r="CC329" s="684"/>
      <c r="CD329" s="684"/>
      <c r="CE329" s="684"/>
      <c r="CF329" s="684"/>
      <c r="CG329" s="684"/>
      <c r="CH329" s="684"/>
      <c r="CI329" s="684"/>
      <c r="CJ329" s="684"/>
      <c r="CK329" s="684"/>
      <c r="CL329" s="684"/>
      <c r="CM329" s="684"/>
      <c r="CN329" s="684"/>
      <c r="CO329" s="684"/>
      <c r="CP329" s="684"/>
      <c r="CQ329" s="684"/>
      <c r="CR329" s="684"/>
      <c r="CS329" s="684"/>
      <c r="CT329" s="684"/>
      <c r="CU329" s="684"/>
      <c r="CV329" s="684"/>
      <c r="CW329" s="684"/>
      <c r="CX329" s="684"/>
      <c r="CY329" s="684"/>
      <c r="CZ329" s="684"/>
      <c r="DA329" s="684"/>
      <c r="DB329" s="684"/>
      <c r="DC329" s="684"/>
    </row>
    <row r="330" spans="1:256" s="5" customFormat="1" ht="12.75" customHeight="1">
      <c r="A330" s="1"/>
      <c r="B330" s="9" t="str">
        <f t="shared" si="157"/>
        <v/>
      </c>
      <c r="C330" s="9" t="str">
        <f t="shared" si="157"/>
        <v/>
      </c>
      <c r="D330" s="9" t="str">
        <f t="shared" si="157"/>
        <v/>
      </c>
      <c r="E330" s="9" t="str">
        <f t="shared" si="157"/>
        <v/>
      </c>
      <c r="F330" s="9" t="str">
        <f t="shared" si="157"/>
        <v/>
      </c>
      <c r="G330" s="9" t="str">
        <f t="shared" si="157"/>
        <v/>
      </c>
      <c r="H330" s="9" t="str">
        <f t="shared" si="157"/>
        <v/>
      </c>
      <c r="I330" s="9" t="str">
        <f t="shared" si="157"/>
        <v/>
      </c>
      <c r="J330" s="9" t="str">
        <f t="shared" si="157"/>
        <v/>
      </c>
      <c r="K330" s="9" t="str">
        <f t="shared" si="157"/>
        <v/>
      </c>
      <c r="L330" s="9" t="str">
        <f t="shared" si="157"/>
        <v/>
      </c>
      <c r="M330" s="9" t="str">
        <f t="shared" si="157"/>
        <v/>
      </c>
      <c r="N330" s="9" t="str">
        <f t="shared" si="157"/>
        <v/>
      </c>
      <c r="O330" s="9" t="str">
        <f t="shared" si="157"/>
        <v/>
      </c>
      <c r="P330" s="9" t="str">
        <f t="shared" si="157"/>
        <v/>
      </c>
      <c r="Q330" s="9" t="str">
        <f t="shared" si="157"/>
        <v/>
      </c>
      <c r="R330" s="9" t="str">
        <f t="shared" si="157"/>
        <v/>
      </c>
      <c r="S330" s="9" t="str">
        <f t="shared" si="157"/>
        <v/>
      </c>
      <c r="T330" s="9" t="str">
        <f t="shared" si="157"/>
        <v/>
      </c>
      <c r="U330" s="9" t="str">
        <f t="shared" si="157"/>
        <v/>
      </c>
      <c r="V330" s="9" t="str">
        <f t="shared" si="157"/>
        <v/>
      </c>
      <c r="W330" s="9" t="str">
        <f t="shared" si="157"/>
        <v/>
      </c>
      <c r="X330" s="9" t="str">
        <f t="shared" si="157"/>
        <v/>
      </c>
      <c r="Y330" s="9" t="str">
        <f t="shared" si="157"/>
        <v/>
      </c>
      <c r="Z330" s="9" t="str">
        <f t="shared" si="157"/>
        <v/>
      </c>
      <c r="AA330" s="9" t="str">
        <f t="shared" si="157"/>
        <v/>
      </c>
      <c r="AB330" s="9" t="str">
        <f t="shared" si="157"/>
        <v/>
      </c>
      <c r="AC330" s="9" t="str">
        <f t="shared" si="157"/>
        <v/>
      </c>
      <c r="AD330" s="9" t="str">
        <f t="shared" si="157"/>
        <v/>
      </c>
      <c r="AE330" s="9" t="str">
        <f t="shared" si="157"/>
        <v/>
      </c>
      <c r="AF330" s="9" t="str">
        <f t="shared" si="157"/>
        <v/>
      </c>
      <c r="AG330" s="9" t="str">
        <f>IF(AG114="","",AG114)</f>
        <v/>
      </c>
      <c r="AH330" s="9" t="str">
        <f t="shared" si="157"/>
        <v/>
      </c>
      <c r="AI330" s="9" t="str">
        <f t="shared" si="157"/>
        <v/>
      </c>
      <c r="AJ330" s="1"/>
      <c r="AK330" s="94"/>
      <c r="AL330" s="98"/>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c r="BK330" s="94"/>
      <c r="BL330" s="94"/>
      <c r="BM330" s="94"/>
      <c r="BN330" s="94"/>
      <c r="BO330" s="94"/>
      <c r="BP330" s="94"/>
      <c r="BQ330" s="94"/>
      <c r="BR330" s="94"/>
      <c r="BS330" s="94"/>
      <c r="BT330" s="94"/>
      <c r="BU330" s="94"/>
      <c r="BV330" s="94"/>
      <c r="BW330" s="94"/>
      <c r="BX330" s="94"/>
      <c r="BY330" s="94"/>
      <c r="BZ330" s="94"/>
      <c r="CA330" s="684"/>
      <c r="CB330" s="684"/>
      <c r="CC330" s="684"/>
      <c r="CD330" s="684"/>
      <c r="CE330" s="684"/>
      <c r="CF330" s="684"/>
      <c r="CG330" s="684"/>
      <c r="CH330" s="684"/>
      <c r="CI330" s="684"/>
      <c r="CJ330" s="684"/>
      <c r="CK330" s="684"/>
      <c r="CL330" s="684"/>
      <c r="CM330" s="684"/>
      <c r="CN330" s="684"/>
      <c r="CO330" s="684"/>
      <c r="CP330" s="684"/>
      <c r="CQ330" s="684"/>
      <c r="CR330" s="684"/>
      <c r="CS330" s="684"/>
      <c r="CT330" s="684"/>
      <c r="CU330" s="684"/>
      <c r="CV330" s="684"/>
      <c r="CW330" s="684"/>
      <c r="CX330" s="684"/>
      <c r="CY330" s="684"/>
      <c r="CZ330" s="684"/>
      <c r="DA330" s="684"/>
      <c r="DB330" s="684"/>
      <c r="DC330" s="684"/>
    </row>
    <row r="331" spans="1:256" s="5" customFormat="1" ht="12.75" customHeight="1">
      <c r="A331" s="1"/>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623" t="str">
        <f t="shared" si="157"/>
        <v>Total Incentive for Common Area</v>
      </c>
      <c r="AE331" s="9" t="str">
        <f t="shared" si="157"/>
        <v>$</v>
      </c>
      <c r="AF331" s="846" t="str">
        <f t="shared" si="157"/>
        <v/>
      </c>
      <c r="AG331" s="846"/>
      <c r="AH331" s="846"/>
      <c r="AI331" s="9" t="str">
        <f t="shared" si="157"/>
        <v/>
      </c>
      <c r="AJ331" s="1"/>
      <c r="AK331" s="94"/>
      <c r="AL331" s="98"/>
      <c r="AM331" s="94"/>
      <c r="AN331" s="94"/>
      <c r="AO331" s="94"/>
      <c r="AP331" s="94"/>
      <c r="AQ331" s="94"/>
      <c r="AR331" s="94"/>
      <c r="AS331" s="94"/>
      <c r="AT331" s="94"/>
      <c r="AU331" s="94"/>
      <c r="AV331" s="94"/>
      <c r="AW331" s="94"/>
      <c r="AX331" s="94"/>
      <c r="AY331" s="94"/>
      <c r="AZ331" s="94"/>
      <c r="BA331" s="94"/>
      <c r="BB331" s="94"/>
      <c r="BC331" s="94"/>
      <c r="BD331" s="94"/>
      <c r="BE331" s="94"/>
      <c r="BF331" s="94"/>
      <c r="BG331" s="94"/>
      <c r="BH331" s="94"/>
      <c r="BI331" s="94"/>
      <c r="BJ331" s="94"/>
      <c r="BK331" s="94"/>
      <c r="BL331" s="94"/>
      <c r="BM331" s="94"/>
      <c r="BN331" s="94"/>
      <c r="BO331" s="94"/>
      <c r="BP331" s="94"/>
      <c r="BQ331" s="94"/>
      <c r="BR331" s="94"/>
      <c r="BS331" s="94"/>
      <c r="BT331" s="94"/>
      <c r="BU331" s="94"/>
      <c r="BV331" s="94"/>
      <c r="BW331" s="94"/>
      <c r="BX331" s="94"/>
      <c r="BY331" s="94"/>
      <c r="BZ331" s="94"/>
      <c r="CA331" s="684"/>
      <c r="CB331" s="684"/>
      <c r="CC331" s="684"/>
      <c r="CD331" s="684"/>
      <c r="CE331" s="684"/>
      <c r="CF331" s="684"/>
      <c r="CG331" s="684"/>
      <c r="CH331" s="684"/>
      <c r="CI331" s="684"/>
      <c r="CJ331" s="684"/>
      <c r="CK331" s="684"/>
      <c r="CL331" s="684"/>
      <c r="CM331" s="684"/>
      <c r="CN331" s="684"/>
      <c r="CO331" s="684"/>
      <c r="CP331" s="684"/>
      <c r="CQ331" s="684"/>
      <c r="CR331" s="684"/>
      <c r="CS331" s="684"/>
      <c r="CT331" s="684"/>
      <c r="CU331" s="684"/>
      <c r="CV331" s="684"/>
      <c r="CW331" s="684"/>
      <c r="CX331" s="684"/>
      <c r="CY331" s="684"/>
      <c r="CZ331" s="684"/>
      <c r="DA331" s="684"/>
      <c r="DB331" s="684"/>
      <c r="DC331" s="684"/>
    </row>
    <row r="332" spans="1:256" s="5" customFormat="1" ht="12.75" customHeight="1">
      <c r="A332" s="1"/>
      <c r="B332" s="9" t="str">
        <f t="shared" ref="B332:AI333" si="158">IF(B116="","",B116)</f>
        <v/>
      </c>
      <c r="C332" s="9" t="str">
        <f t="shared" si="158"/>
        <v/>
      </c>
      <c r="D332" s="9" t="str">
        <f t="shared" si="158"/>
        <v/>
      </c>
      <c r="E332" s="9" t="str">
        <f t="shared" si="158"/>
        <v/>
      </c>
      <c r="F332" s="9" t="str">
        <f t="shared" si="158"/>
        <v/>
      </c>
      <c r="G332" s="9" t="str">
        <f t="shared" si="158"/>
        <v/>
      </c>
      <c r="H332" s="9" t="str">
        <f t="shared" si="158"/>
        <v/>
      </c>
      <c r="I332" s="9" t="str">
        <f t="shared" si="158"/>
        <v/>
      </c>
      <c r="J332" s="9" t="str">
        <f t="shared" si="158"/>
        <v/>
      </c>
      <c r="K332" s="9" t="str">
        <f t="shared" si="158"/>
        <v/>
      </c>
      <c r="L332" s="9" t="str">
        <f t="shared" si="158"/>
        <v/>
      </c>
      <c r="M332" s="9" t="str">
        <f t="shared" si="158"/>
        <v/>
      </c>
      <c r="N332" s="9" t="str">
        <f t="shared" si="158"/>
        <v/>
      </c>
      <c r="O332" s="9" t="str">
        <f t="shared" si="158"/>
        <v/>
      </c>
      <c r="P332" s="9" t="str">
        <f t="shared" si="158"/>
        <v/>
      </c>
      <c r="Q332" s="9" t="str">
        <f t="shared" si="158"/>
        <v/>
      </c>
      <c r="R332" s="9" t="str">
        <f t="shared" si="158"/>
        <v/>
      </c>
      <c r="S332" s="9" t="str">
        <f t="shared" si="158"/>
        <v/>
      </c>
      <c r="T332" s="9" t="str">
        <f t="shared" si="158"/>
        <v/>
      </c>
      <c r="U332" s="9" t="str">
        <f t="shared" si="158"/>
        <v/>
      </c>
      <c r="V332" s="9" t="str">
        <f t="shared" si="158"/>
        <v/>
      </c>
      <c r="W332" s="9" t="str">
        <f t="shared" si="158"/>
        <v/>
      </c>
      <c r="X332" s="9" t="str">
        <f t="shared" si="158"/>
        <v/>
      </c>
      <c r="Y332" s="9" t="str">
        <f t="shared" si="158"/>
        <v/>
      </c>
      <c r="Z332" s="9" t="str">
        <f t="shared" si="158"/>
        <v/>
      </c>
      <c r="AA332" s="9" t="str">
        <f t="shared" si="158"/>
        <v/>
      </c>
      <c r="AB332" s="9" t="str">
        <f t="shared" si="158"/>
        <v/>
      </c>
      <c r="AC332" s="9" t="str">
        <f t="shared" si="158"/>
        <v/>
      </c>
      <c r="AD332" s="9" t="str">
        <f t="shared" si="158"/>
        <v/>
      </c>
      <c r="AE332" s="9" t="str">
        <f t="shared" si="158"/>
        <v/>
      </c>
      <c r="AF332" s="9" t="str">
        <f t="shared" si="158"/>
        <v/>
      </c>
      <c r="AG332" s="9" t="str">
        <f t="shared" si="158"/>
        <v/>
      </c>
      <c r="AH332" s="9" t="str">
        <f t="shared" si="158"/>
        <v/>
      </c>
      <c r="AI332" s="9" t="str">
        <f t="shared" si="158"/>
        <v/>
      </c>
      <c r="AJ332" s="1"/>
      <c r="AK332" s="94"/>
      <c r="AL332" s="98"/>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A332" s="684"/>
      <c r="CB332" s="684"/>
      <c r="CC332" s="684"/>
      <c r="CD332" s="684"/>
      <c r="CE332" s="684"/>
      <c r="CF332" s="684"/>
      <c r="CG332" s="684"/>
      <c r="CH332" s="684"/>
      <c r="CI332" s="684"/>
      <c r="CJ332" s="684"/>
      <c r="CK332" s="684"/>
      <c r="CL332" s="684"/>
      <c r="CM332" s="684"/>
      <c r="CN332" s="684"/>
      <c r="CO332" s="684"/>
      <c r="CP332" s="684"/>
      <c r="CQ332" s="684"/>
      <c r="CR332" s="684"/>
      <c r="CS332" s="684"/>
      <c r="CT332" s="684"/>
      <c r="CU332" s="684"/>
      <c r="CV332" s="684"/>
      <c r="CW332" s="684"/>
      <c r="CX332" s="684"/>
      <c r="CY332" s="684"/>
      <c r="CZ332" s="684"/>
      <c r="DA332" s="684"/>
      <c r="DB332" s="684"/>
      <c r="DC332" s="684"/>
    </row>
    <row r="333" spans="1:256" s="5" customFormat="1" ht="12.75" customHeight="1">
      <c r="A333" s="1"/>
      <c r="B333" s="735" t="str">
        <f>Version</f>
        <v>MF (11/23)</v>
      </c>
      <c r="C333" s="735"/>
      <c r="D333" s="735"/>
      <c r="E333" s="735"/>
      <c r="F333" s="735"/>
      <c r="G333" s="735"/>
      <c r="H333" s="735"/>
      <c r="I333" s="735"/>
      <c r="J333" s="735"/>
      <c r="K333" s="735"/>
      <c r="L333" s="735"/>
      <c r="M333" s="735"/>
      <c r="N333" s="735"/>
      <c r="O333" s="735"/>
      <c r="P333" s="735"/>
      <c r="Q333" s="735"/>
      <c r="R333" s="735"/>
      <c r="S333" s="735"/>
      <c r="T333" s="735"/>
      <c r="U333" s="735"/>
      <c r="V333" s="735"/>
      <c r="W333" s="735"/>
      <c r="X333" s="735"/>
      <c r="Y333" s="735"/>
      <c r="Z333" s="735"/>
      <c r="AA333" s="735"/>
      <c r="AB333" s="735"/>
      <c r="AC333" s="735"/>
      <c r="AD333" s="735"/>
      <c r="AE333" s="735"/>
      <c r="AF333" s="735"/>
      <c r="AG333" s="735"/>
      <c r="AH333" s="735"/>
      <c r="AI333" s="9" t="str">
        <f t="shared" si="158"/>
        <v/>
      </c>
      <c r="AJ333" s="1"/>
      <c r="AK333" s="94"/>
      <c r="AL333" s="98"/>
      <c r="AM333" s="94"/>
      <c r="AN333" s="94"/>
      <c r="AO333" s="94"/>
      <c r="AP333" s="94"/>
      <c r="AQ333" s="94"/>
      <c r="AR333" s="94"/>
      <c r="AS333" s="94"/>
      <c r="AT333" s="94"/>
      <c r="AU333" s="94"/>
      <c r="AV333" s="94"/>
      <c r="AW333" s="94"/>
      <c r="AX333" s="94"/>
      <c r="AY333" s="94"/>
      <c r="AZ333" s="94"/>
      <c r="BA333" s="94"/>
      <c r="BB333" s="94"/>
      <c r="BC333" s="94"/>
      <c r="BD333" s="94"/>
      <c r="BE333" s="94"/>
      <c r="BF333" s="94"/>
      <c r="BG333" s="94"/>
      <c r="BH333" s="94"/>
      <c r="BI333" s="94"/>
      <c r="BJ333" s="94"/>
      <c r="BK333" s="94"/>
      <c r="BL333" s="94"/>
      <c r="BM333" s="94"/>
      <c r="BN333" s="94"/>
      <c r="BO333" s="94"/>
      <c r="BP333" s="94"/>
      <c r="BQ333" s="94"/>
      <c r="BR333" s="94"/>
      <c r="BS333" s="94"/>
      <c r="BT333" s="94"/>
      <c r="BU333" s="94"/>
      <c r="BV333" s="94"/>
      <c r="BW333" s="94"/>
      <c r="BX333" s="94"/>
      <c r="BY333" s="94"/>
      <c r="BZ333" s="94"/>
      <c r="CA333" s="684"/>
      <c r="CB333" s="684"/>
      <c r="CC333" s="684"/>
      <c r="CD333" s="684"/>
      <c r="CE333" s="684"/>
      <c r="CF333" s="684"/>
      <c r="CG333" s="684"/>
      <c r="CH333" s="684"/>
      <c r="CI333" s="684"/>
      <c r="CJ333" s="684"/>
      <c r="CK333" s="684"/>
      <c r="CL333" s="684"/>
      <c r="CM333" s="684"/>
      <c r="CN333" s="684"/>
      <c r="CO333" s="684"/>
      <c r="CP333" s="684"/>
      <c r="CQ333" s="684"/>
      <c r="CR333" s="684"/>
      <c r="CS333" s="684"/>
      <c r="CT333" s="684"/>
      <c r="CU333" s="684"/>
      <c r="CV333" s="684"/>
      <c r="CW333" s="684"/>
      <c r="CX333" s="684"/>
      <c r="CY333" s="684"/>
      <c r="CZ333" s="684"/>
      <c r="DA333" s="684"/>
      <c r="DB333" s="684"/>
      <c r="DC333" s="684"/>
    </row>
    <row r="334" spans="1:256" ht="12.75" customHeight="1">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100"/>
      <c r="AQ334" s="100"/>
      <c r="AR334" s="100"/>
      <c r="AS334" s="100"/>
      <c r="AT334" s="100"/>
      <c r="AU334" s="100"/>
      <c r="AV334" s="100"/>
      <c r="AW334" s="100"/>
      <c r="AX334" s="100"/>
      <c r="AY334" s="100"/>
      <c r="AZ334" s="100"/>
      <c r="BA334" s="100"/>
      <c r="BB334" s="100"/>
      <c r="BC334" s="100"/>
      <c r="BD334" s="100"/>
      <c r="BE334" s="100"/>
      <c r="BF334" s="100"/>
      <c r="BG334" s="100"/>
      <c r="BH334" s="100"/>
      <c r="BI334" s="100"/>
      <c r="BJ334" s="100"/>
      <c r="BK334" s="100"/>
      <c r="BL334" s="100"/>
      <c r="BM334" s="100"/>
      <c r="BN334" s="100"/>
      <c r="BO334" s="100"/>
      <c r="BP334" s="100"/>
      <c r="BQ334" s="100"/>
      <c r="BR334" s="100"/>
      <c r="BS334" s="100"/>
      <c r="BT334" s="100"/>
      <c r="BU334" s="100"/>
      <c r="BV334" s="100"/>
      <c r="BW334" s="100"/>
      <c r="BX334" s="100"/>
      <c r="BY334" s="100"/>
      <c r="BZ334" s="100"/>
      <c r="CA334" s="687"/>
      <c r="CB334" s="687"/>
      <c r="CC334" s="687"/>
      <c r="CD334" s="687"/>
      <c r="CE334" s="687"/>
      <c r="CF334" s="687"/>
      <c r="CG334" s="687"/>
      <c r="CH334" s="687"/>
      <c r="CI334" s="687"/>
      <c r="CJ334" s="687"/>
      <c r="CK334" s="687"/>
      <c r="CL334" s="687"/>
      <c r="CM334" s="687"/>
      <c r="CN334" s="687"/>
      <c r="CO334" s="687"/>
      <c r="CP334" s="687"/>
      <c r="CQ334" s="687"/>
      <c r="CR334" s="687"/>
      <c r="CS334" s="687"/>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c r="HD334" s="10"/>
      <c r="HE334" s="10"/>
      <c r="HF334" s="10"/>
      <c r="HG334" s="10"/>
      <c r="HH334" s="10"/>
      <c r="HI334" s="10"/>
      <c r="HJ334" s="10"/>
      <c r="HK334" s="10"/>
      <c r="HL334" s="10"/>
      <c r="HM334" s="10"/>
      <c r="HN334" s="10"/>
      <c r="HO334" s="10"/>
      <c r="HP334" s="10"/>
      <c r="HQ334" s="10"/>
      <c r="HR334" s="10"/>
      <c r="HS334" s="10"/>
      <c r="HT334" s="10"/>
      <c r="HU334" s="10"/>
      <c r="HV334" s="10"/>
      <c r="HW334" s="10"/>
      <c r="HX334" s="10"/>
      <c r="HY334" s="10"/>
      <c r="HZ334" s="10"/>
      <c r="IA334" s="10"/>
      <c r="IB334" s="10"/>
      <c r="IC334" s="10"/>
      <c r="ID334" s="10"/>
      <c r="IE334" s="10"/>
      <c r="IF334" s="10"/>
      <c r="IG334" s="10"/>
      <c r="IH334" s="10"/>
      <c r="II334" s="10"/>
      <c r="IJ334" s="10"/>
      <c r="IK334" s="10"/>
      <c r="IL334" s="10"/>
      <c r="IM334" s="10"/>
      <c r="IN334" s="10"/>
      <c r="IO334" s="10"/>
      <c r="IP334" s="10"/>
      <c r="IQ334" s="10"/>
      <c r="IR334" s="10"/>
      <c r="IS334" s="10"/>
      <c r="IT334" s="10"/>
      <c r="IU334" s="10"/>
      <c r="IV334" s="10"/>
    </row>
  </sheetData>
  <sheetProtection algorithmName="SHA-512" hashValue="GsfIDgLI0WgsoiykXW5br4KOF2Kg1QG3XxKXbioSf/beeUoxtdJQRY5kh6YbKH2mnLdRw/d9PibuDcfkqd2AjA==" saltValue="C++5WiBTStGNQ/oG0wsG3w==" spinCount="100000" sheet="1" selectLockedCells="1"/>
  <mergeCells count="251">
    <mergeCell ref="K11:Q11"/>
    <mergeCell ref="AF11:AH11"/>
    <mergeCell ref="K12:Q12"/>
    <mergeCell ref="AF12:AH12"/>
    <mergeCell ref="K13:Q13"/>
    <mergeCell ref="AF13:AH13"/>
    <mergeCell ref="B1:T1"/>
    <mergeCell ref="AM7:AN7"/>
    <mergeCell ref="AO7:AU7"/>
    <mergeCell ref="AM8:AN8"/>
    <mergeCell ref="AO8:AU8"/>
    <mergeCell ref="K10:Q10"/>
    <mergeCell ref="AF10:AH10"/>
    <mergeCell ref="W16:X16"/>
    <mergeCell ref="AF16:AH16"/>
    <mergeCell ref="N17:AD17"/>
    <mergeCell ref="O18:P18"/>
    <mergeCell ref="W18:X18"/>
    <mergeCell ref="AF18:AH18"/>
    <mergeCell ref="O14:P14"/>
    <mergeCell ref="W14:X14"/>
    <mergeCell ref="AF14:AH14"/>
    <mergeCell ref="O15:P15"/>
    <mergeCell ref="W15:X15"/>
    <mergeCell ref="AF15:AH15"/>
    <mergeCell ref="O22:S22"/>
    <mergeCell ref="W22:X22"/>
    <mergeCell ref="AF22:AH22"/>
    <mergeCell ref="N23:AD23"/>
    <mergeCell ref="O24:S24"/>
    <mergeCell ref="W24:X24"/>
    <mergeCell ref="AF24:AH24"/>
    <mergeCell ref="N19:AD19"/>
    <mergeCell ref="O20:S20"/>
    <mergeCell ref="W20:X20"/>
    <mergeCell ref="AF20:AH20"/>
    <mergeCell ref="O21:S21"/>
    <mergeCell ref="W21:X21"/>
    <mergeCell ref="AF21:AH21"/>
    <mergeCell ref="AF27:AH27"/>
    <mergeCell ref="AF28:AH28"/>
    <mergeCell ref="AM30:AN30"/>
    <mergeCell ref="AO30:AU30"/>
    <mergeCell ref="J32:Q32"/>
    <mergeCell ref="AA32:AD34"/>
    <mergeCell ref="AM32:AN32"/>
    <mergeCell ref="AO32:AU32"/>
    <mergeCell ref="O33:R33"/>
    <mergeCell ref="J34:K34"/>
    <mergeCell ref="M34:N34"/>
    <mergeCell ref="P34:Q34"/>
    <mergeCell ref="S34:T34"/>
    <mergeCell ref="X34:Y34"/>
    <mergeCell ref="AF34:AH34"/>
    <mergeCell ref="G39:R39"/>
    <mergeCell ref="W39:AH39"/>
    <mergeCell ref="AF35:AH35"/>
    <mergeCell ref="L36:R36"/>
    <mergeCell ref="S36:T36"/>
    <mergeCell ref="X36:Y36"/>
    <mergeCell ref="AF36:AH36"/>
    <mergeCell ref="G37:R37"/>
    <mergeCell ref="W37:AH37"/>
    <mergeCell ref="J35:K35"/>
    <mergeCell ref="M35:N35"/>
    <mergeCell ref="P35:Q35"/>
    <mergeCell ref="S35:T35"/>
    <mergeCell ref="X35:Y35"/>
    <mergeCell ref="L38:R38"/>
    <mergeCell ref="S38:T38"/>
    <mergeCell ref="X38:Y38"/>
    <mergeCell ref="AF38:AH38"/>
    <mergeCell ref="AM47:AN47"/>
    <mergeCell ref="AO47:AU47"/>
    <mergeCell ref="K49:Q49"/>
    <mergeCell ref="AF49:AH49"/>
    <mergeCell ref="K50:Q50"/>
    <mergeCell ref="AF50:AH50"/>
    <mergeCell ref="S40:T40"/>
    <mergeCell ref="X40:Y40"/>
    <mergeCell ref="AF40:AH40"/>
    <mergeCell ref="X41:Y41"/>
    <mergeCell ref="AF41:AH41"/>
    <mergeCell ref="B43:AI44"/>
    <mergeCell ref="W54:X54"/>
    <mergeCell ref="AF54:AH54"/>
    <mergeCell ref="W55:X55"/>
    <mergeCell ref="AF55:AH55"/>
    <mergeCell ref="W56:X56"/>
    <mergeCell ref="AF56:AH56"/>
    <mergeCell ref="K51:Q51"/>
    <mergeCell ref="AF51:AH51"/>
    <mergeCell ref="W52:X52"/>
    <mergeCell ref="AF52:AH52"/>
    <mergeCell ref="W53:X53"/>
    <mergeCell ref="AF53:AH53"/>
    <mergeCell ref="AM65:AN65"/>
    <mergeCell ref="AO65:AU65"/>
    <mergeCell ref="Z66:AD67"/>
    <mergeCell ref="W67:X67"/>
    <mergeCell ref="AF67:AH67"/>
    <mergeCell ref="W68:X68"/>
    <mergeCell ref="AF68:AH68"/>
    <mergeCell ref="W57:X57"/>
    <mergeCell ref="AF57:AH57"/>
    <mergeCell ref="AM60:AN60"/>
    <mergeCell ref="AO60:AU60"/>
    <mergeCell ref="W62:X62"/>
    <mergeCell ref="AF62:AH62"/>
    <mergeCell ref="W73:X73"/>
    <mergeCell ref="AF73:AH73"/>
    <mergeCell ref="AM76:AN76"/>
    <mergeCell ref="AO76:AU76"/>
    <mergeCell ref="W78:X78"/>
    <mergeCell ref="AF78:AH78"/>
    <mergeCell ref="AF69:AH69"/>
    <mergeCell ref="W70:X70"/>
    <mergeCell ref="AF70:AH70"/>
    <mergeCell ref="W71:X71"/>
    <mergeCell ref="AF71:AH71"/>
    <mergeCell ref="W72:X72"/>
    <mergeCell ref="AF72:AH72"/>
    <mergeCell ref="Q84:R84"/>
    <mergeCell ref="W84:X84"/>
    <mergeCell ref="AF84:AH84"/>
    <mergeCell ref="W79:X79"/>
    <mergeCell ref="AF79:AH79"/>
    <mergeCell ref="W80:X80"/>
    <mergeCell ref="AF80:AH80"/>
    <mergeCell ref="W81:X81"/>
    <mergeCell ref="AF81:AH81"/>
    <mergeCell ref="W86:X86"/>
    <mergeCell ref="AF86:AH86"/>
    <mergeCell ref="W87:X87"/>
    <mergeCell ref="AF87:AH87"/>
    <mergeCell ref="AM90:AN90"/>
    <mergeCell ref="AO90:AU90"/>
    <mergeCell ref="W82:X82"/>
    <mergeCell ref="AF82:AH82"/>
    <mergeCell ref="W83:X83"/>
    <mergeCell ref="AF83:AH83"/>
    <mergeCell ref="W95:X95"/>
    <mergeCell ref="AF95:AH95"/>
    <mergeCell ref="W96:X96"/>
    <mergeCell ref="AF96:AH96"/>
    <mergeCell ref="AM99:AN99"/>
    <mergeCell ref="AO99:AU99"/>
    <mergeCell ref="W92:X92"/>
    <mergeCell ref="AF92:AH92"/>
    <mergeCell ref="W93:X93"/>
    <mergeCell ref="AF93:AH93"/>
    <mergeCell ref="W94:X94"/>
    <mergeCell ref="AF94:AH94"/>
    <mergeCell ref="W104:X104"/>
    <mergeCell ref="AF104:AH104"/>
    <mergeCell ref="W105:X105"/>
    <mergeCell ref="AF105:AH105"/>
    <mergeCell ref="AM109:AN109"/>
    <mergeCell ref="AO109:AU109"/>
    <mergeCell ref="W101:X101"/>
    <mergeCell ref="AF101:AH101"/>
    <mergeCell ref="W102:X102"/>
    <mergeCell ref="AF102:AH102"/>
    <mergeCell ref="W103:X103"/>
    <mergeCell ref="AF103:AH103"/>
    <mergeCell ref="K226:Q226"/>
    <mergeCell ref="AF226:AH226"/>
    <mergeCell ref="K227:Q227"/>
    <mergeCell ref="AF227:AH227"/>
    <mergeCell ref="K228:Q228"/>
    <mergeCell ref="AF228:AH228"/>
    <mergeCell ref="W111:X111"/>
    <mergeCell ref="AF111:AH111"/>
    <mergeCell ref="AF115:AH115"/>
    <mergeCell ref="B116:AI116"/>
    <mergeCell ref="B117:AI117"/>
    <mergeCell ref="N111:R111"/>
    <mergeCell ref="N112:R112"/>
    <mergeCell ref="W112:X112"/>
    <mergeCell ref="AF112:AH112"/>
    <mergeCell ref="W232:X232"/>
    <mergeCell ref="AF232:AH232"/>
    <mergeCell ref="N233:AD233"/>
    <mergeCell ref="O234:P234"/>
    <mergeCell ref="W234:X234"/>
    <mergeCell ref="AF234:AH234"/>
    <mergeCell ref="K229:Q229"/>
    <mergeCell ref="AF229:AH229"/>
    <mergeCell ref="O230:P230"/>
    <mergeCell ref="W230:X230"/>
    <mergeCell ref="AF230:AH230"/>
    <mergeCell ref="O231:P231"/>
    <mergeCell ref="W231:X231"/>
    <mergeCell ref="AF231:AH231"/>
    <mergeCell ref="O238:S238"/>
    <mergeCell ref="W238:X238"/>
    <mergeCell ref="AF238:AH238"/>
    <mergeCell ref="N239:AD239"/>
    <mergeCell ref="O240:S240"/>
    <mergeCell ref="W240:X240"/>
    <mergeCell ref="AF240:AH240"/>
    <mergeCell ref="N235:AD235"/>
    <mergeCell ref="O236:S236"/>
    <mergeCell ref="W236:X236"/>
    <mergeCell ref="AF236:AH236"/>
    <mergeCell ref="O237:S237"/>
    <mergeCell ref="W237:X237"/>
    <mergeCell ref="AF237:AH237"/>
    <mergeCell ref="AF243:AH243"/>
    <mergeCell ref="J248:P248"/>
    <mergeCell ref="AA248:AD250"/>
    <mergeCell ref="O249:R249"/>
    <mergeCell ref="J250:K250"/>
    <mergeCell ref="M250:N250"/>
    <mergeCell ref="P250:Q250"/>
    <mergeCell ref="S250:T250"/>
    <mergeCell ref="X250:Y250"/>
    <mergeCell ref="AF250:AH250"/>
    <mergeCell ref="B259:AI260"/>
    <mergeCell ref="K265:Q265"/>
    <mergeCell ref="AF265:AH265"/>
    <mergeCell ref="J251:K251"/>
    <mergeCell ref="M251:N251"/>
    <mergeCell ref="P251:Q251"/>
    <mergeCell ref="S251:T251"/>
    <mergeCell ref="X251:Y251"/>
    <mergeCell ref="AF251:AH251"/>
    <mergeCell ref="N327:R327"/>
    <mergeCell ref="N328:R328"/>
    <mergeCell ref="W328:X328"/>
    <mergeCell ref="AF328:AH328"/>
    <mergeCell ref="AF331:AH331"/>
    <mergeCell ref="B333:AH333"/>
    <mergeCell ref="O52:P52"/>
    <mergeCell ref="O268:P268"/>
    <mergeCell ref="AF294:AH294"/>
    <mergeCell ref="W278:X278"/>
    <mergeCell ref="AF278:AH278"/>
    <mergeCell ref="W294:X294"/>
    <mergeCell ref="W327:X327"/>
    <mergeCell ref="AF327:AH327"/>
    <mergeCell ref="AF266:AH266"/>
    <mergeCell ref="K267:Q267"/>
    <mergeCell ref="AF267:AH267"/>
    <mergeCell ref="W268:X268"/>
    <mergeCell ref="AF268:AH268"/>
    <mergeCell ref="W272:X272"/>
    <mergeCell ref="AF272:AH272"/>
    <mergeCell ref="X252:Y252"/>
    <mergeCell ref="X257:Y257"/>
    <mergeCell ref="AF257:AH257"/>
  </mergeCells>
  <conditionalFormatting sqref="AF115">
    <cfRule type="cellIs" dxfId="232" priority="49" stopIfTrue="1" operator="equal">
      <formula>100000</formula>
    </cfRule>
  </conditionalFormatting>
  <conditionalFormatting sqref="O18 W18">
    <cfRule type="expression" dxfId="231" priority="48" stopIfTrue="1">
      <formula>AND($AK18=TRUE,O18="",$AQ$1="Electric")</formula>
    </cfRule>
  </conditionalFormatting>
  <conditionalFormatting sqref="W53:X53">
    <cfRule type="expression" dxfId="230" priority="47" stopIfTrue="1">
      <formula>AND($AK53=TRUE,W53="")</formula>
    </cfRule>
  </conditionalFormatting>
  <conditionalFormatting sqref="W62:X62">
    <cfRule type="expression" dxfId="229" priority="46" stopIfTrue="1">
      <formula>AND($AK62=TRUE,W62="")</formula>
    </cfRule>
  </conditionalFormatting>
  <conditionalFormatting sqref="W68:X68">
    <cfRule type="expression" dxfId="228" priority="45" stopIfTrue="1">
      <formula>AND($AK68=TRUE,W68="")</formula>
    </cfRule>
  </conditionalFormatting>
  <conditionalFormatting sqref="P69:Q70">
    <cfRule type="expression" dxfId="227" priority="50" stopIfTrue="1">
      <formula>AND(AV43=TRUE,$BR43="")</formula>
    </cfRule>
  </conditionalFormatting>
  <conditionalFormatting sqref="P71:Q72">
    <cfRule type="expression" dxfId="226" priority="51" stopIfTrue="1">
      <formula>AND(AV44=TRUE,$BR44="")</formula>
    </cfRule>
  </conditionalFormatting>
  <conditionalFormatting sqref="W70:X70">
    <cfRule type="expression" dxfId="225" priority="44" stopIfTrue="1">
      <formula>AND($AK70=TRUE,W70="")</formula>
    </cfRule>
  </conditionalFormatting>
  <conditionalFormatting sqref="P73:Q73">
    <cfRule type="expression" dxfId="224" priority="52" stopIfTrue="1">
      <formula>AND(AV45=TRUE,$BR45="")</formula>
    </cfRule>
  </conditionalFormatting>
  <conditionalFormatting sqref="W101:X103">
    <cfRule type="expression" dxfId="223" priority="43" stopIfTrue="1">
      <formula>AND($AK101=TRUE,W101="")</formula>
    </cfRule>
  </conditionalFormatting>
  <conditionalFormatting sqref="W104:X104">
    <cfRule type="expression" dxfId="222" priority="53">
      <formula>AND(W104&gt;0,#REF!="OR")</formula>
    </cfRule>
    <cfRule type="expression" dxfId="221" priority="54" stopIfTrue="1">
      <formula>AND($AK104=TRUE,W104="")</formula>
    </cfRule>
  </conditionalFormatting>
  <conditionalFormatting sqref="W96:X96">
    <cfRule type="expression" dxfId="220" priority="55" stopIfTrue="1">
      <formula>AND($AK96=TRUE,W96="")</formula>
    </cfRule>
  </conditionalFormatting>
  <conditionalFormatting sqref="W92:X92">
    <cfRule type="expression" dxfId="219" priority="56" stopIfTrue="1">
      <formula>AND($AK92=TRUE,W92="")</formula>
    </cfRule>
  </conditionalFormatting>
  <conditionalFormatting sqref="W79:X79">
    <cfRule type="expression" dxfId="218" priority="57" stopIfTrue="1">
      <formula>AND($AK79=TRUE,W79="")</formula>
    </cfRule>
  </conditionalFormatting>
  <conditionalFormatting sqref="W72:X72">
    <cfRule type="expression" dxfId="217" priority="58" stopIfTrue="1">
      <formula>AND($AK72=TRUE,W72="")</formula>
    </cfRule>
  </conditionalFormatting>
  <conditionalFormatting sqref="W57:X57">
    <cfRule type="expression" dxfId="216" priority="59" stopIfTrue="1">
      <formula>AND($AK57=TRUE,W57="")</formula>
    </cfRule>
  </conditionalFormatting>
  <conditionalFormatting sqref="W55:X55">
    <cfRule type="expression" dxfId="215" priority="60" stopIfTrue="1">
      <formula>AND($AK55=TRUE,W55="")</formula>
    </cfRule>
  </conditionalFormatting>
  <conditionalFormatting sqref="W54:X54">
    <cfRule type="expression" dxfId="214" priority="61" stopIfTrue="1">
      <formula>AND($AK54=TRUE,W54="")</formula>
    </cfRule>
  </conditionalFormatting>
  <conditionalFormatting sqref="N67:V67 N69:V71 V74 N73:V73 N72:U72 V86:V87">
    <cfRule type="expression" dxfId="213" priority="62" stopIfTrue="1">
      <formula>AND($AK67=TRUE,$AF67="")</formula>
    </cfRule>
  </conditionalFormatting>
  <conditionalFormatting sqref="W78 Y41 W93:X95 W62:X62 W68:X68 W101:X103 W105:X105">
    <cfRule type="expression" dxfId="212" priority="63" stopIfTrue="1">
      <formula>AND($AK41=TRUE,$W41="")</formula>
    </cfRule>
  </conditionalFormatting>
  <conditionalFormatting sqref="J49:R51">
    <cfRule type="expression" dxfId="211" priority="64">
      <formula>AND($AK49=TRUE,$AF49="")</formula>
    </cfRule>
  </conditionalFormatting>
  <conditionalFormatting sqref="W84 Q84">
    <cfRule type="expression" dxfId="210" priority="65">
      <formula>AND($AK84=TRUE,$W84="",$Q84="")</formula>
    </cfRule>
  </conditionalFormatting>
  <conditionalFormatting sqref="K10:R13">
    <cfRule type="expression" dxfId="209" priority="42">
      <formula>AND($AK10=TRUE,$AF10="")</formula>
    </cfRule>
  </conditionalFormatting>
  <conditionalFormatting sqref="O14:P15">
    <cfRule type="expression" dxfId="208" priority="41" stopIfTrue="1">
      <formula>AND($AK14=TRUE,O14="")</formula>
    </cfRule>
  </conditionalFormatting>
  <conditionalFormatting sqref="W14:X15">
    <cfRule type="expression" dxfId="207" priority="40" stopIfTrue="1">
      <formula>AND($AK14=TRUE,W14="")</formula>
    </cfRule>
  </conditionalFormatting>
  <conditionalFormatting sqref="W16:X16">
    <cfRule type="expression" dxfId="206" priority="38" stopIfTrue="1">
      <formula>AND($AK16=TRUE,W16="")</formula>
    </cfRule>
  </conditionalFormatting>
  <conditionalFormatting sqref="W16:X16">
    <cfRule type="expression" dxfId="205" priority="39" stopIfTrue="1">
      <formula>AND($AK16=TRUE,$W16="")</formula>
    </cfRule>
  </conditionalFormatting>
  <conditionalFormatting sqref="W20:X22 W24:X24">
    <cfRule type="expression" dxfId="204" priority="37" stopIfTrue="1">
      <formula>AND($AK$19=TRUE,$W20="",$AQ$1="Electric")</formula>
    </cfRule>
  </conditionalFormatting>
  <conditionalFormatting sqref="W111:X112">
    <cfRule type="expression" dxfId="203" priority="33" stopIfTrue="1">
      <formula>AND($AK$111=TRUE,W111="")</formula>
    </cfRule>
  </conditionalFormatting>
  <conditionalFormatting sqref="AF27:AF28">
    <cfRule type="cellIs" dxfId="202" priority="32" stopIfTrue="1" operator="equal">
      <formula>100000</formula>
    </cfRule>
  </conditionalFormatting>
  <conditionalFormatting sqref="X36">
    <cfRule type="expression" dxfId="201" priority="28" stopIfTrue="1">
      <formula>AND($AK36=TRUE,X36="")</formula>
    </cfRule>
  </conditionalFormatting>
  <conditionalFormatting sqref="X38">
    <cfRule type="expression" dxfId="200" priority="27" stopIfTrue="1">
      <formula>AND($AK38=TRUE,X38="")</formula>
    </cfRule>
  </conditionalFormatting>
  <conditionalFormatting sqref="F37 V37">
    <cfRule type="expression" dxfId="199" priority="26">
      <formula>$AK$70=TRUE</formula>
    </cfRule>
  </conditionalFormatting>
  <conditionalFormatting sqref="G37 W37">
    <cfRule type="expression" dxfId="198" priority="25">
      <formula>$AK$70=TRUE</formula>
    </cfRule>
  </conditionalFormatting>
  <conditionalFormatting sqref="F39">
    <cfRule type="expression" dxfId="197" priority="24">
      <formula>$AK$72=TRUE</formula>
    </cfRule>
  </conditionalFormatting>
  <conditionalFormatting sqref="G39 W39">
    <cfRule type="expression" dxfId="196" priority="23">
      <formula>$AK$72=TRUE</formula>
    </cfRule>
  </conditionalFormatting>
  <conditionalFormatting sqref="L36:R36 L38:R38">
    <cfRule type="expression" dxfId="195" priority="29">
      <formula>AND($AK36=TRUE,$W37="")</formula>
    </cfRule>
    <cfRule type="expression" dxfId="194" priority="30">
      <formula>AND($AK36=TRUE,$G37="")</formula>
    </cfRule>
    <cfRule type="expression" dxfId="193" priority="31">
      <formula>AND($AK36=TRUE,$X36="")</formula>
    </cfRule>
  </conditionalFormatting>
  <conditionalFormatting sqref="V39">
    <cfRule type="expression" dxfId="192" priority="20">
      <formula>$AK$72=TRUE</formula>
    </cfRule>
  </conditionalFormatting>
  <conditionalFormatting sqref="C40">
    <cfRule type="expression" dxfId="191" priority="19">
      <formula>$AD$11="OR"</formula>
    </cfRule>
  </conditionalFormatting>
  <conditionalFormatting sqref="W40">
    <cfRule type="expression" dxfId="190" priority="18">
      <formula>$AD$11="OR"</formula>
    </cfRule>
  </conditionalFormatting>
  <conditionalFormatting sqref="AD40">
    <cfRule type="expression" dxfId="189" priority="17">
      <formula>$AD$11="OR"</formula>
    </cfRule>
  </conditionalFormatting>
  <conditionalFormatting sqref="AE40">
    <cfRule type="expression" dxfId="188" priority="16">
      <formula>$AD$11="OR"</formula>
    </cfRule>
  </conditionalFormatting>
  <conditionalFormatting sqref="G37:R37 W37:AH37">
    <cfRule type="expression" dxfId="187" priority="22">
      <formula>AND($AK36=TRUE,G37="")</formula>
    </cfRule>
  </conditionalFormatting>
  <conditionalFormatting sqref="G39:R39 W39:AH39">
    <cfRule type="expression" dxfId="186" priority="21">
      <formula>AND($AK38=TRUE,G39="")</formula>
    </cfRule>
  </conditionalFormatting>
  <conditionalFormatting sqref="X40:Y40">
    <cfRule type="expression" dxfId="185" priority="15" stopIfTrue="1">
      <formula>$AD$11="OR"</formula>
    </cfRule>
  </conditionalFormatting>
  <conditionalFormatting sqref="O20:S20">
    <cfRule type="expression" dxfId="184" priority="14">
      <formula>AND($AK$19=TRUE,$AQ$1="Electric")</formula>
    </cfRule>
  </conditionalFormatting>
  <conditionalFormatting sqref="O21:S21">
    <cfRule type="expression" dxfId="183" priority="13">
      <formula>AND($AK$19=TRUE,$AQ$1="Electric")</formula>
    </cfRule>
  </conditionalFormatting>
  <conditionalFormatting sqref="O22:S22">
    <cfRule type="expression" dxfId="182" priority="12">
      <formula>AND($AK$19=TRUE,$AQ$1="Electric")</formula>
    </cfRule>
  </conditionalFormatting>
  <conditionalFormatting sqref="O24:S24">
    <cfRule type="expression" dxfId="181" priority="11">
      <formula>AND($AK$23=TRUE,$AQ$1="Electric")</formula>
    </cfRule>
  </conditionalFormatting>
  <conditionalFormatting sqref="N111:R112">
    <cfRule type="expression" dxfId="180" priority="10">
      <formula>$AK$111=TRUE</formula>
    </cfRule>
  </conditionalFormatting>
  <conditionalFormatting sqref="N17">
    <cfRule type="expression" dxfId="179" priority="9">
      <formula>AND($AK18=TRUE,(O18+W18)&gt;0,$AQ$1&lt;&gt;"Electric")</formula>
    </cfRule>
  </conditionalFormatting>
  <conditionalFormatting sqref="N19">
    <cfRule type="expression" dxfId="178" priority="8">
      <formula>AND($AK19=TRUE,SUM($W20:$W22)&gt;0,$AQ$1&lt;&gt;"Electric")</formula>
    </cfRule>
  </conditionalFormatting>
  <conditionalFormatting sqref="N23">
    <cfRule type="expression" dxfId="177" priority="7">
      <formula>AND($AK23=TRUE,SUM($W23:$W24)&gt;0,$AQ$1&lt;&gt;"Electric")</formula>
    </cfRule>
  </conditionalFormatting>
  <conditionalFormatting sqref="X40:Y40">
    <cfRule type="expression" dxfId="176" priority="66" stopIfTrue="1">
      <formula>AND($AK40=TRUE,X40="")</formula>
    </cfRule>
  </conditionalFormatting>
  <conditionalFormatting sqref="K226:Q229 K265:Q267">
    <cfRule type="expression" dxfId="175" priority="6">
      <formula>AND($AK10=TRUE,$AF10="")</formula>
    </cfRule>
  </conditionalFormatting>
  <conditionalFormatting sqref="C49 C51 AD49:AH49 AD51:AH51 C267 AD267:AH267 C265 AD265:AH265">
    <cfRule type="expression" dxfId="174" priority="5">
      <formula>$AO$1="OR"</formula>
    </cfRule>
  </conditionalFormatting>
  <conditionalFormatting sqref="O52:P52">
    <cfRule type="expression" dxfId="173" priority="4" stopIfTrue="1">
      <formula>AND($AK52=TRUE,O52="")</formula>
    </cfRule>
  </conditionalFormatting>
  <conditionalFormatting sqref="W52:X52">
    <cfRule type="expression" dxfId="172" priority="3" stopIfTrue="1">
      <formula>AND($AK52=TRUE,W52="")</formula>
    </cfRule>
  </conditionalFormatting>
  <conditionalFormatting sqref="B115">
    <cfRule type="expression" dxfId="171" priority="2">
      <formula>$BL$1="OR"</formula>
    </cfRule>
  </conditionalFormatting>
  <dataValidations count="23">
    <dataValidation type="list" allowBlank="1" showInputMessage="1" showErrorMessage="1" sqref="O20:S22 O24:S24 N111:N112" xr:uid="{D9498B91-AE4B-4B03-93C9-75FE5F704B8B}">
      <formula1>HeatingSystem</formula1>
    </dataValidation>
    <dataValidation allowBlank="1" showErrorMessage="1" sqref="X36:Y36 X38:Y38" xr:uid="{0DAC6304-2411-42D5-9704-262273B92F3B}"/>
    <dataValidation type="list" allowBlank="1" showInputMessage="1" showErrorMessage="1" prompt="At least one strategy must be a sensor-based strategy" sqref="W39 G39" xr:uid="{303747CD-EDE6-4AC0-827E-C5E928C5D763}">
      <formula1>exteriorNLC</formula1>
    </dataValidation>
    <dataValidation type="list" allowBlank="1" showInputMessage="1" showErrorMessage="1" prompt="At least one strategy must be a sensor-based strategy" sqref="W37 G37" xr:uid="{38595E24-12EF-4023-82ED-CA4EBC20D765}">
      <formula1>interiorNLC</formula1>
    </dataValidation>
    <dataValidation type="decimal" allowBlank="1" showInputMessage="1" showErrorMessage="1" errorTitle="Error" error="Enter the area of the pool in s.f." sqref="W111:X112" xr:uid="{ED790731-88BB-42C2-8059-8B4D9313949B}">
      <formula1>1</formula1>
      <formula2>9000000</formula2>
    </dataValidation>
    <dataValidation type="decimal" allowBlank="1" showInputMessage="1" showErrorMessage="1" errorTitle="Error" error="Enter the quantity as a number." prompt="Number of smart thermostats installed on dwelling units using an electric furnace." sqref="W18:X18" xr:uid="{6A8FE670-701A-42A2-BF1A-B0A1ECEBDE24}">
      <formula1>0</formula1>
      <formula2>1000</formula2>
    </dataValidation>
    <dataValidation type="decimal" allowBlank="1" showInputMessage="1" showErrorMessage="1" errorTitle="Error" error="Enter the quantity as a number." prompt="Number of smart thermostats installed on dwelling units using an electric heat pump." sqref="O18:P18" xr:uid="{5EB9DB68-13D6-450C-AC49-96206FD84DAE}">
      <formula1>0</formula1>
      <formula2>1000</formula2>
    </dataValidation>
    <dataValidation type="decimal" allowBlank="1" showInputMessage="1" showErrorMessage="1" errorTitle="Error" error="Enter the area of the window in s.f." sqref="W20:X22 W24:X24" xr:uid="{25118594-5654-41D2-B1F1-C7A901811ED5}">
      <formula1>9</formula1>
      <formula2>9000000</formula2>
    </dataValidation>
    <dataValidation type="decimal" allowBlank="1" showInputMessage="1" showErrorMessage="1" errorTitle="Error" error="Enter the area of the roof in s.f." prompt="Must have initial solar reflectivity of at least 0.70 and an emissivity of 0.75 or more. Roofs pitched more than 2 in 12 are not eligible." sqref="W16:X16" xr:uid="{FD27D49B-AE78-4DAE-B59F-C8FCACBC26BC}">
      <formula1>9</formula1>
      <formula2>9000000</formula2>
    </dataValidation>
    <dataValidation type="decimal" allowBlank="1" showInputMessage="1" showErrorMessage="1" errorTitle="Error" error="Enter the quantity as a number." sqref="O14:P15 W14:X14" xr:uid="{55B9821E-2A66-4D7B-AE27-214613582D51}">
      <formula1>0</formula1>
      <formula2>1000</formula2>
    </dataValidation>
    <dataValidation type="decimal" allowBlank="1" showInputMessage="1" showErrorMessage="1" errorTitle="Error" error="Enter the area of the roof in s.f." sqref="W62" xr:uid="{15052F68-DA74-4B37-A880-DE0C2FDCE183}">
      <formula1>9</formula1>
      <formula2>9000000</formula2>
    </dataValidation>
    <dataValidation type="decimal" allowBlank="1" showInputMessage="1" showErrorMessage="1" errorTitle="Error" error="Enter the code allowed lighting load in kW. (This can be calculated by multiplying the s.f. x allowed W/s.f. x 1000 kW/W.)" sqref="J34:J35 M34:M35" xr:uid="{FD7B8E98-AFD3-4EFC-B959-854F8B96FB7A}">
      <formula1>0.01</formula1>
      <formula2>100000</formula2>
    </dataValidation>
    <dataValidation type="whole" errorStyle="warning" allowBlank="1" showInputMessage="1" showErrorMessage="1" errorTitle="Error" error="Please enter the operating hours between 0 and 8760." sqref="S34:S36 S38 S40" xr:uid="{D8C7A056-A502-41D7-B119-73035E2D7388}">
      <formula1>0</formula1>
      <formula2>8760</formula2>
    </dataValidation>
    <dataValidation type="decimal" allowBlank="1" showInputMessage="1" showErrorMessage="1" errorTitle="Error" error="Enter the unit tons as a number." sqref="W56:X56" xr:uid="{F4A0BCD0-FDD9-46D6-B96B-5B2FD399A8E4}">
      <formula1>0.5</formula1>
      <formula2>1000</formula2>
    </dataValidation>
    <dataValidation type="decimal" allowBlank="1" showInputMessage="1" showErrorMessage="1" errorTitle="Error" error="Enter the unit hp as a number." sqref="W70:X71 W73:X73" xr:uid="{41D0BF69-3FE2-4239-B2E2-6F3462516181}">
      <formula1>0.5</formula1>
      <formula2>1000</formula2>
    </dataValidation>
    <dataValidation type="whole" operator="lessThanOrEqual" allowBlank="1" showInputMessage="1" showErrorMessage="1" error="Must be 100 hp or less. Larger hp may qualify under Custom Projects." prompt="The compressor must operate at least 2000 hours per year in order to be eligible.  _x000a__x000a_Motors must be less than 200 hp" sqref="W101:X101" xr:uid="{2410ACA8-6545-448D-B64A-3362A58561F4}">
      <formula1>2000</formula1>
    </dataValidation>
    <dataValidation type="decimal" allowBlank="1" showInputMessage="1" showErrorMessage="1" errorTitle="Error" error="Enter the unit tons as a number." prompt="Economizers are incented only when not already required by code._x000a__x000a_Chilled-water plant systems 110 tons or less._x000a__x000a_District chilled-water systems 143 tons or less." sqref="W53:X53" xr:uid="{D0AB93E7-DED5-4B60-9B2D-A5C0445C10A6}">
      <formula1>0.5</formula1>
      <formula2>1000</formula2>
    </dataValidation>
    <dataValidation allowBlank="1" showInputMessage="1" showErrorMessage="1" prompt="Industrial material handling vehicles or forklifts" sqref="W84:X84 Q84:R84" xr:uid="{E965E052-FA06-4F0A-AC94-B358233F7D92}"/>
    <dataValidation allowBlank="1" showInputMessage="1" showErrorMessage="1" prompt="Must operate continuously._x000a_" sqref="W81:X83" xr:uid="{DDA9458E-7DB2-46AD-B8DE-42556E3CEA9E}"/>
    <dataValidation allowBlank="1" showInputMessage="1" showErrorMessage="1" prompt="Must be paired with an electric dryer." sqref="W78:X78" xr:uid="{E49FB9B9-9EA3-420E-ACCE-4B87ACDD707B}"/>
    <dataValidation type="decimal" allowBlank="1" showInputMessage="1" showErrorMessage="1" errorTitle="Error" error="Enter the unit tons as a number." prompt="New air-side economizer with control installed on an existing HVAC unit which did not have one previously." sqref="O52:P52" xr:uid="{B24988D6-3F8F-45C9-9602-F970B261F588}">
      <formula1>0</formula1>
      <formula2>1000</formula2>
    </dataValidation>
    <dataValidation type="decimal" allowBlank="1" showInputMessage="1" showErrorMessage="1" errorTitle="Error" error="Enter the unit tons as a number." prompt="One-time repair of an existing air-side economizer on an existing HVAC unit." sqref="W52:X52" xr:uid="{E078346D-A13D-4B93-929B-8568AF86F390}">
      <formula1>0</formula1>
      <formula2>1000</formula2>
    </dataValidation>
    <dataValidation type="decimal" allowBlank="1" showInputMessage="1" showErrorMessage="1" errorTitle="Error" error="Enter the quantity as a number." prompt="Light must be less than 13 watts." sqref="W15:X15" xr:uid="{5BD744A7-0A5B-4777-90FC-885B6B5F1093}">
      <formula1>0</formula1>
      <formula2>1000</formula2>
    </dataValidation>
  </dataValidations>
  <printOptions horizontalCentered="1"/>
  <pageMargins left="0.25" right="0.25" top="0.25" bottom="0.25" header="0.1" footer="0.5"/>
  <pageSetup scale="74"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3489" r:id="rId4" name="B1">
              <controlPr defaultSize="0" autoFill="0" autoLine="0" autoPict="0">
                <anchor moveWithCells="1">
                  <from>
                    <xdr:col>1</xdr:col>
                    <xdr:colOff>0</xdr:colOff>
                    <xdr:row>60</xdr:row>
                    <xdr:rowOff>190500</xdr:rowOff>
                  </from>
                  <to>
                    <xdr:col>2</xdr:col>
                    <xdr:colOff>57150</xdr:colOff>
                    <xdr:row>61</xdr:row>
                    <xdr:rowOff>152400</xdr:rowOff>
                  </to>
                </anchor>
              </controlPr>
            </control>
          </mc:Choice>
        </mc:AlternateContent>
        <mc:AlternateContent xmlns:mc="http://schemas.openxmlformats.org/markup-compatibility/2006">
          <mc:Choice Requires="x14">
            <control shapeId="63490" r:id="rId5" name="A3">
              <controlPr defaultSize="0" autoFill="0" autoLine="0" autoPict="0">
                <anchor moveWithCells="1">
                  <from>
                    <xdr:col>1</xdr:col>
                    <xdr:colOff>0</xdr:colOff>
                    <xdr:row>49</xdr:row>
                    <xdr:rowOff>152400</xdr:rowOff>
                  </from>
                  <to>
                    <xdr:col>2</xdr:col>
                    <xdr:colOff>95250</xdr:colOff>
                    <xdr:row>51</xdr:row>
                    <xdr:rowOff>38100</xdr:rowOff>
                  </to>
                </anchor>
              </controlPr>
            </control>
          </mc:Choice>
        </mc:AlternateContent>
        <mc:AlternateContent xmlns:mc="http://schemas.openxmlformats.org/markup-compatibility/2006">
          <mc:Choice Requires="x14">
            <control shapeId="63491" r:id="rId6" name="A1">
              <controlPr defaultSize="0" autoFill="0" autoLine="0" autoPict="0">
                <anchor moveWithCells="1">
                  <from>
                    <xdr:col>1</xdr:col>
                    <xdr:colOff>0</xdr:colOff>
                    <xdr:row>47</xdr:row>
                    <xdr:rowOff>142875</xdr:rowOff>
                  </from>
                  <to>
                    <xdr:col>2</xdr:col>
                    <xdr:colOff>95250</xdr:colOff>
                    <xdr:row>50</xdr:row>
                    <xdr:rowOff>57150</xdr:rowOff>
                  </to>
                </anchor>
              </controlPr>
            </control>
          </mc:Choice>
        </mc:AlternateContent>
        <mc:AlternateContent xmlns:mc="http://schemas.openxmlformats.org/markup-compatibility/2006">
          <mc:Choice Requires="x14">
            <control shapeId="63495" r:id="rId7" name="Check Box 7">
              <controlPr defaultSize="0" autoFill="0" autoLine="0" autoPict="0">
                <anchor moveWithCells="1">
                  <from>
                    <xdr:col>1</xdr:col>
                    <xdr:colOff>28575</xdr:colOff>
                    <xdr:row>76</xdr:row>
                    <xdr:rowOff>152400</xdr:rowOff>
                  </from>
                  <to>
                    <xdr:col>2</xdr:col>
                    <xdr:colOff>114300</xdr:colOff>
                    <xdr:row>110</xdr:row>
                    <xdr:rowOff>57150</xdr:rowOff>
                  </to>
                </anchor>
              </controlPr>
            </control>
          </mc:Choice>
        </mc:AlternateContent>
        <mc:AlternateContent xmlns:mc="http://schemas.openxmlformats.org/markup-compatibility/2006">
          <mc:Choice Requires="x14">
            <control shapeId="63496" r:id="rId8" name="A4">
              <controlPr defaultSize="0" autoFill="0" autoLine="0" autoPict="0">
                <anchor moveWithCells="1">
                  <from>
                    <xdr:col>1</xdr:col>
                    <xdr:colOff>0</xdr:colOff>
                    <xdr:row>12</xdr:row>
                    <xdr:rowOff>171450</xdr:rowOff>
                  </from>
                  <to>
                    <xdr:col>2</xdr:col>
                    <xdr:colOff>57150</xdr:colOff>
                    <xdr:row>14</xdr:row>
                    <xdr:rowOff>0</xdr:rowOff>
                  </to>
                </anchor>
              </controlPr>
            </control>
          </mc:Choice>
        </mc:AlternateContent>
        <mc:AlternateContent xmlns:mc="http://schemas.openxmlformats.org/markup-compatibility/2006">
          <mc:Choice Requires="x14">
            <control shapeId="63497" r:id="rId9" name="Check Box 9">
              <controlPr defaultSize="0" autoFill="0" autoLine="0" autoPict="0">
                <anchor moveWithCells="1">
                  <from>
                    <xdr:col>1</xdr:col>
                    <xdr:colOff>0</xdr:colOff>
                    <xdr:row>11</xdr:row>
                    <xdr:rowOff>38100</xdr:rowOff>
                  </from>
                  <to>
                    <xdr:col>1</xdr:col>
                    <xdr:colOff>180975</xdr:colOff>
                    <xdr:row>11</xdr:row>
                    <xdr:rowOff>171450</xdr:rowOff>
                  </to>
                </anchor>
              </controlPr>
            </control>
          </mc:Choice>
        </mc:AlternateContent>
        <mc:AlternateContent xmlns:mc="http://schemas.openxmlformats.org/markup-compatibility/2006">
          <mc:Choice Requires="x14">
            <control shapeId="63498" r:id="rId10" name="A2">
              <controlPr defaultSize="0" autoFill="0" autoLine="0" autoPict="0">
                <anchor moveWithCells="1">
                  <from>
                    <xdr:col>1</xdr:col>
                    <xdr:colOff>0</xdr:colOff>
                    <xdr:row>9</xdr:row>
                    <xdr:rowOff>161925</xdr:rowOff>
                  </from>
                  <to>
                    <xdr:col>2</xdr:col>
                    <xdr:colOff>95250</xdr:colOff>
                    <xdr:row>11</xdr:row>
                    <xdr:rowOff>19050</xdr:rowOff>
                  </to>
                </anchor>
              </controlPr>
            </control>
          </mc:Choice>
        </mc:AlternateContent>
        <mc:AlternateContent xmlns:mc="http://schemas.openxmlformats.org/markup-compatibility/2006">
          <mc:Choice Requires="x14">
            <control shapeId="63499" r:id="rId11" name="Check Box 11">
              <controlPr defaultSize="0" autoFill="0" autoLine="0" autoPict="0">
                <anchor moveWithCells="1">
                  <from>
                    <xdr:col>1</xdr:col>
                    <xdr:colOff>0</xdr:colOff>
                    <xdr:row>9</xdr:row>
                    <xdr:rowOff>9525</xdr:rowOff>
                  </from>
                  <to>
                    <xdr:col>1</xdr:col>
                    <xdr:colOff>209550</xdr:colOff>
                    <xdr:row>10</xdr:row>
                    <xdr:rowOff>9525</xdr:rowOff>
                  </to>
                </anchor>
              </controlPr>
            </control>
          </mc:Choice>
        </mc:AlternateContent>
        <mc:AlternateContent xmlns:mc="http://schemas.openxmlformats.org/markup-compatibility/2006">
          <mc:Choice Requires="x14">
            <control shapeId="63500" r:id="rId12" name="Check Box 12">
              <controlPr defaultSize="0" autoFill="0" autoLine="0" autoPict="0">
                <anchor moveWithCells="1">
                  <from>
                    <xdr:col>1</xdr:col>
                    <xdr:colOff>0</xdr:colOff>
                    <xdr:row>12</xdr:row>
                    <xdr:rowOff>9525</xdr:rowOff>
                  </from>
                  <to>
                    <xdr:col>2</xdr:col>
                    <xdr:colOff>57150</xdr:colOff>
                    <xdr:row>12</xdr:row>
                    <xdr:rowOff>171450</xdr:rowOff>
                  </to>
                </anchor>
              </controlPr>
            </control>
          </mc:Choice>
        </mc:AlternateContent>
        <mc:AlternateContent xmlns:mc="http://schemas.openxmlformats.org/markup-compatibility/2006">
          <mc:Choice Requires="x14">
            <control shapeId="63501" r:id="rId13" name="Check Box 13">
              <controlPr defaultSize="0" autoFill="0" autoLine="0" autoPict="0">
                <anchor moveWithCells="1">
                  <from>
                    <xdr:col>1</xdr:col>
                    <xdr:colOff>0</xdr:colOff>
                    <xdr:row>13</xdr:row>
                    <xdr:rowOff>171450</xdr:rowOff>
                  </from>
                  <to>
                    <xdr:col>2</xdr:col>
                    <xdr:colOff>57150</xdr:colOff>
                    <xdr:row>15</xdr:row>
                    <xdr:rowOff>19050</xdr:rowOff>
                  </to>
                </anchor>
              </controlPr>
            </control>
          </mc:Choice>
        </mc:AlternateContent>
        <mc:AlternateContent xmlns:mc="http://schemas.openxmlformats.org/markup-compatibility/2006">
          <mc:Choice Requires="x14">
            <control shapeId="63502" r:id="rId14" name="Check Box 14">
              <controlPr defaultSize="0" autoFill="0" autoLine="0" autoPict="0">
                <anchor moveWithCells="1">
                  <from>
                    <xdr:col>1</xdr:col>
                    <xdr:colOff>0</xdr:colOff>
                    <xdr:row>14</xdr:row>
                    <xdr:rowOff>190500</xdr:rowOff>
                  </from>
                  <to>
                    <xdr:col>2</xdr:col>
                    <xdr:colOff>57150</xdr:colOff>
                    <xdr:row>15</xdr:row>
                    <xdr:rowOff>152400</xdr:rowOff>
                  </to>
                </anchor>
              </controlPr>
            </control>
          </mc:Choice>
        </mc:AlternateContent>
        <mc:AlternateContent xmlns:mc="http://schemas.openxmlformats.org/markup-compatibility/2006">
          <mc:Choice Requires="x14">
            <control shapeId="63503" r:id="rId15" name="Check Box 15">
              <controlPr defaultSize="0" autoFill="0" autoLine="0" autoPict="0">
                <anchor moveWithCells="1">
                  <from>
                    <xdr:col>1</xdr:col>
                    <xdr:colOff>0</xdr:colOff>
                    <xdr:row>15</xdr:row>
                    <xdr:rowOff>171450</xdr:rowOff>
                  </from>
                  <to>
                    <xdr:col>2</xdr:col>
                    <xdr:colOff>57150</xdr:colOff>
                    <xdr:row>17</xdr:row>
                    <xdr:rowOff>19050</xdr:rowOff>
                  </to>
                </anchor>
              </controlPr>
            </control>
          </mc:Choice>
        </mc:AlternateContent>
        <mc:AlternateContent xmlns:mc="http://schemas.openxmlformats.org/markup-compatibility/2006">
          <mc:Choice Requires="x14">
            <control shapeId="63504" r:id="rId16" name="Check Box 16">
              <controlPr defaultSize="0" autoFill="0" autoLine="0" autoPict="0">
                <anchor moveWithCells="1">
                  <from>
                    <xdr:col>1</xdr:col>
                    <xdr:colOff>0</xdr:colOff>
                    <xdr:row>15</xdr:row>
                    <xdr:rowOff>171450</xdr:rowOff>
                  </from>
                  <to>
                    <xdr:col>2</xdr:col>
                    <xdr:colOff>57150</xdr:colOff>
                    <xdr:row>17</xdr:row>
                    <xdr:rowOff>19050</xdr:rowOff>
                  </to>
                </anchor>
              </controlPr>
            </control>
          </mc:Choice>
        </mc:AlternateContent>
        <mc:AlternateContent xmlns:mc="http://schemas.openxmlformats.org/markup-compatibility/2006">
          <mc:Choice Requires="x14">
            <control shapeId="63505" r:id="rId17" name="Check Box 17">
              <controlPr defaultSize="0" autoFill="0" autoLine="0" autoPict="0">
                <anchor moveWithCells="1">
                  <from>
                    <xdr:col>1</xdr:col>
                    <xdr:colOff>9525</xdr:colOff>
                    <xdr:row>18</xdr:row>
                    <xdr:rowOff>19050</xdr:rowOff>
                  </from>
                  <to>
                    <xdr:col>2</xdr:col>
                    <xdr:colOff>57150</xdr:colOff>
                    <xdr:row>19</xdr:row>
                    <xdr:rowOff>19050</xdr:rowOff>
                  </to>
                </anchor>
              </controlPr>
            </control>
          </mc:Choice>
        </mc:AlternateContent>
        <mc:AlternateContent xmlns:mc="http://schemas.openxmlformats.org/markup-compatibility/2006">
          <mc:Choice Requires="x14">
            <control shapeId="63506" r:id="rId18" name="Check Box 18">
              <controlPr defaultSize="0" autoFill="0" autoLine="0" autoPict="0">
                <anchor moveWithCells="1">
                  <from>
                    <xdr:col>1</xdr:col>
                    <xdr:colOff>9525</xdr:colOff>
                    <xdr:row>22</xdr:row>
                    <xdr:rowOff>19050</xdr:rowOff>
                  </from>
                  <to>
                    <xdr:col>2</xdr:col>
                    <xdr:colOff>57150</xdr:colOff>
                    <xdr:row>23</xdr:row>
                    <xdr:rowOff>19050</xdr:rowOff>
                  </to>
                </anchor>
              </controlPr>
            </control>
          </mc:Choice>
        </mc:AlternateContent>
        <mc:AlternateContent xmlns:mc="http://schemas.openxmlformats.org/markup-compatibility/2006">
          <mc:Choice Requires="x14">
            <control shapeId="63507" r:id="rId19" name="Check Box 19">
              <controlPr defaultSize="0" autoFill="0" autoLine="0" autoPict="0">
                <anchor moveWithCells="1">
                  <from>
                    <xdr:col>1</xdr:col>
                    <xdr:colOff>19050</xdr:colOff>
                    <xdr:row>110</xdr:row>
                    <xdr:rowOff>9525</xdr:rowOff>
                  </from>
                  <to>
                    <xdr:col>2</xdr:col>
                    <xdr:colOff>95250</xdr:colOff>
                    <xdr:row>111</xdr:row>
                    <xdr:rowOff>57150</xdr:rowOff>
                  </to>
                </anchor>
              </controlPr>
            </control>
          </mc:Choice>
        </mc:AlternateContent>
        <mc:AlternateContent xmlns:mc="http://schemas.openxmlformats.org/markup-compatibility/2006">
          <mc:Choice Requires="x14">
            <control shapeId="63508" r:id="rId20" name="Check Box 20">
              <controlPr defaultSize="0" autoFill="0" autoLine="0" autoPict="0">
                <anchor moveWithCells="1">
                  <from>
                    <xdr:col>0</xdr:col>
                    <xdr:colOff>66675</xdr:colOff>
                    <xdr:row>50</xdr:row>
                    <xdr:rowOff>152400</xdr:rowOff>
                  </from>
                  <to>
                    <xdr:col>2</xdr:col>
                    <xdr:colOff>95250</xdr:colOff>
                    <xdr:row>55</xdr:row>
                    <xdr:rowOff>19050</xdr:rowOff>
                  </to>
                </anchor>
              </controlPr>
            </control>
          </mc:Choice>
        </mc:AlternateContent>
        <mc:AlternateContent xmlns:mc="http://schemas.openxmlformats.org/markup-compatibility/2006">
          <mc:Choice Requires="x14">
            <control shapeId="63509" r:id="rId21" name="Check Box 21">
              <controlPr defaultSize="0" autoFill="0" autoLine="0" autoPict="0">
                <anchor moveWithCells="1">
                  <from>
                    <xdr:col>1</xdr:col>
                    <xdr:colOff>0</xdr:colOff>
                    <xdr:row>52</xdr:row>
                    <xdr:rowOff>0</xdr:rowOff>
                  </from>
                  <to>
                    <xdr:col>1</xdr:col>
                    <xdr:colOff>200025</xdr:colOff>
                    <xdr:row>56</xdr:row>
                    <xdr:rowOff>0</xdr:rowOff>
                  </to>
                </anchor>
              </controlPr>
            </control>
          </mc:Choice>
        </mc:AlternateContent>
        <mc:AlternateContent xmlns:mc="http://schemas.openxmlformats.org/markup-compatibility/2006">
          <mc:Choice Requires="x14">
            <control shapeId="63510" r:id="rId22" name="Check Box 22">
              <controlPr defaultSize="0" autoFill="0" autoLine="0" autoPict="0">
                <anchor moveWithCells="1">
                  <from>
                    <xdr:col>1</xdr:col>
                    <xdr:colOff>9525</xdr:colOff>
                    <xdr:row>224</xdr:row>
                    <xdr:rowOff>152400</xdr:rowOff>
                  </from>
                  <to>
                    <xdr:col>2</xdr:col>
                    <xdr:colOff>57150</xdr:colOff>
                    <xdr:row>226</xdr:row>
                    <xdr:rowOff>19050</xdr:rowOff>
                  </to>
                </anchor>
              </controlPr>
            </control>
          </mc:Choice>
        </mc:AlternateContent>
        <mc:AlternateContent xmlns:mc="http://schemas.openxmlformats.org/markup-compatibility/2006">
          <mc:Choice Requires="x14">
            <control shapeId="63511" r:id="rId23" name="Check Box 23">
              <controlPr defaultSize="0" autoFill="0" autoLine="0" autoPict="0">
                <anchor moveWithCells="1">
                  <from>
                    <xdr:col>1</xdr:col>
                    <xdr:colOff>9525</xdr:colOff>
                    <xdr:row>225</xdr:row>
                    <xdr:rowOff>133350</xdr:rowOff>
                  </from>
                  <to>
                    <xdr:col>2</xdr:col>
                    <xdr:colOff>76200</xdr:colOff>
                    <xdr:row>227</xdr:row>
                    <xdr:rowOff>19050</xdr:rowOff>
                  </to>
                </anchor>
              </controlPr>
            </control>
          </mc:Choice>
        </mc:AlternateContent>
        <mc:AlternateContent xmlns:mc="http://schemas.openxmlformats.org/markup-compatibility/2006">
          <mc:Choice Requires="x14">
            <control shapeId="63512" r:id="rId24" name="Check Box 24">
              <controlPr defaultSize="0" autoFill="0" autoLine="0" autoPict="0">
                <anchor moveWithCells="1">
                  <from>
                    <xdr:col>1</xdr:col>
                    <xdr:colOff>9525</xdr:colOff>
                    <xdr:row>227</xdr:row>
                    <xdr:rowOff>0</xdr:rowOff>
                  </from>
                  <to>
                    <xdr:col>2</xdr:col>
                    <xdr:colOff>57150</xdr:colOff>
                    <xdr:row>227</xdr:row>
                    <xdr:rowOff>152400</xdr:rowOff>
                  </to>
                </anchor>
              </controlPr>
            </control>
          </mc:Choice>
        </mc:AlternateContent>
        <mc:AlternateContent xmlns:mc="http://schemas.openxmlformats.org/markup-compatibility/2006">
          <mc:Choice Requires="x14">
            <control shapeId="63513" r:id="rId25" name="Check Box 25">
              <controlPr defaultSize="0" autoFill="0" autoLine="0" autoPict="0">
                <anchor moveWithCells="1">
                  <from>
                    <xdr:col>1</xdr:col>
                    <xdr:colOff>9525</xdr:colOff>
                    <xdr:row>227</xdr:row>
                    <xdr:rowOff>152400</xdr:rowOff>
                  </from>
                  <to>
                    <xdr:col>2</xdr:col>
                    <xdr:colOff>57150</xdr:colOff>
                    <xdr:row>229</xdr:row>
                    <xdr:rowOff>0</xdr:rowOff>
                  </to>
                </anchor>
              </controlPr>
            </control>
          </mc:Choice>
        </mc:AlternateContent>
        <mc:AlternateContent xmlns:mc="http://schemas.openxmlformats.org/markup-compatibility/2006">
          <mc:Choice Requires="x14">
            <control shapeId="63514" r:id="rId26" name="Check Box 26">
              <controlPr defaultSize="0" autoFill="0" autoLine="0" autoPict="0">
                <anchor moveWithCells="1">
                  <from>
                    <xdr:col>1</xdr:col>
                    <xdr:colOff>9525</xdr:colOff>
                    <xdr:row>228</xdr:row>
                    <xdr:rowOff>133350</xdr:rowOff>
                  </from>
                  <to>
                    <xdr:col>2</xdr:col>
                    <xdr:colOff>57150</xdr:colOff>
                    <xdr:row>229</xdr:row>
                    <xdr:rowOff>152400</xdr:rowOff>
                  </to>
                </anchor>
              </controlPr>
            </control>
          </mc:Choice>
        </mc:AlternateContent>
        <mc:AlternateContent xmlns:mc="http://schemas.openxmlformats.org/markup-compatibility/2006">
          <mc:Choice Requires="x14">
            <control shapeId="63515" r:id="rId27" name="Check Box 27">
              <controlPr defaultSize="0" autoFill="0" autoLine="0" autoPict="0">
                <anchor moveWithCells="1">
                  <from>
                    <xdr:col>1</xdr:col>
                    <xdr:colOff>0</xdr:colOff>
                    <xdr:row>229</xdr:row>
                    <xdr:rowOff>152400</xdr:rowOff>
                  </from>
                  <to>
                    <xdr:col>2</xdr:col>
                    <xdr:colOff>57150</xdr:colOff>
                    <xdr:row>231</xdr:row>
                    <xdr:rowOff>19050</xdr:rowOff>
                  </to>
                </anchor>
              </controlPr>
            </control>
          </mc:Choice>
        </mc:AlternateContent>
        <mc:AlternateContent xmlns:mc="http://schemas.openxmlformats.org/markup-compatibility/2006">
          <mc:Choice Requires="x14">
            <control shapeId="63516" r:id="rId28" name="Check Box 28">
              <controlPr defaultSize="0" autoFill="0" autoLine="0" autoPict="0">
                <anchor moveWithCells="1">
                  <from>
                    <xdr:col>1</xdr:col>
                    <xdr:colOff>0</xdr:colOff>
                    <xdr:row>231</xdr:row>
                    <xdr:rowOff>0</xdr:rowOff>
                  </from>
                  <to>
                    <xdr:col>2</xdr:col>
                    <xdr:colOff>57150</xdr:colOff>
                    <xdr:row>231</xdr:row>
                    <xdr:rowOff>152400</xdr:rowOff>
                  </to>
                </anchor>
              </controlPr>
            </control>
          </mc:Choice>
        </mc:AlternateContent>
        <mc:AlternateContent xmlns:mc="http://schemas.openxmlformats.org/markup-compatibility/2006">
          <mc:Choice Requires="x14">
            <control shapeId="63517" r:id="rId29" name="Check Box 29">
              <controlPr defaultSize="0" autoFill="0" autoLine="0" autoPict="0">
                <anchor moveWithCells="1">
                  <from>
                    <xdr:col>1</xdr:col>
                    <xdr:colOff>0</xdr:colOff>
                    <xdr:row>231</xdr:row>
                    <xdr:rowOff>142875</xdr:rowOff>
                  </from>
                  <to>
                    <xdr:col>2</xdr:col>
                    <xdr:colOff>57150</xdr:colOff>
                    <xdr:row>233</xdr:row>
                    <xdr:rowOff>0</xdr:rowOff>
                  </to>
                </anchor>
              </controlPr>
            </control>
          </mc:Choice>
        </mc:AlternateContent>
        <mc:AlternateContent xmlns:mc="http://schemas.openxmlformats.org/markup-compatibility/2006">
          <mc:Choice Requires="x14">
            <control shapeId="63518" r:id="rId30" name="Check Box 30">
              <controlPr defaultSize="0" autoFill="0" autoLine="0" autoPict="0">
                <anchor moveWithCells="1">
                  <from>
                    <xdr:col>0</xdr:col>
                    <xdr:colOff>76200</xdr:colOff>
                    <xdr:row>234</xdr:row>
                    <xdr:rowOff>0</xdr:rowOff>
                  </from>
                  <to>
                    <xdr:col>2</xdr:col>
                    <xdr:colOff>38100</xdr:colOff>
                    <xdr:row>234</xdr:row>
                    <xdr:rowOff>152400</xdr:rowOff>
                  </to>
                </anchor>
              </controlPr>
            </control>
          </mc:Choice>
        </mc:AlternateContent>
        <mc:AlternateContent xmlns:mc="http://schemas.openxmlformats.org/markup-compatibility/2006">
          <mc:Choice Requires="x14">
            <control shapeId="63519" r:id="rId31" name="Check Box 31">
              <controlPr defaultSize="0" autoFill="0" autoLine="0" autoPict="0">
                <anchor moveWithCells="1">
                  <from>
                    <xdr:col>1</xdr:col>
                    <xdr:colOff>9525</xdr:colOff>
                    <xdr:row>238</xdr:row>
                    <xdr:rowOff>19050</xdr:rowOff>
                  </from>
                  <to>
                    <xdr:col>2</xdr:col>
                    <xdr:colOff>57150</xdr:colOff>
                    <xdr:row>239</xdr:row>
                    <xdr:rowOff>19050</xdr:rowOff>
                  </to>
                </anchor>
              </controlPr>
            </control>
          </mc:Choice>
        </mc:AlternateContent>
        <mc:AlternateContent xmlns:mc="http://schemas.openxmlformats.org/markup-compatibility/2006">
          <mc:Choice Requires="x14">
            <control shapeId="63523" r:id="rId32" name="Check Box 35">
              <controlPr defaultSize="0" autoFill="0" autoLine="0" autoPict="0">
                <anchor moveWithCells="1">
                  <from>
                    <xdr:col>1</xdr:col>
                    <xdr:colOff>0</xdr:colOff>
                    <xdr:row>263</xdr:row>
                    <xdr:rowOff>114300</xdr:rowOff>
                  </from>
                  <to>
                    <xdr:col>2</xdr:col>
                    <xdr:colOff>95250</xdr:colOff>
                    <xdr:row>266</xdr:row>
                    <xdr:rowOff>57150</xdr:rowOff>
                  </to>
                </anchor>
              </controlPr>
            </control>
          </mc:Choice>
        </mc:AlternateContent>
        <mc:AlternateContent xmlns:mc="http://schemas.openxmlformats.org/markup-compatibility/2006">
          <mc:Choice Requires="x14">
            <control shapeId="63524" r:id="rId33" name="Check Box 36">
              <controlPr defaultSize="0" autoFill="0" autoLine="0" autoPict="0">
                <anchor moveWithCells="1">
                  <from>
                    <xdr:col>0</xdr:col>
                    <xdr:colOff>76200</xdr:colOff>
                    <xdr:row>264</xdr:row>
                    <xdr:rowOff>133350</xdr:rowOff>
                  </from>
                  <to>
                    <xdr:col>2</xdr:col>
                    <xdr:colOff>95250</xdr:colOff>
                    <xdr:row>267</xdr:row>
                    <xdr:rowOff>38100</xdr:rowOff>
                  </to>
                </anchor>
              </controlPr>
            </control>
          </mc:Choice>
        </mc:AlternateContent>
        <mc:AlternateContent xmlns:mc="http://schemas.openxmlformats.org/markup-compatibility/2006">
          <mc:Choice Requires="x14">
            <control shapeId="63525" r:id="rId34" name="Check Box 37">
              <controlPr defaultSize="0" autoFill="0" autoLine="0" autoPict="0">
                <anchor moveWithCells="1">
                  <from>
                    <xdr:col>1</xdr:col>
                    <xdr:colOff>9525</xdr:colOff>
                    <xdr:row>266</xdr:row>
                    <xdr:rowOff>142875</xdr:rowOff>
                  </from>
                  <to>
                    <xdr:col>2</xdr:col>
                    <xdr:colOff>133350</xdr:colOff>
                    <xdr:row>271</xdr:row>
                    <xdr:rowOff>57150</xdr:rowOff>
                  </to>
                </anchor>
              </controlPr>
            </control>
          </mc:Choice>
        </mc:AlternateContent>
        <mc:AlternateContent xmlns:mc="http://schemas.openxmlformats.org/markup-compatibility/2006">
          <mc:Choice Requires="x14">
            <control shapeId="63526" r:id="rId35" name="Check Box 38">
              <controlPr defaultSize="0" autoFill="0" autoLine="0" autoPict="0">
                <anchor moveWithCells="1">
                  <from>
                    <xdr:col>1</xdr:col>
                    <xdr:colOff>0</xdr:colOff>
                    <xdr:row>267</xdr:row>
                    <xdr:rowOff>142875</xdr:rowOff>
                  </from>
                  <to>
                    <xdr:col>2</xdr:col>
                    <xdr:colOff>95250</xdr:colOff>
                    <xdr:row>273</xdr:row>
                    <xdr:rowOff>38100</xdr:rowOff>
                  </to>
                </anchor>
              </controlPr>
            </control>
          </mc:Choice>
        </mc:AlternateContent>
        <mc:AlternateContent xmlns:mc="http://schemas.openxmlformats.org/markup-compatibility/2006">
          <mc:Choice Requires="x14">
            <control shapeId="63527" r:id="rId36" name="Check Box 39">
              <controlPr defaultSize="0" autoFill="0" autoLine="0" autoPict="0">
                <anchor moveWithCells="1">
                  <from>
                    <xdr:col>1</xdr:col>
                    <xdr:colOff>0</xdr:colOff>
                    <xdr:row>277</xdr:row>
                    <xdr:rowOff>0</xdr:rowOff>
                  </from>
                  <to>
                    <xdr:col>2</xdr:col>
                    <xdr:colOff>57150</xdr:colOff>
                    <xdr:row>277</xdr:row>
                    <xdr:rowOff>152400</xdr:rowOff>
                  </to>
                </anchor>
              </controlPr>
            </control>
          </mc:Choice>
        </mc:AlternateContent>
        <mc:AlternateContent xmlns:mc="http://schemas.openxmlformats.org/markup-compatibility/2006">
          <mc:Choice Requires="x14">
            <control shapeId="63528" r:id="rId37" name="Check Box 40">
              <controlPr defaultSize="0" autoFill="0" autoLine="0" autoPict="0">
                <anchor moveWithCells="1">
                  <from>
                    <xdr:col>1</xdr:col>
                    <xdr:colOff>0</xdr:colOff>
                    <xdr:row>292</xdr:row>
                    <xdr:rowOff>133350</xdr:rowOff>
                  </from>
                  <to>
                    <xdr:col>2</xdr:col>
                    <xdr:colOff>95250</xdr:colOff>
                    <xdr:row>326</xdr:row>
                    <xdr:rowOff>19050</xdr:rowOff>
                  </to>
                </anchor>
              </controlPr>
            </control>
          </mc:Choice>
        </mc:AlternateContent>
        <mc:AlternateContent xmlns:mc="http://schemas.openxmlformats.org/markup-compatibility/2006">
          <mc:Choice Requires="x14">
            <control shapeId="63529" r:id="rId38" name="Check Box 41">
              <controlPr defaultSize="0" autoFill="0" autoLine="0" autoPict="0">
                <anchor moveWithCells="1">
                  <from>
                    <xdr:col>1</xdr:col>
                    <xdr:colOff>0</xdr:colOff>
                    <xdr:row>293</xdr:row>
                    <xdr:rowOff>133350</xdr:rowOff>
                  </from>
                  <to>
                    <xdr:col>2</xdr:col>
                    <xdr:colOff>76200</xdr:colOff>
                    <xdr:row>327</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188</vt:i4>
      </vt:variant>
    </vt:vector>
  </HeadingPairs>
  <TitlesOfParts>
    <vt:vector size="202" baseType="lpstr">
      <vt:lpstr>Letter</vt:lpstr>
      <vt:lpstr>Letter_Background</vt:lpstr>
      <vt:lpstr>Welcome</vt:lpstr>
      <vt:lpstr>Preliminary Application</vt:lpstr>
      <vt:lpstr>Final Application</vt:lpstr>
      <vt:lpstr>Dataline Changes</vt:lpstr>
      <vt:lpstr>NC and Major Reno</vt:lpstr>
      <vt:lpstr>NC HVAC Worksheet</vt:lpstr>
      <vt:lpstr>Retrofits</vt:lpstr>
      <vt:lpstr>Retro HVAC Worksheet</vt:lpstr>
      <vt:lpstr>HVAC Efficiency Tables</vt:lpstr>
      <vt:lpstr>Specific Qualifications</vt:lpstr>
      <vt:lpstr>Terms &amp; Conditions</vt:lpstr>
      <vt:lpstr>Lists</vt:lpstr>
      <vt:lpstr>ACEquipmentType</vt:lpstr>
      <vt:lpstr>ACEquipmentTypeWater</vt:lpstr>
      <vt:lpstr>Admin_Address_1</vt:lpstr>
      <vt:lpstr>Admin_Address_2</vt:lpstr>
      <vt:lpstr>Admin_Address_3</vt:lpstr>
      <vt:lpstr>Admin_Address_4</vt:lpstr>
      <vt:lpstr>Admin_Address_5</vt:lpstr>
      <vt:lpstr>Admin_Comments_1</vt:lpstr>
      <vt:lpstr>Admin_Comments_2</vt:lpstr>
      <vt:lpstr>Admin_Comments_3</vt:lpstr>
      <vt:lpstr>Admin_Comments_4</vt:lpstr>
      <vt:lpstr>Admin_Data</vt:lpstr>
      <vt:lpstr>Admin_Mail_to_Cust</vt:lpstr>
      <vt:lpstr>Admin_Note_to_Payroll</vt:lpstr>
      <vt:lpstr>Admin_Send_to_IPCO</vt:lpstr>
      <vt:lpstr>AllStates</vt:lpstr>
      <vt:lpstr>AllStatesInitials</vt:lpstr>
      <vt:lpstr>ApplicantStatus</vt:lpstr>
      <vt:lpstr>BuildingHours</vt:lpstr>
      <vt:lpstr>BuildingType</vt:lpstr>
      <vt:lpstr>ButtonFinal</vt:lpstr>
      <vt:lpstr>ButtonPreliminary</vt:lpstr>
      <vt:lpstr>cc_List</vt:lpstr>
      <vt:lpstr>ChillerType</vt:lpstr>
      <vt:lpstr>ComboBoxRep</vt:lpstr>
      <vt:lpstr>CoolingHours</vt:lpstr>
      <vt:lpstr>CustomerRepLocations</vt:lpstr>
      <vt:lpstr>CustomerReps</vt:lpstr>
      <vt:lpstr>EMCSSystemTypes</vt:lpstr>
      <vt:lpstr>exteriorNLC</vt:lpstr>
      <vt:lpstr>Facility_Name</vt:lpstr>
      <vt:lpstr>FacilityState</vt:lpstr>
      <vt:lpstr>Form_Data</vt:lpstr>
      <vt:lpstr>GroupA</vt:lpstr>
      <vt:lpstr>GroupB</vt:lpstr>
      <vt:lpstr>GroupD</vt:lpstr>
      <vt:lpstr>GroupE</vt:lpstr>
      <vt:lpstr>GroupF</vt:lpstr>
      <vt:lpstr>GroupG</vt:lpstr>
      <vt:lpstr>GroupH</vt:lpstr>
      <vt:lpstr>Handling</vt:lpstr>
      <vt:lpstr>Handling_Admin</vt:lpstr>
      <vt:lpstr>Handling_Instructions</vt:lpstr>
      <vt:lpstr>HeatingFuel</vt:lpstr>
      <vt:lpstr>HeatingSystem</vt:lpstr>
      <vt:lpstr>HVACEfficiencies</vt:lpstr>
      <vt:lpstr>HVACEfficiencyTables</vt:lpstr>
      <vt:lpstr>HVACEfficiencyTablesCode</vt:lpstr>
      <vt:lpstr>HVACEffLookUps</vt:lpstr>
      <vt:lpstr>interiorNLC</vt:lpstr>
      <vt:lpstr>MFRSplitorSingle01</vt:lpstr>
      <vt:lpstr>MFRSplitorSingle02</vt:lpstr>
      <vt:lpstr>MFRSplitorSingle03</vt:lpstr>
      <vt:lpstr>MFRSplitorSingle04</vt:lpstr>
      <vt:lpstr>MFRSplitorSingle05</vt:lpstr>
      <vt:lpstr>MFRSplitorSingle06</vt:lpstr>
      <vt:lpstr>MFRSplitorSingle07</vt:lpstr>
      <vt:lpstr>MFRSplitorSingle08</vt:lpstr>
      <vt:lpstr>MFRSplitorSingle09</vt:lpstr>
      <vt:lpstr>MFRSplitorSingle10</vt:lpstr>
      <vt:lpstr>MFSplitorSingle01</vt:lpstr>
      <vt:lpstr>MFSplitorSingle02</vt:lpstr>
      <vt:lpstr>MFSplitorSingle03</vt:lpstr>
      <vt:lpstr>MFSplitorSingle04</vt:lpstr>
      <vt:lpstr>MFSplitorSingle05</vt:lpstr>
      <vt:lpstr>MFSplitorSingle06</vt:lpstr>
      <vt:lpstr>MFSplitorSingle07</vt:lpstr>
      <vt:lpstr>MFSplitorSingle08</vt:lpstr>
      <vt:lpstr>MFSplitorSingle09</vt:lpstr>
      <vt:lpstr>MFSplitorSingle10</vt:lpstr>
      <vt:lpstr>PayableTo</vt:lpstr>
      <vt:lpstr>'Final Application'!Print_Area</vt:lpstr>
      <vt:lpstr>Letter!Print_Area</vt:lpstr>
      <vt:lpstr>'NC and Major Reno'!Print_Area</vt:lpstr>
      <vt:lpstr>'NC HVAC Worksheet'!Print_Area</vt:lpstr>
      <vt:lpstr>'Preliminary Application'!Print_Area</vt:lpstr>
      <vt:lpstr>'Retro HVAC Worksheet'!Print_Area</vt:lpstr>
      <vt:lpstr>Retrofits!Print_Area</vt:lpstr>
      <vt:lpstr>'Specific Qualifications'!Print_Area</vt:lpstr>
      <vt:lpstr>'Terms &amp; Conditions'!Print_Area</vt:lpstr>
      <vt:lpstr>Welcome!Print_Area</vt:lpstr>
      <vt:lpstr>ProjectType</vt:lpstr>
      <vt:lpstr>RegionLookUp</vt:lpstr>
      <vt:lpstr>Regions</vt:lpstr>
      <vt:lpstr>ResistanceType01</vt:lpstr>
      <vt:lpstr>ResistanceType02</vt:lpstr>
      <vt:lpstr>ResistanceType03</vt:lpstr>
      <vt:lpstr>ResistanceType04</vt:lpstr>
      <vt:lpstr>ResistanceType05</vt:lpstr>
      <vt:lpstr>ResistanceType06</vt:lpstr>
      <vt:lpstr>ResistanceType07</vt:lpstr>
      <vt:lpstr>ResistanceType08</vt:lpstr>
      <vt:lpstr>ResistanceType09</vt:lpstr>
      <vt:lpstr>ResistanceType10</vt:lpstr>
      <vt:lpstr>ResistanceType11</vt:lpstr>
      <vt:lpstr>ResistanceType12</vt:lpstr>
      <vt:lpstr>ResistanceType13</vt:lpstr>
      <vt:lpstr>ResistanceType14</vt:lpstr>
      <vt:lpstr>ResistanceType15</vt:lpstr>
      <vt:lpstr>ResistanceType16</vt:lpstr>
      <vt:lpstr>ResistanceType17</vt:lpstr>
      <vt:lpstr>ResistanceType18</vt:lpstr>
      <vt:lpstr>ResistanceType19</vt:lpstr>
      <vt:lpstr>ResistanceType20</vt:lpstr>
      <vt:lpstr>ResistanceType21</vt:lpstr>
      <vt:lpstr>ResistanceType22</vt:lpstr>
      <vt:lpstr>ResistanceType23</vt:lpstr>
      <vt:lpstr>ResistanceType24</vt:lpstr>
      <vt:lpstr>ResistanceType25</vt:lpstr>
      <vt:lpstr>ResistanceTypeA201</vt:lpstr>
      <vt:lpstr>ResistanceTypeA202</vt:lpstr>
      <vt:lpstr>ResistanceTypeA203</vt:lpstr>
      <vt:lpstr>ResistanceTypeA204</vt:lpstr>
      <vt:lpstr>ResistanceTypeA205</vt:lpstr>
      <vt:lpstr>ResistanceTypes</vt:lpstr>
      <vt:lpstr>RResistanceType01</vt:lpstr>
      <vt:lpstr>RResistanceType02</vt:lpstr>
      <vt:lpstr>RResistanceType03</vt:lpstr>
      <vt:lpstr>RResistanceType04</vt:lpstr>
      <vt:lpstr>RResistanceType05</vt:lpstr>
      <vt:lpstr>RResistanceType06</vt:lpstr>
      <vt:lpstr>RResistanceType07</vt:lpstr>
      <vt:lpstr>RResistanceType08</vt:lpstr>
      <vt:lpstr>RResistanceType09</vt:lpstr>
      <vt:lpstr>RResistanceType10</vt:lpstr>
      <vt:lpstr>RResistanceType11</vt:lpstr>
      <vt:lpstr>RResistanceType12</vt:lpstr>
      <vt:lpstr>RResistanceType13</vt:lpstr>
      <vt:lpstr>RResistanceType14</vt:lpstr>
      <vt:lpstr>RResistanceType15</vt:lpstr>
      <vt:lpstr>RSplitorSingle01</vt:lpstr>
      <vt:lpstr>RSplitorSingle02</vt:lpstr>
      <vt:lpstr>RSplitorSingle03</vt:lpstr>
      <vt:lpstr>RSplitorSingle04</vt:lpstr>
      <vt:lpstr>RSplitorSingle05</vt:lpstr>
      <vt:lpstr>RSplitorSingle06</vt:lpstr>
      <vt:lpstr>RSplitorSingle07</vt:lpstr>
      <vt:lpstr>RSplitorSingle08</vt:lpstr>
      <vt:lpstr>RSplitorSingle09</vt:lpstr>
      <vt:lpstr>RSplitorSingle10</vt:lpstr>
      <vt:lpstr>RSplitorSingle11</vt:lpstr>
      <vt:lpstr>RSplitorSingle12</vt:lpstr>
      <vt:lpstr>RSplitorSingle13</vt:lpstr>
      <vt:lpstr>RSplitorSingle14</vt:lpstr>
      <vt:lpstr>RSplitorSingle15</vt:lpstr>
      <vt:lpstr>SplitorSingle</vt:lpstr>
      <vt:lpstr>SplitorSingle01</vt:lpstr>
      <vt:lpstr>SplitorSingle02</vt:lpstr>
      <vt:lpstr>SplitorSingle03</vt:lpstr>
      <vt:lpstr>SplitorSingle04</vt:lpstr>
      <vt:lpstr>SplitorSingle05</vt:lpstr>
      <vt:lpstr>SplitorSingle06</vt:lpstr>
      <vt:lpstr>SplitorSingle07</vt:lpstr>
      <vt:lpstr>SplitorSingle08</vt:lpstr>
      <vt:lpstr>SplitorSingle09</vt:lpstr>
      <vt:lpstr>SplitorSingle10</vt:lpstr>
      <vt:lpstr>SplitorSingle11</vt:lpstr>
      <vt:lpstr>SplitorSingle12</vt:lpstr>
      <vt:lpstr>SplitorSingle13</vt:lpstr>
      <vt:lpstr>SplitorSingle14</vt:lpstr>
      <vt:lpstr>SplitorSingle15</vt:lpstr>
      <vt:lpstr>SplitorSingle16</vt:lpstr>
      <vt:lpstr>SplitorSingle17</vt:lpstr>
      <vt:lpstr>SplitorSingle18</vt:lpstr>
      <vt:lpstr>SplitorSingle19</vt:lpstr>
      <vt:lpstr>SplitorSingle20</vt:lpstr>
      <vt:lpstr>SplitorSingle21</vt:lpstr>
      <vt:lpstr>SplitorSingle22</vt:lpstr>
      <vt:lpstr>SplitorSingle23</vt:lpstr>
      <vt:lpstr>SplitorSingle24</vt:lpstr>
      <vt:lpstr>SplitorSingle25</vt:lpstr>
      <vt:lpstr>StackingEffects</vt:lpstr>
      <vt:lpstr>Subcategory01</vt:lpstr>
      <vt:lpstr>Subcategory02</vt:lpstr>
      <vt:lpstr>Subcategory03</vt:lpstr>
      <vt:lpstr>Subcategory04</vt:lpstr>
      <vt:lpstr>Subcategory05</vt:lpstr>
      <vt:lpstr>TaxStatus</vt:lpstr>
      <vt:lpstr>TextBoxAppNo1</vt:lpstr>
      <vt:lpstr>TextBoxAppNo2</vt:lpstr>
      <vt:lpstr>TextBoxDate</vt:lpstr>
      <vt:lpstr>Version</vt:lpstr>
      <vt:lpstr>VRFType</vt:lpstr>
      <vt:lpstr>VSDMotorTypeIncentives</vt:lpstr>
      <vt:lpstr>VSDMotorTypes</vt:lpstr>
      <vt:lpstr>VSDWaterPump</vt:lpstr>
      <vt:lpstr>YesNo</vt:lpstr>
      <vt:lpstr>ZipCodes</vt:lpstr>
    </vt:vector>
  </TitlesOfParts>
  <Manager/>
  <Company>IPCO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Billie Jo McWinn;KYi@idahopower.com</dc:creator>
  <cp:keywords/>
  <dc:description/>
  <cp:lastModifiedBy>Yi, Kathy</cp:lastModifiedBy>
  <cp:revision/>
  <cp:lastPrinted>2023-11-06T22:02:04Z</cp:lastPrinted>
  <dcterms:created xsi:type="dcterms:W3CDTF">2007-06-26T16:54:25Z</dcterms:created>
  <dcterms:modified xsi:type="dcterms:W3CDTF">2023-11-06T22:26:51Z</dcterms:modified>
  <cp:category/>
  <cp:contentStatus/>
</cp:coreProperties>
</file>