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4F3F40F8-EF48-4293-A6C3-ABB1C8A3CBA0}" xr6:coauthVersionLast="46" xr6:coauthVersionMax="48" xr10:uidLastSave="{00000000-0000-0000-0000-000000000000}"/>
  <bookViews>
    <workbookView xWindow="28680" yWindow="15" windowWidth="29040" windowHeight="15840" xr2:uid="{2F087AF8-7E3E-4EFE-A35B-AC935A41C114}"/>
  </bookViews>
  <sheets>
    <sheet name="Summary" sheetId="16" r:id="rId1"/>
    <sheet name="A" sheetId="17" r:id="rId2"/>
    <sheet name="B" sheetId="33" r:id="rId3"/>
    <sheet name="C" sheetId="31" r:id="rId4"/>
    <sheet name="D" sheetId="32" r:id="rId5"/>
    <sheet name="E" sheetId="34" r:id="rId6"/>
    <sheet name="F" sheetId="35" r:id="rId7"/>
    <sheet name="G" sheetId="36" r:id="rId8"/>
    <sheet name="H" sheetId="37" r:id="rId9"/>
    <sheet name="I" sheetId="38" r:id="rId10"/>
    <sheet name="J" sheetId="39" r:id="rId11"/>
    <sheet name="K" sheetId="40" r:id="rId12"/>
    <sheet name="L" sheetId="41" r:id="rId13"/>
    <sheet name="M" sheetId="42" r:id="rId14"/>
    <sheet name="PCA-Original " sheetId="1" r:id="rId15"/>
    <sheet name="PCA-Hourly Flat IRP" sheetId="2" r:id="rId16"/>
    <sheet name="PCA-Hourly Flat ICE" sheetId="3" r:id="rId17"/>
    <sheet name="PCA-Hourly Flat ELAP" sheetId="4" r:id="rId18"/>
    <sheet name="PCA-Real Time Flat IRP" sheetId="5" r:id="rId19"/>
    <sheet name="PCA-Real Time Flat ICE" sheetId="7" r:id="rId20"/>
    <sheet name="PCA-Real Time Flat ELAP" sheetId="8" r:id="rId21"/>
    <sheet name="PCA-Hourly TV IRP" sheetId="9" r:id="rId22"/>
    <sheet name="PCA-Hourly TV ICE" sheetId="10" r:id="rId23"/>
    <sheet name="PCA-Hourly TV ELAP" sheetId="11" r:id="rId24"/>
    <sheet name="PCA-Real Time TV IRP" sheetId="12" r:id="rId25"/>
    <sheet name="PCA-Real Time TV ICE" sheetId="14" r:id="rId26"/>
    <sheet name="PCA-Real Time TV ELAP" sheetId="15" r:id="rId27"/>
  </sheets>
  <externalReferences>
    <externalReference r:id="rId28"/>
    <externalReference r:id="rId29"/>
  </externalReferences>
  <definedNames>
    <definedName name="_xlnm.Print_Area" localSheetId="1">A!$A$1:$K$79</definedName>
    <definedName name="_xlnm.Print_Area" localSheetId="2">B!$A$1:$K$79</definedName>
    <definedName name="_xlnm.Print_Area" localSheetId="3">'C'!$A$1:$K$79</definedName>
    <definedName name="_xlnm.Print_Area" localSheetId="4">D!$A$1:$K$79</definedName>
    <definedName name="_xlnm.Print_Area" localSheetId="5">E!$A$1:$K$79</definedName>
    <definedName name="_xlnm.Print_Area" localSheetId="6">F!$A$1:$K$79</definedName>
    <definedName name="_xlnm.Print_Area" localSheetId="7">G!$A$1:$K$79</definedName>
    <definedName name="_xlnm.Print_Area" localSheetId="8">H!$A$1:$K$79</definedName>
    <definedName name="_xlnm.Print_Area" localSheetId="9">I!$A$1:$K$79</definedName>
    <definedName name="_xlnm.Print_Area" localSheetId="10">J!$A$1:$K$79</definedName>
    <definedName name="_xlnm.Print_Area" localSheetId="11">K!$A$1:$K$79</definedName>
    <definedName name="_xlnm.Print_Area" localSheetId="12">L!$A$1:$K$79</definedName>
    <definedName name="_xlnm.Print_Area" localSheetId="13">M!$A$1:$K$79</definedName>
    <definedName name="Years" localSheetId="2">[1]Trackers!$F$3:$F$26</definedName>
    <definedName name="Years" localSheetId="3">[1]Trackers!$F$3:$F$26</definedName>
    <definedName name="Years" localSheetId="4">[1]Trackers!$F$3:$F$26</definedName>
    <definedName name="Years" localSheetId="5">[1]Trackers!$F$3:$F$26</definedName>
    <definedName name="Years" localSheetId="6">[1]Trackers!$F$3:$F$26</definedName>
    <definedName name="Years" localSheetId="7">[1]Trackers!$F$3:$F$26</definedName>
    <definedName name="Years" localSheetId="8">[1]Trackers!$F$3:$F$26</definedName>
    <definedName name="Years" localSheetId="9">[1]Trackers!$F$3:$F$26</definedName>
    <definedName name="Years" localSheetId="10">[1]Trackers!$F$3:$F$26</definedName>
    <definedName name="Years" localSheetId="11">[1]Trackers!$F$3:$F$26</definedName>
    <definedName name="Years" localSheetId="12">[1]Trackers!$F$3:$F$26</definedName>
    <definedName name="Years" localSheetId="13">[1]Trackers!$F$3:$F$26</definedName>
    <definedName name="Years">[2]Trackers!$F$3:$F$26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6" l="1"/>
  <c r="A87" i="42"/>
  <c r="A86" i="42"/>
  <c r="A85" i="42"/>
  <c r="A84" i="42"/>
  <c r="A83" i="42"/>
  <c r="A82" i="42"/>
  <c r="A81" i="42"/>
  <c r="A80" i="42"/>
  <c r="A79" i="42"/>
  <c r="A77" i="42"/>
  <c r="F76" i="42"/>
  <c r="K75" i="42"/>
  <c r="I75" i="42"/>
  <c r="J75" i="42"/>
  <c r="K74" i="42"/>
  <c r="I74" i="42"/>
  <c r="H76" i="42"/>
  <c r="E76" i="42"/>
  <c r="D76" i="42"/>
  <c r="F72" i="42"/>
  <c r="E72" i="42"/>
  <c r="K71" i="42"/>
  <c r="I71" i="42"/>
  <c r="J71" i="42" s="1"/>
  <c r="I70" i="42"/>
  <c r="J70" i="42" s="1"/>
  <c r="H72" i="42"/>
  <c r="K69" i="42"/>
  <c r="J69" i="42"/>
  <c r="I69" i="42"/>
  <c r="D72" i="42"/>
  <c r="F67" i="42"/>
  <c r="I66" i="42"/>
  <c r="K65" i="42"/>
  <c r="I65" i="42"/>
  <c r="J65" i="42" s="1"/>
  <c r="AB64" i="42"/>
  <c r="A66" i="42" s="1"/>
  <c r="K64" i="42"/>
  <c r="H67" i="42"/>
  <c r="K67" i="42" s="1"/>
  <c r="I64" i="42"/>
  <c r="E67" i="42"/>
  <c r="D67" i="42"/>
  <c r="A64" i="42"/>
  <c r="AB63" i="42"/>
  <c r="A65" i="42" s="1"/>
  <c r="K60" i="42"/>
  <c r="J60" i="42"/>
  <c r="I60" i="42"/>
  <c r="H60" i="42"/>
  <c r="G60" i="42"/>
  <c r="F60" i="42"/>
  <c r="E60" i="42"/>
  <c r="D60" i="42"/>
  <c r="C60" i="42"/>
  <c r="K59" i="42"/>
  <c r="J59" i="42"/>
  <c r="I59" i="42"/>
  <c r="H59" i="42"/>
  <c r="G59" i="42"/>
  <c r="F59" i="42"/>
  <c r="E59" i="42"/>
  <c r="D59" i="42"/>
  <c r="C59" i="42"/>
  <c r="K58" i="42"/>
  <c r="I58" i="42"/>
  <c r="H58" i="42"/>
  <c r="F58" i="42"/>
  <c r="E58" i="42"/>
  <c r="D58" i="42"/>
  <c r="C58" i="42"/>
  <c r="K57" i="42"/>
  <c r="A53" i="42"/>
  <c r="A78" i="42"/>
  <c r="A40" i="42"/>
  <c r="A39" i="42"/>
  <c r="J38" i="42"/>
  <c r="K38" i="42"/>
  <c r="A37" i="42"/>
  <c r="A36" i="42"/>
  <c r="A34" i="42"/>
  <c r="K33" i="42"/>
  <c r="G33" i="42"/>
  <c r="A32" i="42"/>
  <c r="K30" i="42"/>
  <c r="I29" i="42"/>
  <c r="G29" i="42"/>
  <c r="J29" i="42"/>
  <c r="K28" i="42"/>
  <c r="I28" i="42"/>
  <c r="J28" i="42" s="1"/>
  <c r="G28" i="42"/>
  <c r="K27" i="42"/>
  <c r="I27" i="42"/>
  <c r="K26" i="42"/>
  <c r="I25" i="42"/>
  <c r="G25" i="42"/>
  <c r="K24" i="42"/>
  <c r="J24" i="42"/>
  <c r="I24" i="42"/>
  <c r="G24" i="42"/>
  <c r="K23" i="42"/>
  <c r="I23" i="42"/>
  <c r="K22" i="42"/>
  <c r="G22" i="42"/>
  <c r="K21" i="42"/>
  <c r="G21" i="42"/>
  <c r="K20" i="42"/>
  <c r="J20" i="42"/>
  <c r="I20" i="42"/>
  <c r="G20" i="42"/>
  <c r="K19" i="42"/>
  <c r="J19" i="42"/>
  <c r="K18" i="42"/>
  <c r="G18" i="42"/>
  <c r="AB17" i="42"/>
  <c r="A18" i="42" s="1"/>
  <c r="H31" i="42"/>
  <c r="G17" i="42"/>
  <c r="F31" i="42"/>
  <c r="F35" i="42" s="1"/>
  <c r="A17" i="42"/>
  <c r="A52" i="42"/>
  <c r="A51" i="42"/>
  <c r="A50" i="42"/>
  <c r="A49" i="42"/>
  <c r="A48" i="42"/>
  <c r="A87" i="41"/>
  <c r="A86" i="41"/>
  <c r="A85" i="41"/>
  <c r="A84" i="41"/>
  <c r="A83" i="41"/>
  <c r="A82" i="41"/>
  <c r="A81" i="41"/>
  <c r="A80" i="41"/>
  <c r="A79" i="41"/>
  <c r="A77" i="41"/>
  <c r="F76" i="41"/>
  <c r="I75" i="41"/>
  <c r="K75" i="41"/>
  <c r="J75" i="41"/>
  <c r="K74" i="41"/>
  <c r="H76" i="41"/>
  <c r="K76" i="41" s="1"/>
  <c r="I74" i="41"/>
  <c r="E76" i="41"/>
  <c r="D76" i="41"/>
  <c r="F72" i="41"/>
  <c r="E72" i="41"/>
  <c r="K71" i="41"/>
  <c r="I71" i="41"/>
  <c r="J71" i="41"/>
  <c r="I70" i="41"/>
  <c r="J70" i="41" s="1"/>
  <c r="K70" i="41"/>
  <c r="K69" i="41"/>
  <c r="I69" i="41"/>
  <c r="J69" i="41"/>
  <c r="D72" i="41"/>
  <c r="F67" i="41"/>
  <c r="K66" i="41"/>
  <c r="K65" i="41"/>
  <c r="I65" i="41"/>
  <c r="J65" i="41" s="1"/>
  <c r="I64" i="41"/>
  <c r="K64" i="41"/>
  <c r="E67" i="41"/>
  <c r="D67" i="41"/>
  <c r="A64" i="41"/>
  <c r="AB63" i="41"/>
  <c r="A65" i="41" s="1"/>
  <c r="K60" i="41"/>
  <c r="J60" i="41"/>
  <c r="I60" i="41"/>
  <c r="H60" i="41"/>
  <c r="G60" i="41"/>
  <c r="F60" i="41"/>
  <c r="E60" i="41"/>
  <c r="D60" i="41"/>
  <c r="C60" i="41"/>
  <c r="K59" i="41"/>
  <c r="J59" i="41"/>
  <c r="I59" i="41"/>
  <c r="H59" i="41"/>
  <c r="G59" i="41"/>
  <c r="F59" i="41"/>
  <c r="E59" i="41"/>
  <c r="D59" i="41"/>
  <c r="C59" i="41"/>
  <c r="K58" i="41"/>
  <c r="I58" i="41"/>
  <c r="H58" i="41"/>
  <c r="F58" i="41"/>
  <c r="E58" i="41"/>
  <c r="D58" i="41"/>
  <c r="C58" i="41"/>
  <c r="K57" i="41"/>
  <c r="A53" i="41"/>
  <c r="A78" i="41"/>
  <c r="A40" i="41"/>
  <c r="A39" i="41"/>
  <c r="K38" i="41"/>
  <c r="J38" i="41"/>
  <c r="A37" i="41"/>
  <c r="A36" i="41"/>
  <c r="A34" i="41"/>
  <c r="K33" i="41"/>
  <c r="G33" i="41"/>
  <c r="A32" i="41"/>
  <c r="K30" i="41"/>
  <c r="K29" i="41"/>
  <c r="G29" i="41"/>
  <c r="K28" i="41"/>
  <c r="G28" i="41"/>
  <c r="I28" i="41"/>
  <c r="J28" i="41" s="1"/>
  <c r="I27" i="41"/>
  <c r="J27" i="41" s="1"/>
  <c r="K27" i="41"/>
  <c r="K26" i="41"/>
  <c r="K25" i="41"/>
  <c r="G25" i="41"/>
  <c r="K24" i="41"/>
  <c r="G24" i="41"/>
  <c r="I24" i="41"/>
  <c r="J24" i="41" s="1"/>
  <c r="I23" i="41"/>
  <c r="J23" i="41" s="1"/>
  <c r="K23" i="41"/>
  <c r="K22" i="41"/>
  <c r="I21" i="41"/>
  <c r="K21" i="41"/>
  <c r="G21" i="41"/>
  <c r="K20" i="41"/>
  <c r="G20" i="41"/>
  <c r="I20" i="41"/>
  <c r="J20" i="41" s="1"/>
  <c r="K19" i="41"/>
  <c r="J19" i="41"/>
  <c r="I19" i="41"/>
  <c r="K18" i="41"/>
  <c r="A18" i="41"/>
  <c r="AB17" i="41"/>
  <c r="AB18" i="41" s="1"/>
  <c r="I17" i="41"/>
  <c r="F31" i="41"/>
  <c r="F35" i="41" s="1"/>
  <c r="G17" i="41"/>
  <c r="A17" i="41"/>
  <c r="A52" i="41"/>
  <c r="A51" i="41"/>
  <c r="A50" i="41"/>
  <c r="A49" i="41"/>
  <c r="A48" i="41"/>
  <c r="A87" i="40"/>
  <c r="A86" i="40"/>
  <c r="A85" i="40"/>
  <c r="A84" i="40"/>
  <c r="A83" i="40"/>
  <c r="A82" i="40"/>
  <c r="A81" i="40"/>
  <c r="A80" i="40"/>
  <c r="A79" i="40"/>
  <c r="A77" i="40"/>
  <c r="F76" i="40"/>
  <c r="E76" i="40"/>
  <c r="K75" i="40"/>
  <c r="J75" i="40"/>
  <c r="I74" i="40"/>
  <c r="J74" i="40" s="1"/>
  <c r="H76" i="40"/>
  <c r="K76" i="40" s="1"/>
  <c r="D76" i="40"/>
  <c r="E72" i="40"/>
  <c r="D72" i="40"/>
  <c r="K71" i="40"/>
  <c r="I70" i="40"/>
  <c r="J70" i="40" s="1"/>
  <c r="K70" i="40"/>
  <c r="K69" i="40"/>
  <c r="J69" i="40"/>
  <c r="I69" i="40"/>
  <c r="H72" i="40"/>
  <c r="F72" i="40"/>
  <c r="F67" i="40"/>
  <c r="E67" i="40"/>
  <c r="K66" i="40"/>
  <c r="I66" i="40"/>
  <c r="I65" i="40"/>
  <c r="J65" i="40" s="1"/>
  <c r="K65" i="40"/>
  <c r="AB64" i="40"/>
  <c r="A66" i="40" s="1"/>
  <c r="K64" i="40"/>
  <c r="I64" i="40"/>
  <c r="D67" i="40"/>
  <c r="A64" i="40"/>
  <c r="AB63" i="40"/>
  <c r="A65" i="40" s="1"/>
  <c r="K60" i="40"/>
  <c r="J60" i="40"/>
  <c r="I60" i="40"/>
  <c r="H60" i="40"/>
  <c r="G60" i="40"/>
  <c r="F60" i="40"/>
  <c r="E60" i="40"/>
  <c r="D60" i="40"/>
  <c r="C60" i="40"/>
  <c r="K59" i="40"/>
  <c r="J59" i="40"/>
  <c r="I59" i="40"/>
  <c r="H59" i="40"/>
  <c r="G59" i="40"/>
  <c r="F59" i="40"/>
  <c r="E59" i="40"/>
  <c r="D59" i="40"/>
  <c r="C59" i="40"/>
  <c r="K58" i="40"/>
  <c r="I58" i="40"/>
  <c r="H58" i="40"/>
  <c r="F58" i="40"/>
  <c r="E58" i="40"/>
  <c r="D58" i="40"/>
  <c r="C58" i="40"/>
  <c r="K57" i="40"/>
  <c r="A53" i="40"/>
  <c r="A78" i="40"/>
  <c r="A40" i="40"/>
  <c r="A39" i="40"/>
  <c r="K38" i="40"/>
  <c r="J38" i="40"/>
  <c r="A37" i="40"/>
  <c r="A36" i="40"/>
  <c r="A34" i="40"/>
  <c r="K33" i="40"/>
  <c r="I33" i="40"/>
  <c r="G33" i="40"/>
  <c r="A32" i="40"/>
  <c r="K30" i="40"/>
  <c r="G30" i="40"/>
  <c r="K29" i="40"/>
  <c r="I29" i="40"/>
  <c r="G29" i="40"/>
  <c r="K28" i="40"/>
  <c r="G28" i="40"/>
  <c r="I28" i="40"/>
  <c r="J28" i="40" s="1"/>
  <c r="I27" i="40"/>
  <c r="J27" i="40" s="1"/>
  <c r="K27" i="40"/>
  <c r="G27" i="40"/>
  <c r="K26" i="40"/>
  <c r="K25" i="40"/>
  <c r="I25" i="40"/>
  <c r="G25" i="40"/>
  <c r="K24" i="40"/>
  <c r="G24" i="40"/>
  <c r="I24" i="40"/>
  <c r="J24" i="40" s="1"/>
  <c r="K23" i="40"/>
  <c r="I23" i="40"/>
  <c r="J23" i="40" s="1"/>
  <c r="G23" i="40"/>
  <c r="K22" i="40"/>
  <c r="I22" i="40"/>
  <c r="K21" i="40"/>
  <c r="G21" i="40"/>
  <c r="I20" i="40"/>
  <c r="J20" i="40" s="1"/>
  <c r="G20" i="40"/>
  <c r="J19" i="40"/>
  <c r="K19" i="40"/>
  <c r="G19" i="40"/>
  <c r="K18" i="40"/>
  <c r="I18" i="40"/>
  <c r="J18" i="40"/>
  <c r="AB17" i="40"/>
  <c r="A18" i="40" s="1"/>
  <c r="H31" i="40"/>
  <c r="F31" i="40"/>
  <c r="F35" i="40" s="1"/>
  <c r="G17" i="40"/>
  <c r="A17" i="40"/>
  <c r="A52" i="40"/>
  <c r="A51" i="40"/>
  <c r="A50" i="40"/>
  <c r="A49" i="40"/>
  <c r="A48" i="40"/>
  <c r="A78" i="39"/>
  <c r="A87" i="39"/>
  <c r="A86" i="39"/>
  <c r="A85" i="39"/>
  <c r="A84" i="39"/>
  <c r="A83" i="39"/>
  <c r="A82" i="39"/>
  <c r="A81" i="39"/>
  <c r="A80" i="39"/>
  <c r="A79" i="39"/>
  <c r="A77" i="39"/>
  <c r="F76" i="39"/>
  <c r="E76" i="39"/>
  <c r="J75" i="39"/>
  <c r="K75" i="39"/>
  <c r="H76" i="39"/>
  <c r="I74" i="39"/>
  <c r="D76" i="39"/>
  <c r="E72" i="39"/>
  <c r="D72" i="39"/>
  <c r="K71" i="39"/>
  <c r="I70" i="39"/>
  <c r="J70" i="39" s="1"/>
  <c r="H72" i="39"/>
  <c r="K72" i="39" s="1"/>
  <c r="K69" i="39"/>
  <c r="J69" i="39"/>
  <c r="I69" i="39"/>
  <c r="F72" i="39"/>
  <c r="F67" i="39"/>
  <c r="E67" i="39"/>
  <c r="K66" i="39"/>
  <c r="I66" i="39"/>
  <c r="J66" i="39" s="1"/>
  <c r="J65" i="39"/>
  <c r="I65" i="39"/>
  <c r="K65" i="39"/>
  <c r="K64" i="39"/>
  <c r="H67" i="39"/>
  <c r="K67" i="39" s="1"/>
  <c r="I64" i="39"/>
  <c r="D67" i="39"/>
  <c r="A64" i="39"/>
  <c r="AB63" i="39"/>
  <c r="A65" i="39" s="1"/>
  <c r="K60" i="39"/>
  <c r="J60" i="39"/>
  <c r="I60" i="39"/>
  <c r="H60" i="39"/>
  <c r="G60" i="39"/>
  <c r="F60" i="39"/>
  <c r="E60" i="39"/>
  <c r="D60" i="39"/>
  <c r="C60" i="39"/>
  <c r="K59" i="39"/>
  <c r="J59" i="39"/>
  <c r="I59" i="39"/>
  <c r="H59" i="39"/>
  <c r="G59" i="39"/>
  <c r="F59" i="39"/>
  <c r="E59" i="39"/>
  <c r="D59" i="39"/>
  <c r="C59" i="39"/>
  <c r="K58" i="39"/>
  <c r="I58" i="39"/>
  <c r="H58" i="39"/>
  <c r="F58" i="39"/>
  <c r="E58" i="39"/>
  <c r="D58" i="39"/>
  <c r="C58" i="39"/>
  <c r="K57" i="39"/>
  <c r="A53" i="39"/>
  <c r="A40" i="39"/>
  <c r="A39" i="39"/>
  <c r="K38" i="39"/>
  <c r="J38" i="39"/>
  <c r="A37" i="39"/>
  <c r="A36" i="39"/>
  <c r="A34" i="39"/>
  <c r="K33" i="39"/>
  <c r="G33" i="39"/>
  <c r="I33" i="39"/>
  <c r="J33" i="39" s="1"/>
  <c r="A32" i="39"/>
  <c r="K30" i="39"/>
  <c r="I30" i="39"/>
  <c r="J30" i="39" s="1"/>
  <c r="K29" i="39"/>
  <c r="G29" i="39"/>
  <c r="I29" i="39"/>
  <c r="J29" i="39" s="1"/>
  <c r="J28" i="39"/>
  <c r="I28" i="39"/>
  <c r="K28" i="39"/>
  <c r="G28" i="39"/>
  <c r="K27" i="39"/>
  <c r="I27" i="39"/>
  <c r="J27" i="39" s="1"/>
  <c r="K26" i="39"/>
  <c r="I26" i="39"/>
  <c r="J26" i="39"/>
  <c r="K25" i="39"/>
  <c r="G25" i="39"/>
  <c r="I25" i="39"/>
  <c r="J25" i="39" s="1"/>
  <c r="I24" i="39"/>
  <c r="J24" i="39" s="1"/>
  <c r="K24" i="39"/>
  <c r="G24" i="39"/>
  <c r="K23" i="39"/>
  <c r="I23" i="39"/>
  <c r="J23" i="39" s="1"/>
  <c r="K22" i="39"/>
  <c r="I22" i="39"/>
  <c r="J22" i="39" s="1"/>
  <c r="G21" i="39"/>
  <c r="K21" i="39"/>
  <c r="I20" i="39"/>
  <c r="J20" i="39" s="1"/>
  <c r="K20" i="39"/>
  <c r="G20" i="39"/>
  <c r="K19" i="39"/>
  <c r="J19" i="39"/>
  <c r="G19" i="39"/>
  <c r="I19" i="39"/>
  <c r="K18" i="39"/>
  <c r="I18" i="39"/>
  <c r="J18" i="39" s="1"/>
  <c r="AB17" i="39"/>
  <c r="AB18" i="39" s="1"/>
  <c r="H31" i="39"/>
  <c r="G17" i="39"/>
  <c r="F31" i="39"/>
  <c r="F35" i="39" s="1"/>
  <c r="E31" i="39"/>
  <c r="A17" i="39"/>
  <c r="A52" i="39"/>
  <c r="A51" i="39"/>
  <c r="A50" i="39"/>
  <c r="A49" i="39"/>
  <c r="A48" i="39"/>
  <c r="A78" i="38"/>
  <c r="A87" i="38"/>
  <c r="A86" i="38"/>
  <c r="A85" i="38"/>
  <c r="A84" i="38"/>
  <c r="A83" i="38"/>
  <c r="A82" i="38"/>
  <c r="A81" i="38"/>
  <c r="A80" i="38"/>
  <c r="A79" i="38"/>
  <c r="A77" i="38"/>
  <c r="F76" i="38"/>
  <c r="E76" i="38"/>
  <c r="J75" i="38"/>
  <c r="K75" i="38"/>
  <c r="I74" i="38"/>
  <c r="J74" i="38" s="1"/>
  <c r="H76" i="38"/>
  <c r="D76" i="38"/>
  <c r="E72" i="38"/>
  <c r="D72" i="38"/>
  <c r="K71" i="38"/>
  <c r="I70" i="38"/>
  <c r="J70" i="38" s="1"/>
  <c r="H72" i="38"/>
  <c r="K69" i="38"/>
  <c r="J69" i="38"/>
  <c r="I69" i="38"/>
  <c r="F72" i="38"/>
  <c r="F67" i="38"/>
  <c r="E67" i="38"/>
  <c r="K66" i="38"/>
  <c r="I66" i="38"/>
  <c r="J66" i="38" s="1"/>
  <c r="I65" i="38"/>
  <c r="J65" i="38" s="1"/>
  <c r="K65" i="38"/>
  <c r="K64" i="38"/>
  <c r="H67" i="38"/>
  <c r="K67" i="38" s="1"/>
  <c r="I64" i="38"/>
  <c r="D67" i="38"/>
  <c r="A64" i="38"/>
  <c r="AB63" i="38"/>
  <c r="A65" i="38" s="1"/>
  <c r="K60" i="38"/>
  <c r="J60" i="38"/>
  <c r="I60" i="38"/>
  <c r="H60" i="38"/>
  <c r="G60" i="38"/>
  <c r="F60" i="38"/>
  <c r="E60" i="38"/>
  <c r="D60" i="38"/>
  <c r="C60" i="38"/>
  <c r="K59" i="38"/>
  <c r="J59" i="38"/>
  <c r="I59" i="38"/>
  <c r="H59" i="38"/>
  <c r="G59" i="38"/>
  <c r="F59" i="38"/>
  <c r="E59" i="38"/>
  <c r="D59" i="38"/>
  <c r="C59" i="38"/>
  <c r="K58" i="38"/>
  <c r="I58" i="38"/>
  <c r="H58" i="38"/>
  <c r="F58" i="38"/>
  <c r="E58" i="38"/>
  <c r="D58" i="38"/>
  <c r="C58" i="38"/>
  <c r="K57" i="38"/>
  <c r="A53" i="38"/>
  <c r="A40" i="38"/>
  <c r="A39" i="38"/>
  <c r="K38" i="38"/>
  <c r="J38" i="38"/>
  <c r="A37" i="38"/>
  <c r="A36" i="38"/>
  <c r="A34" i="38"/>
  <c r="K33" i="38"/>
  <c r="G33" i="38"/>
  <c r="I33" i="38"/>
  <c r="J33" i="38" s="1"/>
  <c r="A32" i="38"/>
  <c r="K30" i="38"/>
  <c r="I30" i="38"/>
  <c r="K29" i="38"/>
  <c r="G29" i="38"/>
  <c r="I29" i="38"/>
  <c r="J29" i="38" s="1"/>
  <c r="G28" i="38"/>
  <c r="K27" i="38"/>
  <c r="I27" i="38"/>
  <c r="J27" i="38" s="1"/>
  <c r="K26" i="38"/>
  <c r="I26" i="38"/>
  <c r="J26" i="38"/>
  <c r="K25" i="38"/>
  <c r="G25" i="38"/>
  <c r="I25" i="38"/>
  <c r="J25" i="38" s="1"/>
  <c r="I24" i="38"/>
  <c r="J24" i="38" s="1"/>
  <c r="K24" i="38"/>
  <c r="G24" i="38"/>
  <c r="K23" i="38"/>
  <c r="I23" i="38"/>
  <c r="J23" i="38" s="1"/>
  <c r="K22" i="38"/>
  <c r="I22" i="38"/>
  <c r="G21" i="38"/>
  <c r="K21" i="38"/>
  <c r="I20" i="38"/>
  <c r="J20" i="38" s="1"/>
  <c r="K20" i="38"/>
  <c r="G20" i="38"/>
  <c r="K19" i="38"/>
  <c r="J19" i="38"/>
  <c r="G19" i="38"/>
  <c r="K18" i="38"/>
  <c r="I18" i="38"/>
  <c r="AB17" i="38"/>
  <c r="AB18" i="38" s="1"/>
  <c r="G17" i="38"/>
  <c r="F31" i="38"/>
  <c r="F35" i="38" s="1"/>
  <c r="E31" i="38"/>
  <c r="A17" i="38"/>
  <c r="A52" i="38"/>
  <c r="A51" i="38"/>
  <c r="A50" i="38"/>
  <c r="A49" i="38"/>
  <c r="A48" i="38"/>
  <c r="A78" i="37"/>
  <c r="A87" i="37"/>
  <c r="A86" i="37"/>
  <c r="A85" i="37"/>
  <c r="A84" i="37"/>
  <c r="A83" i="37"/>
  <c r="A82" i="37"/>
  <c r="A81" i="37"/>
  <c r="A80" i="37"/>
  <c r="A79" i="37"/>
  <c r="A77" i="37"/>
  <c r="F76" i="37"/>
  <c r="J75" i="37"/>
  <c r="K75" i="37"/>
  <c r="I74" i="37"/>
  <c r="E76" i="37"/>
  <c r="D76" i="37"/>
  <c r="E72" i="37"/>
  <c r="I71" i="37"/>
  <c r="J71" i="37" s="1"/>
  <c r="K71" i="37"/>
  <c r="K70" i="37"/>
  <c r="I70" i="37"/>
  <c r="J70" i="37" s="1"/>
  <c r="H72" i="37"/>
  <c r="K72" i="37" s="1"/>
  <c r="D72" i="37"/>
  <c r="K69" i="37"/>
  <c r="I69" i="37"/>
  <c r="F72" i="37"/>
  <c r="J69" i="37"/>
  <c r="F67" i="37"/>
  <c r="K66" i="37"/>
  <c r="I66" i="37"/>
  <c r="J66" i="37" s="1"/>
  <c r="I65" i="37"/>
  <c r="J65" i="37" s="1"/>
  <c r="E67" i="37"/>
  <c r="K64" i="37"/>
  <c r="D67" i="37"/>
  <c r="A64" i="37"/>
  <c r="AB63" i="37"/>
  <c r="A65" i="37" s="1"/>
  <c r="K60" i="37"/>
  <c r="J60" i="37"/>
  <c r="I60" i="37"/>
  <c r="H60" i="37"/>
  <c r="G60" i="37"/>
  <c r="F60" i="37"/>
  <c r="E60" i="37"/>
  <c r="D60" i="37"/>
  <c r="C60" i="37"/>
  <c r="K59" i="37"/>
  <c r="J59" i="37"/>
  <c r="I59" i="37"/>
  <c r="H59" i="37"/>
  <c r="G59" i="37"/>
  <c r="F59" i="37"/>
  <c r="E59" i="37"/>
  <c r="D59" i="37"/>
  <c r="C59" i="37"/>
  <c r="K58" i="37"/>
  <c r="I58" i="37"/>
  <c r="H58" i="37"/>
  <c r="F58" i="37"/>
  <c r="E58" i="37"/>
  <c r="D58" i="37"/>
  <c r="C58" i="37"/>
  <c r="K57" i="37"/>
  <c r="A53" i="37"/>
  <c r="A40" i="37"/>
  <c r="A39" i="37"/>
  <c r="K38" i="37"/>
  <c r="J38" i="37"/>
  <c r="A37" i="37"/>
  <c r="A36" i="37"/>
  <c r="A34" i="37"/>
  <c r="K33" i="37"/>
  <c r="G33" i="37"/>
  <c r="A32" i="37"/>
  <c r="K30" i="37"/>
  <c r="I30" i="37"/>
  <c r="J30" i="37"/>
  <c r="K29" i="37"/>
  <c r="G29" i="37"/>
  <c r="G28" i="37"/>
  <c r="K27" i="37"/>
  <c r="K26" i="37"/>
  <c r="I26" i="37"/>
  <c r="J26" i="37"/>
  <c r="K25" i="37"/>
  <c r="G25" i="37"/>
  <c r="I24" i="37"/>
  <c r="J24" i="37" s="1"/>
  <c r="G24" i="37"/>
  <c r="K23" i="37"/>
  <c r="K22" i="37"/>
  <c r="I22" i="37"/>
  <c r="J22" i="37"/>
  <c r="G21" i="37"/>
  <c r="I20" i="37"/>
  <c r="J20" i="37" s="1"/>
  <c r="K20" i="37"/>
  <c r="G20" i="37"/>
  <c r="J19" i="37"/>
  <c r="G19" i="37"/>
  <c r="K19" i="37"/>
  <c r="AB18" i="37"/>
  <c r="A19" i="37" s="1"/>
  <c r="K18" i="37"/>
  <c r="I18" i="37"/>
  <c r="J18" i="37" s="1"/>
  <c r="AB17" i="37"/>
  <c r="A18" i="37" s="1"/>
  <c r="H31" i="37"/>
  <c r="G17" i="37"/>
  <c r="E31" i="37"/>
  <c r="A17" i="37"/>
  <c r="A52" i="37"/>
  <c r="A51" i="37"/>
  <c r="A50" i="37"/>
  <c r="A49" i="37"/>
  <c r="A48" i="37"/>
  <c r="A87" i="36"/>
  <c r="A86" i="36"/>
  <c r="A85" i="36"/>
  <c r="A84" i="36"/>
  <c r="A83" i="36"/>
  <c r="A82" i="36"/>
  <c r="A81" i="36"/>
  <c r="A80" i="36"/>
  <c r="A79" i="36"/>
  <c r="A77" i="36"/>
  <c r="F76" i="36"/>
  <c r="K75" i="36"/>
  <c r="J75" i="36"/>
  <c r="H76" i="36"/>
  <c r="I74" i="36"/>
  <c r="E76" i="36"/>
  <c r="D76" i="36"/>
  <c r="E72" i="36"/>
  <c r="K71" i="36"/>
  <c r="I70" i="36"/>
  <c r="K70" i="36"/>
  <c r="J70" i="36"/>
  <c r="K69" i="36"/>
  <c r="H72" i="36"/>
  <c r="I69" i="36"/>
  <c r="J69" i="36"/>
  <c r="D72" i="36"/>
  <c r="F67" i="36"/>
  <c r="K66" i="36"/>
  <c r="I66" i="36"/>
  <c r="J66" i="36" s="1"/>
  <c r="K65" i="36"/>
  <c r="I65" i="36"/>
  <c r="J65" i="36" s="1"/>
  <c r="AB64" i="36"/>
  <c r="A66" i="36" s="1"/>
  <c r="K64" i="36"/>
  <c r="I64" i="36"/>
  <c r="E67" i="36"/>
  <c r="D67" i="36"/>
  <c r="A64" i="36"/>
  <c r="AB63" i="36"/>
  <c r="A65" i="36" s="1"/>
  <c r="K60" i="36"/>
  <c r="J60" i="36"/>
  <c r="I60" i="36"/>
  <c r="H60" i="36"/>
  <c r="G60" i="36"/>
  <c r="F60" i="36"/>
  <c r="E60" i="36"/>
  <c r="D60" i="36"/>
  <c r="C60" i="36"/>
  <c r="K59" i="36"/>
  <c r="J59" i="36"/>
  <c r="I59" i="36"/>
  <c r="H59" i="36"/>
  <c r="G59" i="36"/>
  <c r="F59" i="36"/>
  <c r="E59" i="36"/>
  <c r="D59" i="36"/>
  <c r="C59" i="36"/>
  <c r="K58" i="36"/>
  <c r="I58" i="36"/>
  <c r="H58" i="36"/>
  <c r="F58" i="36"/>
  <c r="E58" i="36"/>
  <c r="D58" i="36"/>
  <c r="C58" i="36"/>
  <c r="K57" i="36"/>
  <c r="A53" i="36"/>
  <c r="A78" i="36"/>
  <c r="A40" i="36"/>
  <c r="A39" i="36"/>
  <c r="K38" i="36"/>
  <c r="J38" i="36"/>
  <c r="A37" i="36"/>
  <c r="A36" i="36"/>
  <c r="A34" i="36"/>
  <c r="K33" i="36"/>
  <c r="I33" i="36"/>
  <c r="G33" i="36"/>
  <c r="A32" i="36"/>
  <c r="K30" i="36"/>
  <c r="I30" i="36"/>
  <c r="J30" i="36" s="1"/>
  <c r="G30" i="36"/>
  <c r="K29" i="36"/>
  <c r="I29" i="36"/>
  <c r="J29" i="36" s="1"/>
  <c r="G29" i="36"/>
  <c r="K28" i="36"/>
  <c r="K27" i="36"/>
  <c r="I27" i="36"/>
  <c r="J27" i="36" s="1"/>
  <c r="G27" i="36"/>
  <c r="K26" i="36"/>
  <c r="I26" i="36"/>
  <c r="J26" i="36" s="1"/>
  <c r="G26" i="36"/>
  <c r="K25" i="36"/>
  <c r="I25" i="36"/>
  <c r="G25" i="36"/>
  <c r="K24" i="36"/>
  <c r="I24" i="36"/>
  <c r="J24" i="36" s="1"/>
  <c r="G24" i="36"/>
  <c r="K23" i="36"/>
  <c r="I23" i="36"/>
  <c r="K22" i="36"/>
  <c r="I22" i="36"/>
  <c r="K21" i="36"/>
  <c r="G21" i="36"/>
  <c r="I20" i="36"/>
  <c r="J20" i="36" s="1"/>
  <c r="G20" i="36"/>
  <c r="K19" i="36"/>
  <c r="J19" i="36"/>
  <c r="K18" i="36"/>
  <c r="I18" i="36"/>
  <c r="J18" i="36" s="1"/>
  <c r="AB17" i="36"/>
  <c r="AB18" i="36" s="1"/>
  <c r="F31" i="36"/>
  <c r="F35" i="36" s="1"/>
  <c r="G17" i="36"/>
  <c r="A17" i="36"/>
  <c r="A52" i="36"/>
  <c r="A51" i="36"/>
  <c r="A50" i="36"/>
  <c r="A49" i="36"/>
  <c r="A48" i="36"/>
  <c r="A87" i="35"/>
  <c r="A86" i="35"/>
  <c r="A85" i="35"/>
  <c r="A84" i="35"/>
  <c r="A83" i="35"/>
  <c r="A82" i="35"/>
  <c r="A81" i="35"/>
  <c r="A80" i="35"/>
  <c r="A79" i="35"/>
  <c r="A77" i="35"/>
  <c r="F76" i="35"/>
  <c r="K75" i="35"/>
  <c r="I75" i="35"/>
  <c r="J75" i="35"/>
  <c r="K74" i="35"/>
  <c r="H76" i="35"/>
  <c r="I74" i="35"/>
  <c r="E76" i="35"/>
  <c r="D76" i="35"/>
  <c r="F72" i="35"/>
  <c r="E72" i="35"/>
  <c r="K71" i="35"/>
  <c r="I71" i="35"/>
  <c r="J71" i="35" s="1"/>
  <c r="I70" i="35"/>
  <c r="J70" i="35" s="1"/>
  <c r="K70" i="35"/>
  <c r="K69" i="35"/>
  <c r="J69" i="35"/>
  <c r="I69" i="35"/>
  <c r="D72" i="35"/>
  <c r="F67" i="35"/>
  <c r="K66" i="35"/>
  <c r="K65" i="35"/>
  <c r="I65" i="35"/>
  <c r="J65" i="35" s="1"/>
  <c r="A65" i="35"/>
  <c r="AB64" i="35"/>
  <c r="A66" i="35" s="1"/>
  <c r="K64" i="35"/>
  <c r="I64" i="35"/>
  <c r="E67" i="35"/>
  <c r="D67" i="35"/>
  <c r="A64" i="35"/>
  <c r="AB63" i="35"/>
  <c r="K60" i="35"/>
  <c r="J60" i="35"/>
  <c r="I60" i="35"/>
  <c r="H60" i="35"/>
  <c r="G60" i="35"/>
  <c r="F60" i="35"/>
  <c r="E60" i="35"/>
  <c r="D60" i="35"/>
  <c r="C60" i="35"/>
  <c r="K59" i="35"/>
  <c r="J59" i="35"/>
  <c r="I59" i="35"/>
  <c r="H59" i="35"/>
  <c r="G59" i="35"/>
  <c r="F59" i="35"/>
  <c r="E59" i="35"/>
  <c r="D59" i="35"/>
  <c r="C59" i="35"/>
  <c r="K58" i="35"/>
  <c r="I58" i="35"/>
  <c r="H58" i="35"/>
  <c r="F58" i="35"/>
  <c r="E58" i="35"/>
  <c r="D58" i="35"/>
  <c r="C58" i="35"/>
  <c r="K57" i="35"/>
  <c r="A53" i="35"/>
  <c r="A78" i="35"/>
  <c r="A40" i="35"/>
  <c r="A39" i="35"/>
  <c r="J38" i="35"/>
  <c r="K38" i="35"/>
  <c r="A37" i="35"/>
  <c r="A36" i="35"/>
  <c r="A34" i="35"/>
  <c r="I33" i="35"/>
  <c r="G33" i="35"/>
  <c r="A32" i="35"/>
  <c r="K30" i="35"/>
  <c r="K29" i="35"/>
  <c r="G29" i="35"/>
  <c r="G28" i="35"/>
  <c r="K27" i="35"/>
  <c r="I27" i="35"/>
  <c r="K26" i="35"/>
  <c r="I26" i="35"/>
  <c r="I25" i="35"/>
  <c r="G25" i="35"/>
  <c r="K24" i="35"/>
  <c r="J24" i="35"/>
  <c r="I24" i="35"/>
  <c r="G24" i="35"/>
  <c r="K23" i="35"/>
  <c r="I23" i="35"/>
  <c r="J23" i="35"/>
  <c r="K22" i="35"/>
  <c r="G22" i="35"/>
  <c r="I21" i="35"/>
  <c r="G21" i="35"/>
  <c r="K20" i="35"/>
  <c r="J20" i="35"/>
  <c r="I20" i="35"/>
  <c r="G20" i="35"/>
  <c r="K19" i="35"/>
  <c r="J19" i="35"/>
  <c r="K18" i="35"/>
  <c r="I18" i="35"/>
  <c r="AB17" i="35"/>
  <c r="A18" i="35" s="1"/>
  <c r="I17" i="35"/>
  <c r="G17" i="35"/>
  <c r="F31" i="35"/>
  <c r="F35" i="35" s="1"/>
  <c r="A17" i="35"/>
  <c r="A52" i="35"/>
  <c r="A51" i="35"/>
  <c r="A50" i="35"/>
  <c r="A49" i="35"/>
  <c r="A48" i="35"/>
  <c r="A87" i="34"/>
  <c r="A86" i="34"/>
  <c r="A85" i="34"/>
  <c r="A84" i="34"/>
  <c r="A83" i="34"/>
  <c r="A82" i="34"/>
  <c r="A81" i="34"/>
  <c r="A80" i="34"/>
  <c r="A79" i="34"/>
  <c r="A77" i="34"/>
  <c r="F76" i="34"/>
  <c r="K75" i="34"/>
  <c r="I75" i="34"/>
  <c r="J75" i="34"/>
  <c r="K74" i="34"/>
  <c r="I74" i="34"/>
  <c r="J74" i="34" s="1"/>
  <c r="H76" i="34"/>
  <c r="K76" i="34" s="1"/>
  <c r="E76" i="34"/>
  <c r="D76" i="34"/>
  <c r="F72" i="34"/>
  <c r="E72" i="34"/>
  <c r="K71" i="34"/>
  <c r="I71" i="34"/>
  <c r="J71" i="34" s="1"/>
  <c r="I70" i="34"/>
  <c r="J70" i="34" s="1"/>
  <c r="H72" i="34"/>
  <c r="K72" i="34" s="1"/>
  <c r="K69" i="34"/>
  <c r="J69" i="34"/>
  <c r="I69" i="34"/>
  <c r="D72" i="34"/>
  <c r="F67" i="34"/>
  <c r="I66" i="34"/>
  <c r="K65" i="34"/>
  <c r="J65" i="34"/>
  <c r="I65" i="34"/>
  <c r="K64" i="34"/>
  <c r="I64" i="34"/>
  <c r="H67" i="34"/>
  <c r="E67" i="34"/>
  <c r="D67" i="34"/>
  <c r="A64" i="34"/>
  <c r="AB63" i="34"/>
  <c r="A65" i="34" s="1"/>
  <c r="K60" i="34"/>
  <c r="J60" i="34"/>
  <c r="I60" i="34"/>
  <c r="H60" i="34"/>
  <c r="G60" i="34"/>
  <c r="F60" i="34"/>
  <c r="E60" i="34"/>
  <c r="D60" i="34"/>
  <c r="C60" i="34"/>
  <c r="K59" i="34"/>
  <c r="J59" i="34"/>
  <c r="I59" i="34"/>
  <c r="H59" i="34"/>
  <c r="G59" i="34"/>
  <c r="F59" i="34"/>
  <c r="E59" i="34"/>
  <c r="D59" i="34"/>
  <c r="C59" i="34"/>
  <c r="K58" i="34"/>
  <c r="I58" i="34"/>
  <c r="H58" i="34"/>
  <c r="F58" i="34"/>
  <c r="E58" i="34"/>
  <c r="D58" i="34"/>
  <c r="C58" i="34"/>
  <c r="K57" i="34"/>
  <c r="A53" i="34"/>
  <c r="A78" i="34"/>
  <c r="A40" i="34"/>
  <c r="A39" i="34"/>
  <c r="J38" i="34"/>
  <c r="K38" i="34"/>
  <c r="A37" i="34"/>
  <c r="A36" i="34"/>
  <c r="A34" i="34"/>
  <c r="I33" i="34"/>
  <c r="G33" i="34"/>
  <c r="J33" i="34"/>
  <c r="A32" i="34"/>
  <c r="K30" i="34"/>
  <c r="I29" i="34"/>
  <c r="G29" i="34"/>
  <c r="K28" i="34"/>
  <c r="I28" i="34"/>
  <c r="J28" i="34" s="1"/>
  <c r="G28" i="34"/>
  <c r="K27" i="34"/>
  <c r="I27" i="34"/>
  <c r="J27" i="34" s="1"/>
  <c r="K26" i="34"/>
  <c r="K25" i="34"/>
  <c r="G25" i="34"/>
  <c r="K24" i="34"/>
  <c r="J24" i="34"/>
  <c r="I24" i="34"/>
  <c r="G24" i="34"/>
  <c r="K23" i="34"/>
  <c r="I23" i="34"/>
  <c r="J23" i="34"/>
  <c r="K22" i="34"/>
  <c r="I21" i="34"/>
  <c r="J21" i="34" s="1"/>
  <c r="G21" i="34"/>
  <c r="K20" i="34"/>
  <c r="J20" i="34"/>
  <c r="I20" i="34"/>
  <c r="G20" i="34"/>
  <c r="K19" i="34"/>
  <c r="J19" i="34"/>
  <c r="I19" i="34"/>
  <c r="A19" i="34"/>
  <c r="AB18" i="34"/>
  <c r="AB19" i="34" s="1"/>
  <c r="AB20" i="34" s="1"/>
  <c r="G18" i="34"/>
  <c r="A18" i="34"/>
  <c r="AB17" i="34"/>
  <c r="I17" i="34"/>
  <c r="J17" i="34" s="1"/>
  <c r="G17" i="34"/>
  <c r="F31" i="34"/>
  <c r="F35" i="34" s="1"/>
  <c r="A17" i="34"/>
  <c r="A52" i="34"/>
  <c r="A51" i="34"/>
  <c r="A50" i="34"/>
  <c r="A49" i="34"/>
  <c r="A48" i="34"/>
  <c r="A87" i="33"/>
  <c r="A86" i="33"/>
  <c r="A85" i="33"/>
  <c r="A84" i="33"/>
  <c r="A83" i="33"/>
  <c r="A82" i="33"/>
  <c r="A81" i="33"/>
  <c r="A80" i="33"/>
  <c r="A79" i="33"/>
  <c r="A77" i="33"/>
  <c r="J75" i="33"/>
  <c r="E76" i="33"/>
  <c r="D76" i="33"/>
  <c r="E72" i="33"/>
  <c r="D72" i="33"/>
  <c r="J69" i="33"/>
  <c r="E67" i="33"/>
  <c r="D67" i="33"/>
  <c r="A64" i="33"/>
  <c r="AB63" i="33"/>
  <c r="A65" i="33" s="1"/>
  <c r="K60" i="33"/>
  <c r="J60" i="33"/>
  <c r="I60" i="33"/>
  <c r="H60" i="33"/>
  <c r="G60" i="33"/>
  <c r="F60" i="33"/>
  <c r="E60" i="33"/>
  <c r="D60" i="33"/>
  <c r="C60" i="33"/>
  <c r="K59" i="33"/>
  <c r="J59" i="33"/>
  <c r="I59" i="33"/>
  <c r="H59" i="33"/>
  <c r="G59" i="33"/>
  <c r="F59" i="33"/>
  <c r="E59" i="33"/>
  <c r="D59" i="33"/>
  <c r="C59" i="33"/>
  <c r="K58" i="33"/>
  <c r="I58" i="33"/>
  <c r="H58" i="33"/>
  <c r="F58" i="33"/>
  <c r="E58" i="33"/>
  <c r="D58" i="33"/>
  <c r="C58" i="33"/>
  <c r="K57" i="33"/>
  <c r="A53" i="33"/>
  <c r="A78" i="33"/>
  <c r="A40" i="33"/>
  <c r="A39" i="33"/>
  <c r="K38" i="33"/>
  <c r="J38" i="33"/>
  <c r="A37" i="33"/>
  <c r="A36" i="33"/>
  <c r="A34" i="33"/>
  <c r="A32" i="33"/>
  <c r="J19" i="33"/>
  <c r="G19" i="33"/>
  <c r="AB17" i="33"/>
  <c r="A18" i="33" s="1"/>
  <c r="A17" i="33"/>
  <c r="A52" i="33"/>
  <c r="A51" i="33"/>
  <c r="A50" i="33"/>
  <c r="A49" i="33"/>
  <c r="A48" i="33"/>
  <c r="A87" i="32"/>
  <c r="A86" i="32"/>
  <c r="A85" i="32"/>
  <c r="A84" i="32"/>
  <c r="A83" i="32"/>
  <c r="A82" i="32"/>
  <c r="A81" i="32"/>
  <c r="A80" i="32"/>
  <c r="A79" i="32"/>
  <c r="A77" i="32"/>
  <c r="F76" i="32"/>
  <c r="J75" i="32"/>
  <c r="I75" i="32"/>
  <c r="K75" i="32"/>
  <c r="K74" i="32"/>
  <c r="I74" i="32"/>
  <c r="E76" i="32"/>
  <c r="D76" i="32"/>
  <c r="F72" i="32"/>
  <c r="E72" i="32"/>
  <c r="K71" i="32"/>
  <c r="K70" i="32"/>
  <c r="I70" i="32"/>
  <c r="J70" i="32" s="1"/>
  <c r="K69" i="32"/>
  <c r="I69" i="32"/>
  <c r="H72" i="32"/>
  <c r="J69" i="32"/>
  <c r="D72" i="32"/>
  <c r="F67" i="32"/>
  <c r="I66" i="32"/>
  <c r="J66" i="32" s="1"/>
  <c r="K65" i="32"/>
  <c r="I65" i="32"/>
  <c r="J65" i="32" s="1"/>
  <c r="AB64" i="32"/>
  <c r="A66" i="32" s="1"/>
  <c r="K64" i="32"/>
  <c r="I64" i="32"/>
  <c r="E67" i="32"/>
  <c r="D67" i="32"/>
  <c r="A64" i="32"/>
  <c r="AB63" i="32"/>
  <c r="A65" i="32" s="1"/>
  <c r="K60" i="32"/>
  <c r="J60" i="32"/>
  <c r="I60" i="32"/>
  <c r="H60" i="32"/>
  <c r="G60" i="32"/>
  <c r="F60" i="32"/>
  <c r="E60" i="32"/>
  <c r="D60" i="32"/>
  <c r="C60" i="32"/>
  <c r="K59" i="32"/>
  <c r="J59" i="32"/>
  <c r="I59" i="32"/>
  <c r="H59" i="32"/>
  <c r="G59" i="32"/>
  <c r="F59" i="32"/>
  <c r="E59" i="32"/>
  <c r="D59" i="32"/>
  <c r="C59" i="32"/>
  <c r="K58" i="32"/>
  <c r="I58" i="32"/>
  <c r="H58" i="32"/>
  <c r="F58" i="32"/>
  <c r="E58" i="32"/>
  <c r="D58" i="32"/>
  <c r="C58" i="32"/>
  <c r="K57" i="32"/>
  <c r="A53" i="32"/>
  <c r="A78" i="32"/>
  <c r="A40" i="32"/>
  <c r="A39" i="32"/>
  <c r="K38" i="32"/>
  <c r="J38" i="32"/>
  <c r="A37" i="32"/>
  <c r="A36" i="32"/>
  <c r="A34" i="32"/>
  <c r="K33" i="32"/>
  <c r="G33" i="32"/>
  <c r="A32" i="32"/>
  <c r="K30" i="32"/>
  <c r="G30" i="32"/>
  <c r="K29" i="32"/>
  <c r="G29" i="32"/>
  <c r="K28" i="32"/>
  <c r="K27" i="32"/>
  <c r="I27" i="32"/>
  <c r="J27" i="32"/>
  <c r="K26" i="32"/>
  <c r="I26" i="32"/>
  <c r="J26" i="32" s="1"/>
  <c r="I25" i="32"/>
  <c r="J25" i="32" s="1"/>
  <c r="G25" i="32"/>
  <c r="K24" i="32"/>
  <c r="I24" i="32"/>
  <c r="J24" i="32" s="1"/>
  <c r="K23" i="32"/>
  <c r="I23" i="32"/>
  <c r="K22" i="32"/>
  <c r="G22" i="32"/>
  <c r="I21" i="32"/>
  <c r="J21" i="32" s="1"/>
  <c r="K21" i="32"/>
  <c r="G21" i="32"/>
  <c r="K20" i="32"/>
  <c r="I20" i="32"/>
  <c r="J20" i="32" s="1"/>
  <c r="G20" i="32"/>
  <c r="K19" i="32"/>
  <c r="J19" i="32"/>
  <c r="D31" i="32"/>
  <c r="D35" i="32" s="1"/>
  <c r="K18" i="32"/>
  <c r="G18" i="32"/>
  <c r="AB17" i="32"/>
  <c r="AB18" i="32" s="1"/>
  <c r="G17" i="32"/>
  <c r="A17" i="32"/>
  <c r="A52" i="32"/>
  <c r="A51" i="32"/>
  <c r="A50" i="32"/>
  <c r="A49" i="32"/>
  <c r="A48" i="32"/>
  <c r="A78" i="31"/>
  <c r="A87" i="31"/>
  <c r="A86" i="31"/>
  <c r="A85" i="31"/>
  <c r="A84" i="31"/>
  <c r="A83" i="31"/>
  <c r="A82" i="31"/>
  <c r="A81" i="31"/>
  <c r="A80" i="31"/>
  <c r="A79" i="31"/>
  <c r="A77" i="31"/>
  <c r="F76" i="31"/>
  <c r="E76" i="31"/>
  <c r="J75" i="31"/>
  <c r="K75" i="31"/>
  <c r="J74" i="31"/>
  <c r="I74" i="31"/>
  <c r="H76" i="31"/>
  <c r="K76" i="31" s="1"/>
  <c r="D76" i="31"/>
  <c r="E72" i="31"/>
  <c r="D72" i="31"/>
  <c r="K71" i="31"/>
  <c r="I70" i="31"/>
  <c r="J70" i="31" s="1"/>
  <c r="H72" i="31"/>
  <c r="K69" i="31"/>
  <c r="J69" i="31"/>
  <c r="I69" i="31"/>
  <c r="F72" i="31"/>
  <c r="F67" i="31"/>
  <c r="E67" i="31"/>
  <c r="K66" i="31"/>
  <c r="I66" i="31"/>
  <c r="J66" i="31" s="1"/>
  <c r="J65" i="31"/>
  <c r="I65" i="31"/>
  <c r="K65" i="31"/>
  <c r="AB64" i="31"/>
  <c r="A66" i="31" s="1"/>
  <c r="K64" i="31"/>
  <c r="H67" i="31"/>
  <c r="K67" i="31" s="1"/>
  <c r="I64" i="31"/>
  <c r="D67" i="31"/>
  <c r="A64" i="31"/>
  <c r="AB63" i="31"/>
  <c r="A65" i="31" s="1"/>
  <c r="K60" i="31"/>
  <c r="J60" i="31"/>
  <c r="I60" i="31"/>
  <c r="H60" i="31"/>
  <c r="G60" i="31"/>
  <c r="F60" i="31"/>
  <c r="E60" i="31"/>
  <c r="D60" i="31"/>
  <c r="C60" i="31"/>
  <c r="K59" i="31"/>
  <c r="J59" i="31"/>
  <c r="I59" i="31"/>
  <c r="H59" i="31"/>
  <c r="G59" i="31"/>
  <c r="F59" i="31"/>
  <c r="E59" i="31"/>
  <c r="D59" i="31"/>
  <c r="C59" i="31"/>
  <c r="K58" i="31"/>
  <c r="I58" i="31"/>
  <c r="H58" i="31"/>
  <c r="F58" i="31"/>
  <c r="E58" i="31"/>
  <c r="D58" i="31"/>
  <c r="C58" i="31"/>
  <c r="K57" i="31"/>
  <c r="A53" i="31"/>
  <c r="A40" i="31"/>
  <c r="A39" i="31"/>
  <c r="K38" i="31"/>
  <c r="J38" i="31"/>
  <c r="A37" i="31"/>
  <c r="A36" i="31"/>
  <c r="A34" i="31"/>
  <c r="K33" i="31"/>
  <c r="G33" i="31"/>
  <c r="I33" i="31"/>
  <c r="J33" i="31" s="1"/>
  <c r="A32" i="31"/>
  <c r="K30" i="31"/>
  <c r="I30" i="31"/>
  <c r="K29" i="31"/>
  <c r="G29" i="31"/>
  <c r="I29" i="31"/>
  <c r="J29" i="31" s="1"/>
  <c r="I28" i="31"/>
  <c r="J28" i="31" s="1"/>
  <c r="K28" i="31"/>
  <c r="G28" i="31"/>
  <c r="K27" i="31"/>
  <c r="I27" i="31"/>
  <c r="J27" i="31" s="1"/>
  <c r="K26" i="31"/>
  <c r="I26" i="31"/>
  <c r="K25" i="31"/>
  <c r="G25" i="31"/>
  <c r="I25" i="31"/>
  <c r="J25" i="31" s="1"/>
  <c r="I24" i="31"/>
  <c r="J24" i="31" s="1"/>
  <c r="K24" i="31"/>
  <c r="G24" i="31"/>
  <c r="K23" i="31"/>
  <c r="I23" i="31"/>
  <c r="J23" i="31" s="1"/>
  <c r="K22" i="31"/>
  <c r="I22" i="31"/>
  <c r="G21" i="31"/>
  <c r="K21" i="31"/>
  <c r="I20" i="31"/>
  <c r="J20" i="31" s="1"/>
  <c r="K20" i="31"/>
  <c r="G20" i="31"/>
  <c r="K19" i="31"/>
  <c r="J19" i="31"/>
  <c r="G19" i="31"/>
  <c r="K18" i="31"/>
  <c r="I18" i="31"/>
  <c r="J18" i="31"/>
  <c r="AB17" i="31"/>
  <c r="AB18" i="31" s="1"/>
  <c r="G17" i="31"/>
  <c r="F31" i="31"/>
  <c r="F35" i="31" s="1"/>
  <c r="E31" i="31"/>
  <c r="A17" i="31"/>
  <c r="A52" i="31"/>
  <c r="A51" i="31"/>
  <c r="A50" i="31"/>
  <c r="A49" i="31"/>
  <c r="A48" i="31"/>
  <c r="N35" i="16"/>
  <c r="M35" i="16"/>
  <c r="L35" i="16"/>
  <c r="K35" i="16"/>
  <c r="J35" i="16"/>
  <c r="I35" i="16"/>
  <c r="H35" i="16"/>
  <c r="G35" i="16"/>
  <c r="F35" i="16"/>
  <c r="E35" i="16"/>
  <c r="D35" i="16"/>
  <c r="C35" i="16"/>
  <c r="A87" i="17"/>
  <c r="A86" i="17"/>
  <c r="A85" i="17"/>
  <c r="A84" i="17"/>
  <c r="A83" i="17"/>
  <c r="A82" i="17"/>
  <c r="A81" i="17"/>
  <c r="A80" i="17"/>
  <c r="A79" i="17"/>
  <c r="A77" i="17"/>
  <c r="F76" i="17"/>
  <c r="E76" i="17"/>
  <c r="K75" i="17"/>
  <c r="J75" i="17"/>
  <c r="H76" i="17"/>
  <c r="K74" i="17"/>
  <c r="I74" i="17"/>
  <c r="J74" i="17" s="1"/>
  <c r="D76" i="17"/>
  <c r="E72" i="17"/>
  <c r="D72" i="17"/>
  <c r="K71" i="17"/>
  <c r="I71" i="17"/>
  <c r="J71" i="17" s="1"/>
  <c r="I70" i="17"/>
  <c r="J70" i="17" s="1"/>
  <c r="H72" i="17"/>
  <c r="K69" i="17"/>
  <c r="J69" i="17"/>
  <c r="I69" i="17"/>
  <c r="I72" i="17" s="1"/>
  <c r="F67" i="17"/>
  <c r="E67" i="17"/>
  <c r="K66" i="17"/>
  <c r="K65" i="17"/>
  <c r="I65" i="17"/>
  <c r="J65" i="17" s="1"/>
  <c r="AB64" i="17"/>
  <c r="A66" i="17" s="1"/>
  <c r="K64" i="17"/>
  <c r="I64" i="17"/>
  <c r="J64" i="17" s="1"/>
  <c r="D67" i="17"/>
  <c r="A64" i="17"/>
  <c r="AB63" i="17"/>
  <c r="A65" i="17" s="1"/>
  <c r="K60" i="17"/>
  <c r="J60" i="17"/>
  <c r="I60" i="17"/>
  <c r="H60" i="17"/>
  <c r="G60" i="17"/>
  <c r="F60" i="17"/>
  <c r="E60" i="17"/>
  <c r="D60" i="17"/>
  <c r="C60" i="17"/>
  <c r="K59" i="17"/>
  <c r="J59" i="17"/>
  <c r="I59" i="17"/>
  <c r="H59" i="17"/>
  <c r="G59" i="17"/>
  <c r="F59" i="17"/>
  <c r="E59" i="17"/>
  <c r="D59" i="17"/>
  <c r="C59" i="17"/>
  <c r="K58" i="17"/>
  <c r="I58" i="17"/>
  <c r="H58" i="17"/>
  <c r="F58" i="17"/>
  <c r="E58" i="17"/>
  <c r="D58" i="17"/>
  <c r="C58" i="17"/>
  <c r="K57" i="17"/>
  <c r="A53" i="17"/>
  <c r="A78" i="17"/>
  <c r="A40" i="17"/>
  <c r="A39" i="17"/>
  <c r="J38" i="17"/>
  <c r="K38" i="17"/>
  <c r="A37" i="17"/>
  <c r="A36" i="17"/>
  <c r="A34" i="17"/>
  <c r="K33" i="17"/>
  <c r="G33" i="17"/>
  <c r="A32" i="17"/>
  <c r="K30" i="17"/>
  <c r="I30" i="17"/>
  <c r="G30" i="17"/>
  <c r="K29" i="17"/>
  <c r="G29" i="17"/>
  <c r="G28" i="17"/>
  <c r="K27" i="17"/>
  <c r="I27" i="17"/>
  <c r="J27" i="17"/>
  <c r="K26" i="17"/>
  <c r="I26" i="17"/>
  <c r="G26" i="17"/>
  <c r="K25" i="17"/>
  <c r="G25" i="17"/>
  <c r="K24" i="17"/>
  <c r="I24" i="17"/>
  <c r="J24" i="17" s="1"/>
  <c r="G24" i="17"/>
  <c r="K23" i="17"/>
  <c r="I23" i="17"/>
  <c r="K22" i="17"/>
  <c r="I22" i="17"/>
  <c r="J22" i="17" s="1"/>
  <c r="K21" i="17"/>
  <c r="G21" i="17"/>
  <c r="K20" i="17"/>
  <c r="I20" i="17"/>
  <c r="J20" i="17" s="1"/>
  <c r="G20" i="17"/>
  <c r="K19" i="17"/>
  <c r="J19" i="17"/>
  <c r="K18" i="17"/>
  <c r="I18" i="17"/>
  <c r="G18" i="17"/>
  <c r="AB17" i="17"/>
  <c r="AB18" i="17" s="1"/>
  <c r="I17" i="17"/>
  <c r="G17" i="17"/>
  <c r="A17" i="17"/>
  <c r="A52" i="17"/>
  <c r="A51" i="17"/>
  <c r="A50" i="17"/>
  <c r="A49" i="17"/>
  <c r="A48" i="17"/>
  <c r="N20" i="16"/>
  <c r="M20" i="16"/>
  <c r="M27" i="16" s="1"/>
  <c r="L20" i="16"/>
  <c r="L27" i="16" s="1"/>
  <c r="K20" i="16"/>
  <c r="K27" i="16" s="1"/>
  <c r="J20" i="16"/>
  <c r="I20" i="16"/>
  <c r="H20" i="16"/>
  <c r="G20" i="16"/>
  <c r="F20" i="16"/>
  <c r="E20" i="16"/>
  <c r="E27" i="16" s="1"/>
  <c r="D20" i="16"/>
  <c r="D27" i="16" s="1"/>
  <c r="C27" i="16"/>
  <c r="I9" i="16"/>
  <c r="I21" i="16" s="1"/>
  <c r="I28" i="16" s="1"/>
  <c r="B9" i="16"/>
  <c r="B21" i="16" s="1"/>
  <c r="B28" i="16" s="1"/>
  <c r="D45" i="15"/>
  <c r="D39" i="15"/>
  <c r="E39" i="15" s="1"/>
  <c r="B33" i="15"/>
  <c r="E27" i="15"/>
  <c r="B29" i="15" s="1"/>
  <c r="B27" i="15"/>
  <c r="G12" i="15" s="1"/>
  <c r="E18" i="15"/>
  <c r="H9" i="15" s="1"/>
  <c r="I9" i="15" s="1"/>
  <c r="J9" i="15" s="1"/>
  <c r="B18" i="15"/>
  <c r="B11" i="15"/>
  <c r="H22" i="15" s="1"/>
  <c r="G9" i="15"/>
  <c r="E9" i="15"/>
  <c r="H6" i="15" s="1"/>
  <c r="B9" i="15"/>
  <c r="G6" i="15" s="1"/>
  <c r="D45" i="14"/>
  <c r="D39" i="14"/>
  <c r="E39" i="14" s="1"/>
  <c r="E33" i="14"/>
  <c r="B33" i="14"/>
  <c r="E27" i="14"/>
  <c r="B29" i="14" s="1"/>
  <c r="B27" i="14"/>
  <c r="E18" i="14"/>
  <c r="H9" i="14" s="1"/>
  <c r="I9" i="14" s="1"/>
  <c r="J9" i="14" s="1"/>
  <c r="B18" i="14"/>
  <c r="G9" i="14" s="1"/>
  <c r="H12" i="14"/>
  <c r="I12" i="14" s="1"/>
  <c r="J12" i="14" s="1"/>
  <c r="G12" i="14"/>
  <c r="B11" i="14"/>
  <c r="H22" i="14" s="1"/>
  <c r="E9" i="14"/>
  <c r="H6" i="14" s="1"/>
  <c r="B9" i="14"/>
  <c r="G6" i="14" s="1"/>
  <c r="G14" i="14" s="1"/>
  <c r="D45" i="12"/>
  <c r="D39" i="12"/>
  <c r="E39" i="12" s="1"/>
  <c r="E33" i="12"/>
  <c r="E27" i="12"/>
  <c r="B29" i="12" s="1"/>
  <c r="B27" i="12"/>
  <c r="G12" i="12" s="1"/>
  <c r="E18" i="12"/>
  <c r="H9" i="12" s="1"/>
  <c r="B18" i="12"/>
  <c r="G9" i="12" s="1"/>
  <c r="H12" i="12"/>
  <c r="I12" i="12" s="1"/>
  <c r="J12" i="12" s="1"/>
  <c r="E9" i="12"/>
  <c r="H6" i="12" s="1"/>
  <c r="B9" i="12"/>
  <c r="G6" i="12" s="1"/>
  <c r="D45" i="11"/>
  <c r="D39" i="11"/>
  <c r="E39" i="11" s="1"/>
  <c r="E33" i="11"/>
  <c r="B33" i="11"/>
  <c r="E27" i="11"/>
  <c r="B27" i="11"/>
  <c r="B29" i="11" s="1"/>
  <c r="E18" i="11"/>
  <c r="B20" i="11" s="1"/>
  <c r="B18" i="11"/>
  <c r="G9" i="11" s="1"/>
  <c r="H12" i="11"/>
  <c r="I12" i="11" s="1"/>
  <c r="J12" i="11" s="1"/>
  <c r="G12" i="11"/>
  <c r="B11" i="11"/>
  <c r="H22" i="11" s="1"/>
  <c r="H9" i="11"/>
  <c r="I9" i="11" s="1"/>
  <c r="J9" i="11" s="1"/>
  <c r="E9" i="11"/>
  <c r="H6" i="11" s="1"/>
  <c r="B9" i="11"/>
  <c r="G6" i="11" s="1"/>
  <c r="G14" i="11" s="1"/>
  <c r="D45" i="10"/>
  <c r="D39" i="10"/>
  <c r="E39" i="10" s="1"/>
  <c r="E33" i="10"/>
  <c r="E27" i="10"/>
  <c r="B27" i="10"/>
  <c r="B33" i="10" s="1"/>
  <c r="E18" i="10"/>
  <c r="B18" i="10"/>
  <c r="B20" i="10" s="1"/>
  <c r="H12" i="10"/>
  <c r="I12" i="10" s="1"/>
  <c r="J12" i="10" s="1"/>
  <c r="G12" i="10"/>
  <c r="H9" i="10"/>
  <c r="E9" i="10"/>
  <c r="H6" i="10" s="1"/>
  <c r="B9" i="10"/>
  <c r="G6" i="10" s="1"/>
  <c r="D45" i="9"/>
  <c r="D39" i="9"/>
  <c r="E39" i="9" s="1"/>
  <c r="E33" i="9"/>
  <c r="B33" i="9"/>
  <c r="E27" i="9"/>
  <c r="B29" i="9" s="1"/>
  <c r="B27" i="9"/>
  <c r="E18" i="9"/>
  <c r="H9" i="9" s="1"/>
  <c r="B18" i="9"/>
  <c r="G9" i="9" s="1"/>
  <c r="H12" i="9"/>
  <c r="I12" i="9" s="1"/>
  <c r="J12" i="9" s="1"/>
  <c r="G12" i="9"/>
  <c r="B11" i="9"/>
  <c r="H22" i="9" s="1"/>
  <c r="E9" i="9"/>
  <c r="H6" i="9" s="1"/>
  <c r="B9" i="9"/>
  <c r="G6" i="9" s="1"/>
  <c r="D45" i="8"/>
  <c r="D39" i="8"/>
  <c r="E39" i="8" s="1"/>
  <c r="E33" i="8"/>
  <c r="E27" i="8"/>
  <c r="B29" i="8" s="1"/>
  <c r="B27" i="8"/>
  <c r="B33" i="8" s="1"/>
  <c r="B20" i="8"/>
  <c r="H23" i="8" s="1"/>
  <c r="E18" i="8"/>
  <c r="H9" i="8" s="1"/>
  <c r="I9" i="8" s="1"/>
  <c r="J9" i="8" s="1"/>
  <c r="B18" i="8"/>
  <c r="H12" i="8"/>
  <c r="I12" i="8" s="1"/>
  <c r="J12" i="8" s="1"/>
  <c r="G12" i="8"/>
  <c r="G9" i="8"/>
  <c r="E9" i="8"/>
  <c r="H6" i="8" s="1"/>
  <c r="B9" i="8"/>
  <c r="G6" i="8" s="1"/>
  <c r="G14" i="8" s="1"/>
  <c r="D45" i="7"/>
  <c r="D39" i="7"/>
  <c r="E39" i="7" s="1"/>
  <c r="B33" i="7"/>
  <c r="E27" i="7"/>
  <c r="B29" i="7" s="1"/>
  <c r="B27" i="7"/>
  <c r="E18" i="7"/>
  <c r="H9" i="7" s="1"/>
  <c r="B18" i="7"/>
  <c r="G9" i="7" s="1"/>
  <c r="H12" i="7"/>
  <c r="I12" i="7" s="1"/>
  <c r="J12" i="7" s="1"/>
  <c r="G12" i="7"/>
  <c r="B11" i="7"/>
  <c r="H22" i="7" s="1"/>
  <c r="E9" i="7"/>
  <c r="H6" i="7" s="1"/>
  <c r="B9" i="7"/>
  <c r="G6" i="7" s="1"/>
  <c r="D45" i="5"/>
  <c r="D39" i="5"/>
  <c r="E39" i="5" s="1"/>
  <c r="B33" i="5"/>
  <c r="E27" i="5"/>
  <c r="B29" i="5" s="1"/>
  <c r="B27" i="5"/>
  <c r="E18" i="5"/>
  <c r="B20" i="5" s="1"/>
  <c r="B18" i="5"/>
  <c r="G9" i="5" s="1"/>
  <c r="G12" i="5"/>
  <c r="B11" i="5"/>
  <c r="H22" i="5" s="1"/>
  <c r="E9" i="5"/>
  <c r="H6" i="5" s="1"/>
  <c r="B9" i="5"/>
  <c r="G6" i="5" s="1"/>
  <c r="D45" i="4"/>
  <c r="D39" i="4"/>
  <c r="E39" i="4" s="1"/>
  <c r="B33" i="4"/>
  <c r="E27" i="4"/>
  <c r="B29" i="4" s="1"/>
  <c r="B27" i="4"/>
  <c r="E18" i="4"/>
  <c r="H9" i="4" s="1"/>
  <c r="B18" i="4"/>
  <c r="G9" i="4" s="1"/>
  <c r="H12" i="4"/>
  <c r="I12" i="4" s="1"/>
  <c r="J12" i="4" s="1"/>
  <c r="G12" i="4"/>
  <c r="B11" i="4"/>
  <c r="H22" i="4" s="1"/>
  <c r="E9" i="4"/>
  <c r="H6" i="4" s="1"/>
  <c r="B9" i="4"/>
  <c r="G6" i="4" s="1"/>
  <c r="D45" i="3"/>
  <c r="D39" i="3"/>
  <c r="E39" i="3" s="1"/>
  <c r="E33" i="3"/>
  <c r="B33" i="3"/>
  <c r="E27" i="3"/>
  <c r="B29" i="3" s="1"/>
  <c r="B27" i="3"/>
  <c r="E18" i="3"/>
  <c r="H9" i="3" s="1"/>
  <c r="B18" i="3"/>
  <c r="B20" i="3" s="1"/>
  <c r="H12" i="3"/>
  <c r="I12" i="3" s="1"/>
  <c r="J12" i="3" s="1"/>
  <c r="G12" i="3"/>
  <c r="B11" i="3"/>
  <c r="H22" i="3" s="1"/>
  <c r="E9" i="3"/>
  <c r="H6" i="3" s="1"/>
  <c r="B9" i="3"/>
  <c r="G6" i="3" s="1"/>
  <c r="D45" i="2"/>
  <c r="D39" i="2"/>
  <c r="E39" i="2" s="1"/>
  <c r="E27" i="2"/>
  <c r="B29" i="2" s="1"/>
  <c r="B27" i="2"/>
  <c r="B33" i="2" s="1"/>
  <c r="E18" i="2"/>
  <c r="B20" i="2" s="1"/>
  <c r="B18" i="2"/>
  <c r="G9" i="2" s="1"/>
  <c r="H12" i="2"/>
  <c r="I12" i="2" s="1"/>
  <c r="J12" i="2" s="1"/>
  <c r="G12" i="2"/>
  <c r="E9" i="2"/>
  <c r="H6" i="2" s="1"/>
  <c r="B9" i="2"/>
  <c r="G6" i="2" s="1"/>
  <c r="G14" i="2" s="1"/>
  <c r="D45" i="1"/>
  <c r="D39" i="1"/>
  <c r="E39" i="1" s="1"/>
  <c r="E27" i="1"/>
  <c r="B29" i="1" s="1"/>
  <c r="B27" i="1"/>
  <c r="E18" i="1"/>
  <c r="H9" i="1" s="1"/>
  <c r="B18" i="1"/>
  <c r="G9" i="1" s="1"/>
  <c r="H12" i="1"/>
  <c r="G12" i="1"/>
  <c r="E9" i="1"/>
  <c r="B11" i="1" s="1"/>
  <c r="H22" i="1" s="1"/>
  <c r="B9" i="1"/>
  <c r="G6" i="1" s="1"/>
  <c r="A19" i="41" l="1"/>
  <c r="AB19" i="41"/>
  <c r="AB20" i="41" s="1"/>
  <c r="G67" i="17"/>
  <c r="I67" i="34"/>
  <c r="AB64" i="38"/>
  <c r="A66" i="38" s="1"/>
  <c r="K76" i="39"/>
  <c r="AB18" i="33"/>
  <c r="K67" i="34"/>
  <c r="K76" i="38"/>
  <c r="K76" i="35"/>
  <c r="AB64" i="39"/>
  <c r="A66" i="39" s="1"/>
  <c r="AB19" i="37"/>
  <c r="AB20" i="37" s="1"/>
  <c r="AB64" i="37"/>
  <c r="A66" i="37" s="1"/>
  <c r="I72" i="37"/>
  <c r="AB18" i="40"/>
  <c r="AB64" i="41"/>
  <c r="A66" i="41" s="1"/>
  <c r="I72" i="41"/>
  <c r="J72" i="41" s="1"/>
  <c r="AB18" i="42"/>
  <c r="K72" i="42"/>
  <c r="K76" i="42"/>
  <c r="K72" i="32"/>
  <c r="AB64" i="34"/>
  <c r="A66" i="34" s="1"/>
  <c r="K76" i="36"/>
  <c r="I76" i="42"/>
  <c r="K76" i="17"/>
  <c r="AB64" i="33"/>
  <c r="A66" i="33" s="1"/>
  <c r="AB18" i="35"/>
  <c r="J72" i="37"/>
  <c r="J74" i="42"/>
  <c r="I19" i="42"/>
  <c r="J25" i="42"/>
  <c r="J27" i="42"/>
  <c r="I72" i="42"/>
  <c r="J72" i="42" s="1"/>
  <c r="G67" i="42"/>
  <c r="J66" i="42"/>
  <c r="J23" i="42"/>
  <c r="I67" i="42"/>
  <c r="J67" i="42" s="1"/>
  <c r="K31" i="42"/>
  <c r="H35" i="42"/>
  <c r="K35" i="42" s="1"/>
  <c r="G76" i="42"/>
  <c r="J76" i="42"/>
  <c r="AB65" i="42"/>
  <c r="K70" i="42"/>
  <c r="G72" i="42"/>
  <c r="I17" i="42"/>
  <c r="I21" i="42"/>
  <c r="J21" i="42" s="1"/>
  <c r="I33" i="42"/>
  <c r="J33" i="42" s="1"/>
  <c r="K17" i="42"/>
  <c r="I18" i="42"/>
  <c r="J18" i="42" s="1"/>
  <c r="G19" i="42"/>
  <c r="I22" i="42"/>
  <c r="J22" i="42" s="1"/>
  <c r="G23" i="42"/>
  <c r="K25" i="42"/>
  <c r="I26" i="42"/>
  <c r="J26" i="42" s="1"/>
  <c r="G27" i="42"/>
  <c r="K29" i="42"/>
  <c r="I30" i="42"/>
  <c r="J30" i="42" s="1"/>
  <c r="K66" i="42"/>
  <c r="D31" i="42"/>
  <c r="D35" i="42" s="1"/>
  <c r="G26" i="42"/>
  <c r="G30" i="42"/>
  <c r="E31" i="42"/>
  <c r="J64" i="42"/>
  <c r="AB21" i="41"/>
  <c r="A21" i="41"/>
  <c r="G76" i="41"/>
  <c r="G67" i="41"/>
  <c r="J74" i="41"/>
  <c r="I76" i="41"/>
  <c r="J76" i="41" s="1"/>
  <c r="G18" i="41"/>
  <c r="A20" i="41"/>
  <c r="G22" i="41"/>
  <c r="I25" i="41"/>
  <c r="G26" i="41"/>
  <c r="I29" i="41"/>
  <c r="G30" i="41"/>
  <c r="E31" i="41"/>
  <c r="I33" i="41"/>
  <c r="I66" i="41"/>
  <c r="I67" i="41" s="1"/>
  <c r="J67" i="41" s="1"/>
  <c r="J17" i="41"/>
  <c r="J21" i="41"/>
  <c r="J25" i="41"/>
  <c r="J29" i="41"/>
  <c r="J33" i="41"/>
  <c r="AB65" i="41"/>
  <c r="H67" i="41"/>
  <c r="K67" i="41" s="1"/>
  <c r="G72" i="41"/>
  <c r="K17" i="41"/>
  <c r="I18" i="41"/>
  <c r="J18" i="41" s="1"/>
  <c r="G19" i="41"/>
  <c r="I22" i="41"/>
  <c r="J22" i="41" s="1"/>
  <c r="G23" i="41"/>
  <c r="I26" i="41"/>
  <c r="J26" i="41" s="1"/>
  <c r="G27" i="41"/>
  <c r="I30" i="41"/>
  <c r="J30" i="41" s="1"/>
  <c r="H72" i="41"/>
  <c r="K72" i="41" s="1"/>
  <c r="D31" i="41"/>
  <c r="D35" i="41" s="1"/>
  <c r="H31" i="41"/>
  <c r="J64" i="41"/>
  <c r="J64" i="40"/>
  <c r="I67" i="40"/>
  <c r="J22" i="40"/>
  <c r="J66" i="40"/>
  <c r="J67" i="40"/>
  <c r="K31" i="40"/>
  <c r="H35" i="40"/>
  <c r="K35" i="40" s="1"/>
  <c r="K72" i="40"/>
  <c r="I17" i="40"/>
  <c r="G18" i="40"/>
  <c r="K20" i="40"/>
  <c r="I21" i="40"/>
  <c r="J21" i="40" s="1"/>
  <c r="G22" i="40"/>
  <c r="G26" i="40"/>
  <c r="E31" i="40"/>
  <c r="G67" i="40"/>
  <c r="K74" i="40"/>
  <c r="I75" i="40"/>
  <c r="I76" i="40" s="1"/>
  <c r="J76" i="40" s="1"/>
  <c r="G76" i="40"/>
  <c r="J17" i="40"/>
  <c r="J25" i="40"/>
  <c r="J29" i="40"/>
  <c r="J33" i="40"/>
  <c r="AB65" i="40"/>
  <c r="H67" i="40"/>
  <c r="K67" i="40" s="1"/>
  <c r="I71" i="40"/>
  <c r="J71" i="40" s="1"/>
  <c r="G72" i="40"/>
  <c r="D31" i="40"/>
  <c r="D35" i="40" s="1"/>
  <c r="K17" i="40"/>
  <c r="I26" i="40"/>
  <c r="J26" i="40" s="1"/>
  <c r="I30" i="40"/>
  <c r="J30" i="40" s="1"/>
  <c r="I19" i="40"/>
  <c r="A19" i="39"/>
  <c r="AB19" i="39"/>
  <c r="J64" i="39"/>
  <c r="I67" i="39"/>
  <c r="J67" i="39" s="1"/>
  <c r="J74" i="39"/>
  <c r="G31" i="39"/>
  <c r="E35" i="39"/>
  <c r="K31" i="39"/>
  <c r="H35" i="39"/>
  <c r="K35" i="39" s="1"/>
  <c r="I17" i="39"/>
  <c r="G18" i="39"/>
  <c r="I21" i="39"/>
  <c r="J21" i="39" s="1"/>
  <c r="G22" i="39"/>
  <c r="G26" i="39"/>
  <c r="G30" i="39"/>
  <c r="G67" i="39"/>
  <c r="K74" i="39"/>
  <c r="I75" i="39"/>
  <c r="I76" i="39" s="1"/>
  <c r="J76" i="39" s="1"/>
  <c r="G76" i="39"/>
  <c r="AB65" i="39"/>
  <c r="K70" i="39"/>
  <c r="I71" i="39"/>
  <c r="J71" i="39" s="1"/>
  <c r="G72" i="39"/>
  <c r="K17" i="39"/>
  <c r="G23" i="39"/>
  <c r="G27" i="39"/>
  <c r="D31" i="39"/>
  <c r="D35" i="39" s="1"/>
  <c r="A18" i="39"/>
  <c r="A19" i="38"/>
  <c r="AB19" i="38"/>
  <c r="J18" i="38"/>
  <c r="I28" i="38"/>
  <c r="J28" i="38" s="1"/>
  <c r="K28" i="38"/>
  <c r="G31" i="38"/>
  <c r="E35" i="38"/>
  <c r="J30" i="38"/>
  <c r="K72" i="38"/>
  <c r="J64" i="38"/>
  <c r="I67" i="38"/>
  <c r="J67" i="38"/>
  <c r="H31" i="38"/>
  <c r="I19" i="38"/>
  <c r="J22" i="38"/>
  <c r="I17" i="38"/>
  <c r="G18" i="38"/>
  <c r="I21" i="38"/>
  <c r="J21" i="38" s="1"/>
  <c r="G22" i="38"/>
  <c r="G26" i="38"/>
  <c r="G30" i="38"/>
  <c r="G67" i="38"/>
  <c r="K74" i="38"/>
  <c r="I75" i="38"/>
  <c r="I76" i="38" s="1"/>
  <c r="J76" i="38" s="1"/>
  <c r="G76" i="38"/>
  <c r="AB65" i="38"/>
  <c r="K70" i="38"/>
  <c r="I71" i="38"/>
  <c r="J71" i="38" s="1"/>
  <c r="G72" i="38"/>
  <c r="K17" i="38"/>
  <c r="G23" i="38"/>
  <c r="G27" i="38"/>
  <c r="D31" i="38"/>
  <c r="D35" i="38" s="1"/>
  <c r="A18" i="38"/>
  <c r="AB21" i="37"/>
  <c r="A21" i="37"/>
  <c r="G76" i="37"/>
  <c r="I28" i="37"/>
  <c r="J28" i="37" s="1"/>
  <c r="K28" i="37"/>
  <c r="G67" i="37"/>
  <c r="E35" i="37"/>
  <c r="J74" i="37"/>
  <c r="H35" i="37"/>
  <c r="I17" i="37"/>
  <c r="G18" i="37"/>
  <c r="A20" i="37"/>
  <c r="I21" i="37"/>
  <c r="J21" i="37" s="1"/>
  <c r="G22" i="37"/>
  <c r="K24" i="37"/>
  <c r="I25" i="37"/>
  <c r="J25" i="37" s="1"/>
  <c r="G26" i="37"/>
  <c r="I29" i="37"/>
  <c r="J29" i="37" s="1"/>
  <c r="G30" i="37"/>
  <c r="I33" i="37"/>
  <c r="J33" i="37" s="1"/>
  <c r="K65" i="37"/>
  <c r="K74" i="37"/>
  <c r="I75" i="37"/>
  <c r="I76" i="37" s="1"/>
  <c r="J76" i="37" s="1"/>
  <c r="F31" i="37"/>
  <c r="F35" i="37" s="1"/>
  <c r="AB65" i="37"/>
  <c r="H67" i="37"/>
  <c r="K67" i="37" s="1"/>
  <c r="G72" i="37"/>
  <c r="H76" i="37"/>
  <c r="K76" i="37" s="1"/>
  <c r="K17" i="37"/>
  <c r="K21" i="37"/>
  <c r="G23" i="37"/>
  <c r="G27" i="37"/>
  <c r="D31" i="37"/>
  <c r="D35" i="37" s="1"/>
  <c r="I19" i="37"/>
  <c r="I23" i="37"/>
  <c r="J23" i="37" s="1"/>
  <c r="I27" i="37"/>
  <c r="J27" i="37" s="1"/>
  <c r="I64" i="37"/>
  <c r="A19" i="36"/>
  <c r="AB19" i="36"/>
  <c r="J22" i="36"/>
  <c r="I67" i="36"/>
  <c r="I28" i="36"/>
  <c r="J28" i="36" s="1"/>
  <c r="G76" i="36"/>
  <c r="K72" i="36"/>
  <c r="J74" i="36"/>
  <c r="J23" i="36"/>
  <c r="J67" i="36"/>
  <c r="G67" i="36"/>
  <c r="H31" i="36"/>
  <c r="I17" i="36"/>
  <c r="G18" i="36"/>
  <c r="K20" i="36"/>
  <c r="I21" i="36"/>
  <c r="J21" i="36" s="1"/>
  <c r="G22" i="36"/>
  <c r="E31" i="36"/>
  <c r="F72" i="36"/>
  <c r="K74" i="36"/>
  <c r="I75" i="36"/>
  <c r="I76" i="36" s="1"/>
  <c r="J76" i="36" s="1"/>
  <c r="J25" i="36"/>
  <c r="J33" i="36"/>
  <c r="AB65" i="36"/>
  <c r="H67" i="36"/>
  <c r="K67" i="36" s="1"/>
  <c r="I71" i="36"/>
  <c r="I72" i="36" s="1"/>
  <c r="J72" i="36" s="1"/>
  <c r="G72" i="36"/>
  <c r="K17" i="36"/>
  <c r="G19" i="36"/>
  <c r="G23" i="36"/>
  <c r="D31" i="36"/>
  <c r="D35" i="36" s="1"/>
  <c r="A18" i="36"/>
  <c r="I19" i="36"/>
  <c r="G28" i="36"/>
  <c r="J64" i="36"/>
  <c r="J26" i="35"/>
  <c r="I28" i="35"/>
  <c r="J28" i="35" s="1"/>
  <c r="K28" i="35"/>
  <c r="G76" i="35"/>
  <c r="G67" i="35"/>
  <c r="J74" i="35"/>
  <c r="I76" i="35"/>
  <c r="J76" i="35" s="1"/>
  <c r="I19" i="35"/>
  <c r="J25" i="35"/>
  <c r="J18" i="35"/>
  <c r="J27" i="35"/>
  <c r="I72" i="35"/>
  <c r="J72" i="35" s="1"/>
  <c r="J17" i="35"/>
  <c r="J21" i="35"/>
  <c r="D31" i="35"/>
  <c r="D35" i="35" s="1"/>
  <c r="G18" i="35"/>
  <c r="G26" i="35"/>
  <c r="I29" i="35"/>
  <c r="J29" i="35" s="1"/>
  <c r="G30" i="35"/>
  <c r="I66" i="35"/>
  <c r="I67" i="35" s="1"/>
  <c r="J67" i="35" s="1"/>
  <c r="J33" i="35"/>
  <c r="AB65" i="35"/>
  <c r="H67" i="35"/>
  <c r="K67" i="35" s="1"/>
  <c r="G72" i="35"/>
  <c r="E31" i="35"/>
  <c r="K17" i="35"/>
  <c r="G19" i="35"/>
  <c r="K21" i="35"/>
  <c r="I22" i="35"/>
  <c r="I31" i="35" s="1"/>
  <c r="I35" i="35" s="1"/>
  <c r="G23" i="35"/>
  <c r="K25" i="35"/>
  <c r="G27" i="35"/>
  <c r="I30" i="35"/>
  <c r="J30" i="35" s="1"/>
  <c r="K33" i="35"/>
  <c r="H72" i="35"/>
  <c r="K72" i="35" s="1"/>
  <c r="H31" i="35"/>
  <c r="J64" i="35"/>
  <c r="G76" i="34"/>
  <c r="AB21" i="34"/>
  <c r="A21" i="34"/>
  <c r="I76" i="34"/>
  <c r="J76" i="34" s="1"/>
  <c r="J67" i="34"/>
  <c r="G67" i="34"/>
  <c r="J72" i="34"/>
  <c r="J66" i="34"/>
  <c r="I72" i="34"/>
  <c r="J29" i="34"/>
  <c r="J22" i="34"/>
  <c r="D31" i="34"/>
  <c r="D35" i="34" s="1"/>
  <c r="A20" i="34"/>
  <c r="E31" i="34"/>
  <c r="AB65" i="34"/>
  <c r="K70" i="34"/>
  <c r="G72" i="34"/>
  <c r="G22" i="34"/>
  <c r="I25" i="34"/>
  <c r="J25" i="34" s="1"/>
  <c r="G30" i="34"/>
  <c r="K17" i="34"/>
  <c r="I18" i="34"/>
  <c r="J18" i="34" s="1"/>
  <c r="G19" i="34"/>
  <c r="K21" i="34"/>
  <c r="I22" i="34"/>
  <c r="G23" i="34"/>
  <c r="I26" i="34"/>
  <c r="J26" i="34" s="1"/>
  <c r="G27" i="34"/>
  <c r="K29" i="34"/>
  <c r="I30" i="34"/>
  <c r="J30" i="34" s="1"/>
  <c r="K33" i="34"/>
  <c r="K66" i="34"/>
  <c r="G26" i="34"/>
  <c r="H31" i="34"/>
  <c r="K18" i="34"/>
  <c r="J64" i="34"/>
  <c r="D31" i="33"/>
  <c r="D35" i="33" s="1"/>
  <c r="E31" i="33"/>
  <c r="AB65" i="33"/>
  <c r="I28" i="32"/>
  <c r="J28" i="32" s="1"/>
  <c r="I67" i="32"/>
  <c r="J74" i="32"/>
  <c r="I76" i="32"/>
  <c r="G76" i="32"/>
  <c r="J76" i="32"/>
  <c r="J23" i="32"/>
  <c r="H31" i="32"/>
  <c r="G67" i="32"/>
  <c r="J67" i="32"/>
  <c r="A19" i="32"/>
  <c r="AB19" i="32"/>
  <c r="G26" i="32"/>
  <c r="I29" i="32"/>
  <c r="J29" i="32" s="1"/>
  <c r="I33" i="32"/>
  <c r="J33" i="32" s="1"/>
  <c r="F31" i="32"/>
  <c r="F35" i="32" s="1"/>
  <c r="AB65" i="32"/>
  <c r="H67" i="32"/>
  <c r="K67" i="32" s="1"/>
  <c r="I71" i="32"/>
  <c r="J71" i="32" s="1"/>
  <c r="G72" i="32"/>
  <c r="H76" i="32"/>
  <c r="K76" i="32" s="1"/>
  <c r="K17" i="32"/>
  <c r="I18" i="32"/>
  <c r="J18" i="32" s="1"/>
  <c r="G19" i="32"/>
  <c r="I22" i="32"/>
  <c r="J22" i="32" s="1"/>
  <c r="G23" i="32"/>
  <c r="K25" i="32"/>
  <c r="G27" i="32"/>
  <c r="I30" i="32"/>
  <c r="J30" i="32" s="1"/>
  <c r="K66" i="32"/>
  <c r="I17" i="32"/>
  <c r="E31" i="32"/>
  <c r="A18" i="32"/>
  <c r="I19" i="32"/>
  <c r="G24" i="32"/>
  <c r="G28" i="32"/>
  <c r="J64" i="32"/>
  <c r="J26" i="31"/>
  <c r="G31" i="31"/>
  <c r="E35" i="31"/>
  <c r="I76" i="31"/>
  <c r="J76" i="31" s="1"/>
  <c r="H31" i="31"/>
  <c r="I19" i="31"/>
  <c r="J22" i="31"/>
  <c r="J30" i="31"/>
  <c r="K72" i="31"/>
  <c r="A19" i="31"/>
  <c r="AB19" i="31"/>
  <c r="J64" i="31"/>
  <c r="I67" i="31"/>
  <c r="J67" i="31" s="1"/>
  <c r="I17" i="31"/>
  <c r="G18" i="31"/>
  <c r="I21" i="31"/>
  <c r="J21" i="31" s="1"/>
  <c r="G22" i="31"/>
  <c r="G26" i="31"/>
  <c r="G30" i="31"/>
  <c r="G67" i="31"/>
  <c r="K74" i="31"/>
  <c r="I75" i="31"/>
  <c r="G76" i="31"/>
  <c r="D31" i="31"/>
  <c r="D35" i="31" s="1"/>
  <c r="AB65" i="31"/>
  <c r="K70" i="31"/>
  <c r="I71" i="31"/>
  <c r="J71" i="31" s="1"/>
  <c r="G72" i="31"/>
  <c r="K17" i="31"/>
  <c r="G23" i="31"/>
  <c r="G27" i="31"/>
  <c r="A18" i="31"/>
  <c r="N9" i="16"/>
  <c r="N21" i="16" s="1"/>
  <c r="N28" i="16" s="1"/>
  <c r="M9" i="16"/>
  <c r="M21" i="16" s="1"/>
  <c r="M28" i="16" s="1"/>
  <c r="M29" i="16" s="1"/>
  <c r="M31" i="16" s="1"/>
  <c r="L9" i="16"/>
  <c r="L21" i="16" s="1"/>
  <c r="L28" i="16" s="1"/>
  <c r="K9" i="16"/>
  <c r="K21" i="16" s="1"/>
  <c r="K28" i="16" s="1"/>
  <c r="J9" i="16"/>
  <c r="J21" i="16" s="1"/>
  <c r="J28" i="16" s="1"/>
  <c r="H9" i="16"/>
  <c r="H21" i="16" s="1"/>
  <c r="H28" i="16" s="1"/>
  <c r="G9" i="16"/>
  <c r="G21" i="16" s="1"/>
  <c r="G28" i="16" s="1"/>
  <c r="F9" i="16"/>
  <c r="F21" i="16" s="1"/>
  <c r="F28" i="16" s="1"/>
  <c r="E9" i="16"/>
  <c r="E21" i="16" s="1"/>
  <c r="E28" i="16" s="1"/>
  <c r="E29" i="16" s="1"/>
  <c r="E31" i="16" s="1"/>
  <c r="D9" i="16"/>
  <c r="D21" i="16" s="1"/>
  <c r="D28" i="16" s="1"/>
  <c r="D29" i="16" s="1"/>
  <c r="D31" i="16" s="1"/>
  <c r="C9" i="16"/>
  <c r="H6" i="1"/>
  <c r="I6" i="1" s="1"/>
  <c r="J6" i="1" s="1"/>
  <c r="J14" i="1" s="1"/>
  <c r="E33" i="1"/>
  <c r="B33" i="1"/>
  <c r="I12" i="1"/>
  <c r="J12" i="1" s="1"/>
  <c r="F22" i="16"/>
  <c r="F24" i="16" s="1"/>
  <c r="I22" i="16"/>
  <c r="I24" i="16" s="1"/>
  <c r="J23" i="17"/>
  <c r="K28" i="17"/>
  <c r="I28" i="17"/>
  <c r="J28" i="17" s="1"/>
  <c r="J72" i="17"/>
  <c r="J17" i="17"/>
  <c r="I19" i="17"/>
  <c r="AB19" i="17"/>
  <c r="A19" i="17"/>
  <c r="G76" i="17"/>
  <c r="D31" i="17"/>
  <c r="D35" i="17" s="1"/>
  <c r="I21" i="17"/>
  <c r="J21" i="17" s="1"/>
  <c r="G22" i="17"/>
  <c r="I25" i="17"/>
  <c r="J25" i="17" s="1"/>
  <c r="I29" i="17"/>
  <c r="J29" i="17" s="1"/>
  <c r="E31" i="17"/>
  <c r="I33" i="17"/>
  <c r="J33" i="17" s="1"/>
  <c r="I66" i="17"/>
  <c r="J66" i="17" s="1"/>
  <c r="F72" i="17"/>
  <c r="K72" i="17" s="1"/>
  <c r="I75" i="17"/>
  <c r="I76" i="17" s="1"/>
  <c r="J76" i="17" s="1"/>
  <c r="K70" i="17"/>
  <c r="K17" i="17"/>
  <c r="G19" i="17"/>
  <c r="G23" i="17"/>
  <c r="J18" i="17"/>
  <c r="J26" i="17"/>
  <c r="J30" i="17"/>
  <c r="H31" i="17"/>
  <c r="F31" i="17"/>
  <c r="F35" i="17" s="1"/>
  <c r="AB65" i="17"/>
  <c r="G27" i="17"/>
  <c r="A18" i="17"/>
  <c r="H67" i="17"/>
  <c r="K67" i="17" s="1"/>
  <c r="F27" i="16"/>
  <c r="N27" i="16"/>
  <c r="K29" i="16"/>
  <c r="K31" i="16" s="1"/>
  <c r="L29" i="16"/>
  <c r="L31" i="16" s="1"/>
  <c r="L22" i="16"/>
  <c r="L24" i="16" s="1"/>
  <c r="G27" i="16"/>
  <c r="H27" i="16"/>
  <c r="I27" i="16"/>
  <c r="I29" i="16" s="1"/>
  <c r="I31" i="16" s="1"/>
  <c r="J27" i="16"/>
  <c r="J29" i="16" s="1"/>
  <c r="J31" i="16" s="1"/>
  <c r="K22" i="16"/>
  <c r="K24" i="16" s="1"/>
  <c r="B32" i="15"/>
  <c r="H24" i="15"/>
  <c r="G14" i="15"/>
  <c r="I6" i="15"/>
  <c r="J6" i="15" s="1"/>
  <c r="E33" i="15"/>
  <c r="H12" i="15"/>
  <c r="I12" i="15" s="1"/>
  <c r="J12" i="15" s="1"/>
  <c r="B20" i="15"/>
  <c r="B14" i="15"/>
  <c r="H14" i="14"/>
  <c r="I14" i="14" s="1"/>
  <c r="I6" i="14"/>
  <c r="J6" i="14" s="1"/>
  <c r="J14" i="14" s="1"/>
  <c r="B32" i="14"/>
  <c r="H24" i="14"/>
  <c r="B20" i="14"/>
  <c r="B14" i="14"/>
  <c r="I9" i="12"/>
  <c r="J9" i="12" s="1"/>
  <c r="B32" i="12"/>
  <c r="H24" i="12"/>
  <c r="G14" i="12"/>
  <c r="H14" i="12"/>
  <c r="I14" i="12" s="1"/>
  <c r="I6" i="12"/>
  <c r="J6" i="12" s="1"/>
  <c r="J14" i="12" s="1"/>
  <c r="B11" i="12"/>
  <c r="B33" i="12"/>
  <c r="B20" i="12"/>
  <c r="H23" i="11"/>
  <c r="B23" i="11"/>
  <c r="H14" i="11"/>
  <c r="I14" i="11" s="1"/>
  <c r="I6" i="11"/>
  <c r="J6" i="11" s="1"/>
  <c r="J14" i="11" s="1"/>
  <c r="B32" i="11"/>
  <c r="H24" i="11"/>
  <c r="H25" i="11" s="1"/>
  <c r="B14" i="11"/>
  <c r="D36" i="11" s="1"/>
  <c r="H23" i="10"/>
  <c r="B23" i="10"/>
  <c r="H14" i="10"/>
  <c r="I6" i="10"/>
  <c r="J6" i="10" s="1"/>
  <c r="J14" i="10" s="1"/>
  <c r="I9" i="10"/>
  <c r="J9" i="10" s="1"/>
  <c r="B29" i="10"/>
  <c r="B11" i="10"/>
  <c r="G9" i="10"/>
  <c r="G14" i="10" s="1"/>
  <c r="I9" i="9"/>
  <c r="J9" i="9" s="1"/>
  <c r="G14" i="9"/>
  <c r="H14" i="9"/>
  <c r="I14" i="9" s="1"/>
  <c r="I6" i="9"/>
  <c r="J6" i="9" s="1"/>
  <c r="B32" i="9"/>
  <c r="H24" i="9"/>
  <c r="B20" i="9"/>
  <c r="B14" i="9"/>
  <c r="H14" i="8"/>
  <c r="I14" i="8" s="1"/>
  <c r="I6" i="8"/>
  <c r="J6" i="8" s="1"/>
  <c r="J14" i="8" s="1"/>
  <c r="B32" i="8"/>
  <c r="H24" i="8"/>
  <c r="B11" i="8"/>
  <c r="B23" i="8"/>
  <c r="I9" i="7"/>
  <c r="J9" i="7" s="1"/>
  <c r="B32" i="7"/>
  <c r="H24" i="7"/>
  <c r="G14" i="7"/>
  <c r="H14" i="7"/>
  <c r="I14" i="7" s="1"/>
  <c r="I6" i="7"/>
  <c r="J6" i="7" s="1"/>
  <c r="J14" i="7" s="1"/>
  <c r="B20" i="7"/>
  <c r="B14" i="7"/>
  <c r="E33" i="7"/>
  <c r="H23" i="5"/>
  <c r="B23" i="5"/>
  <c r="G14" i="5"/>
  <c r="I6" i="5"/>
  <c r="J6" i="5" s="1"/>
  <c r="J14" i="5" s="1"/>
  <c r="B32" i="5"/>
  <c r="H24" i="5"/>
  <c r="H25" i="5"/>
  <c r="H12" i="5"/>
  <c r="I12" i="5" s="1"/>
  <c r="J12" i="5" s="1"/>
  <c r="H9" i="5"/>
  <c r="I9" i="5" s="1"/>
  <c r="J9" i="5" s="1"/>
  <c r="B14" i="5"/>
  <c r="E33" i="5"/>
  <c r="G14" i="4"/>
  <c r="B32" i="4"/>
  <c r="H24" i="4"/>
  <c r="H14" i="4"/>
  <c r="I14" i="4" s="1"/>
  <c r="I6" i="4"/>
  <c r="J6" i="4" s="1"/>
  <c r="J14" i="4" s="1"/>
  <c r="I9" i="4"/>
  <c r="J9" i="4" s="1"/>
  <c r="E33" i="4"/>
  <c r="B20" i="4"/>
  <c r="B14" i="4"/>
  <c r="B32" i="3"/>
  <c r="H24" i="3"/>
  <c r="H14" i="3"/>
  <c r="I6" i="3"/>
  <c r="J6" i="3" s="1"/>
  <c r="H23" i="3"/>
  <c r="B23" i="3"/>
  <c r="H25" i="3"/>
  <c r="I9" i="3"/>
  <c r="J9" i="3" s="1"/>
  <c r="G9" i="3"/>
  <c r="G14" i="3" s="1"/>
  <c r="B14" i="3"/>
  <c r="I6" i="2"/>
  <c r="J6" i="2" s="1"/>
  <c r="H23" i="2"/>
  <c r="B23" i="2"/>
  <c r="B32" i="2"/>
  <c r="H24" i="2"/>
  <c r="B11" i="2"/>
  <c r="H9" i="2"/>
  <c r="I9" i="2" s="1"/>
  <c r="J9" i="2" s="1"/>
  <c r="E33" i="2"/>
  <c r="B32" i="1"/>
  <c r="H24" i="1"/>
  <c r="G14" i="1"/>
  <c r="I9" i="1"/>
  <c r="J9" i="1" s="1"/>
  <c r="B20" i="1"/>
  <c r="B14" i="1"/>
  <c r="A19" i="40" l="1"/>
  <c r="AB19" i="40"/>
  <c r="AB19" i="33"/>
  <c r="A19" i="33"/>
  <c r="I31" i="36"/>
  <c r="I35" i="36" s="1"/>
  <c r="J22" i="35"/>
  <c r="AB19" i="35"/>
  <c r="A19" i="35"/>
  <c r="J66" i="41"/>
  <c r="A19" i="42"/>
  <c r="AB19" i="42"/>
  <c r="I72" i="32"/>
  <c r="J72" i="32" s="1"/>
  <c r="J71" i="36"/>
  <c r="I31" i="41"/>
  <c r="I35" i="41" s="1"/>
  <c r="I72" i="31"/>
  <c r="J72" i="31" s="1"/>
  <c r="D22" i="16"/>
  <c r="D24" i="16" s="1"/>
  <c r="N22" i="16"/>
  <c r="N24" i="16" s="1"/>
  <c r="N29" i="16"/>
  <c r="N31" i="16" s="1"/>
  <c r="E22" i="16"/>
  <c r="E24" i="16" s="1"/>
  <c r="F29" i="16"/>
  <c r="F31" i="16" s="1"/>
  <c r="J22" i="16"/>
  <c r="J24" i="16" s="1"/>
  <c r="G29" i="16"/>
  <c r="G31" i="16" s="1"/>
  <c r="G22" i="16"/>
  <c r="G24" i="16" s="1"/>
  <c r="H29" i="16"/>
  <c r="H31" i="16" s="1"/>
  <c r="M22" i="16"/>
  <c r="M24" i="16" s="1"/>
  <c r="H22" i="16"/>
  <c r="H24" i="16" s="1"/>
  <c r="C21" i="16"/>
  <c r="C22" i="16" s="1"/>
  <c r="C24" i="16" s="1"/>
  <c r="E35" i="42"/>
  <c r="G31" i="42"/>
  <c r="A67" i="42"/>
  <c r="AB66" i="42"/>
  <c r="AB67" i="42" s="1"/>
  <c r="I31" i="42"/>
  <c r="I35" i="42" s="1"/>
  <c r="J17" i="42"/>
  <c r="K31" i="41"/>
  <c r="H35" i="41"/>
  <c r="K35" i="41" s="1"/>
  <c r="AB22" i="41"/>
  <c r="A22" i="41"/>
  <c r="A67" i="41"/>
  <c r="AB66" i="41"/>
  <c r="AB67" i="41" s="1"/>
  <c r="G31" i="41"/>
  <c r="E35" i="41"/>
  <c r="G31" i="40"/>
  <c r="E35" i="40"/>
  <c r="I72" i="40"/>
  <c r="J72" i="40" s="1"/>
  <c r="A67" i="40"/>
  <c r="AB66" i="40"/>
  <c r="AB67" i="40" s="1"/>
  <c r="I31" i="40"/>
  <c r="I35" i="40" s="1"/>
  <c r="I31" i="39"/>
  <c r="J17" i="39"/>
  <c r="I72" i="39"/>
  <c r="J72" i="39" s="1"/>
  <c r="G35" i="39"/>
  <c r="AB20" i="39"/>
  <c r="A20" i="39"/>
  <c r="A67" i="39"/>
  <c r="AB66" i="39"/>
  <c r="AB67" i="39" s="1"/>
  <c r="K31" i="38"/>
  <c r="H35" i="38"/>
  <c r="K35" i="38" s="1"/>
  <c r="G35" i="38"/>
  <c r="A67" i="38"/>
  <c r="AB66" i="38"/>
  <c r="AB67" i="38" s="1"/>
  <c r="I72" i="38"/>
  <c r="J72" i="38" s="1"/>
  <c r="AB20" i="38"/>
  <c r="A20" i="38"/>
  <c r="I31" i="38"/>
  <c r="J17" i="38"/>
  <c r="J64" i="37"/>
  <c r="I67" i="37"/>
  <c r="J67" i="37" s="1"/>
  <c r="G35" i="37"/>
  <c r="AB22" i="37"/>
  <c r="A22" i="37"/>
  <c r="I31" i="37"/>
  <c r="J17" i="37"/>
  <c r="G31" i="37"/>
  <c r="A67" i="37"/>
  <c r="AB66" i="37"/>
  <c r="AB67" i="37" s="1"/>
  <c r="K35" i="37"/>
  <c r="K31" i="37"/>
  <c r="AB20" i="36"/>
  <c r="A20" i="36"/>
  <c r="K31" i="36"/>
  <c r="H35" i="36"/>
  <c r="K35" i="36" s="1"/>
  <c r="A67" i="36"/>
  <c r="AB66" i="36"/>
  <c r="AB67" i="36" s="1"/>
  <c r="J31" i="36"/>
  <c r="G31" i="36"/>
  <c r="E35" i="36"/>
  <c r="J17" i="36"/>
  <c r="A67" i="35"/>
  <c r="AB66" i="35"/>
  <c r="AB67" i="35" s="1"/>
  <c r="J66" i="35"/>
  <c r="K31" i="35"/>
  <c r="H35" i="35"/>
  <c r="K35" i="35" s="1"/>
  <c r="J31" i="35"/>
  <c r="G31" i="35"/>
  <c r="E35" i="35"/>
  <c r="I31" i="34"/>
  <c r="I35" i="34" s="1"/>
  <c r="K31" i="34"/>
  <c r="H35" i="34"/>
  <c r="K35" i="34" s="1"/>
  <c r="A67" i="34"/>
  <c r="AB66" i="34"/>
  <c r="AB67" i="34" s="1"/>
  <c r="AB22" i="34"/>
  <c r="A22" i="34"/>
  <c r="G31" i="34"/>
  <c r="E35" i="34"/>
  <c r="E35" i="33"/>
  <c r="A67" i="33"/>
  <c r="AB66" i="33"/>
  <c r="AB67" i="33" s="1"/>
  <c r="K31" i="32"/>
  <c r="H35" i="32"/>
  <c r="K35" i="32" s="1"/>
  <c r="A20" i="32"/>
  <c r="AB20" i="32"/>
  <c r="G31" i="32"/>
  <c r="E35" i="32"/>
  <c r="A67" i="32"/>
  <c r="AB66" i="32"/>
  <c r="AB67" i="32" s="1"/>
  <c r="I31" i="32"/>
  <c r="I35" i="32" s="1"/>
  <c r="J17" i="32"/>
  <c r="K31" i="31"/>
  <c r="H35" i="31"/>
  <c r="K35" i="31" s="1"/>
  <c r="A67" i="31"/>
  <c r="AB66" i="31"/>
  <c r="AB67" i="31" s="1"/>
  <c r="AB20" i="31"/>
  <c r="A20" i="31"/>
  <c r="I31" i="31"/>
  <c r="J17" i="31"/>
  <c r="G35" i="31"/>
  <c r="H14" i="1"/>
  <c r="G72" i="17"/>
  <c r="I31" i="17"/>
  <c r="I35" i="17" s="1"/>
  <c r="H35" i="17"/>
  <c r="K35" i="17" s="1"/>
  <c r="K31" i="17"/>
  <c r="A67" i="17"/>
  <c r="AB66" i="17"/>
  <c r="AB67" i="17" s="1"/>
  <c r="J31" i="17"/>
  <c r="G31" i="17"/>
  <c r="E35" i="17"/>
  <c r="AB20" i="17"/>
  <c r="A20" i="17"/>
  <c r="I67" i="17"/>
  <c r="J67" i="17" s="1"/>
  <c r="H14" i="15"/>
  <c r="I14" i="15" s="1"/>
  <c r="J14" i="15"/>
  <c r="H23" i="15"/>
  <c r="H25" i="15" s="1"/>
  <c r="B23" i="15"/>
  <c r="D36" i="15" s="1"/>
  <c r="H23" i="14"/>
  <c r="H25" i="14" s="1"/>
  <c r="B23" i="14"/>
  <c r="D36" i="14"/>
  <c r="H22" i="12"/>
  <c r="B14" i="12"/>
  <c r="H23" i="12"/>
  <c r="B23" i="12"/>
  <c r="D42" i="11"/>
  <c r="K10" i="16" s="1"/>
  <c r="H27" i="11"/>
  <c r="H29" i="11" s="1"/>
  <c r="E36" i="11"/>
  <c r="B32" i="10"/>
  <c r="H24" i="10"/>
  <c r="I14" i="10"/>
  <c r="H22" i="10"/>
  <c r="H25" i="10" s="1"/>
  <c r="B14" i="10"/>
  <c r="D36" i="10" s="1"/>
  <c r="H23" i="9"/>
  <c r="H25" i="9" s="1"/>
  <c r="B23" i="9"/>
  <c r="D36" i="9" s="1"/>
  <c r="J14" i="9"/>
  <c r="H22" i="8"/>
  <c r="H25" i="8" s="1"/>
  <c r="B14" i="8"/>
  <c r="D36" i="8" s="1"/>
  <c r="H23" i="7"/>
  <c r="H25" i="7" s="1"/>
  <c r="B23" i="7"/>
  <c r="D36" i="7"/>
  <c r="H14" i="5"/>
  <c r="I14" i="5" s="1"/>
  <c r="D36" i="5"/>
  <c r="H23" i="4"/>
  <c r="H25" i="4" s="1"/>
  <c r="B23" i="4"/>
  <c r="D36" i="4" s="1"/>
  <c r="J14" i="3"/>
  <c r="I14" i="3"/>
  <c r="D36" i="3"/>
  <c r="H22" i="2"/>
  <c r="H25" i="2" s="1"/>
  <c r="B14" i="2"/>
  <c r="D36" i="2" s="1"/>
  <c r="J14" i="2"/>
  <c r="H14" i="2"/>
  <c r="I14" i="2" s="1"/>
  <c r="B23" i="1"/>
  <c r="H23" i="1"/>
  <c r="H25" i="1" s="1"/>
  <c r="D36" i="1"/>
  <c r="B8" i="16" s="1"/>
  <c r="B20" i="16" s="1"/>
  <c r="I14" i="1"/>
  <c r="A20" i="35" l="1"/>
  <c r="AB20" i="35"/>
  <c r="A20" i="42"/>
  <c r="AB20" i="42"/>
  <c r="AB20" i="33"/>
  <c r="A20" i="33"/>
  <c r="J31" i="41"/>
  <c r="AB20" i="40"/>
  <c r="A20" i="40"/>
  <c r="J31" i="32"/>
  <c r="C28" i="16"/>
  <c r="C29" i="16" s="1"/>
  <c r="C31" i="16" s="1"/>
  <c r="AB68" i="42"/>
  <c r="A69" i="42"/>
  <c r="J35" i="42"/>
  <c r="G35" i="42"/>
  <c r="J31" i="42"/>
  <c r="AB68" i="41"/>
  <c r="A69" i="41"/>
  <c r="J35" i="41"/>
  <c r="G35" i="41"/>
  <c r="A23" i="41"/>
  <c r="AB23" i="41"/>
  <c r="AB68" i="40"/>
  <c r="A69" i="40"/>
  <c r="J35" i="40"/>
  <c r="G35" i="40"/>
  <c r="J31" i="40"/>
  <c r="AB21" i="39"/>
  <c r="A21" i="39"/>
  <c r="AB68" i="39"/>
  <c r="A69" i="39"/>
  <c r="I35" i="39"/>
  <c r="J35" i="39" s="1"/>
  <c r="J31" i="39"/>
  <c r="I35" i="38"/>
  <c r="J35" i="38" s="1"/>
  <c r="J31" i="38"/>
  <c r="AB21" i="38"/>
  <c r="A21" i="38"/>
  <c r="AB68" i="38"/>
  <c r="A69" i="38"/>
  <c r="AB68" i="37"/>
  <c r="A69" i="37"/>
  <c r="I35" i="37"/>
  <c r="J35" i="37" s="1"/>
  <c r="J31" i="37"/>
  <c r="A23" i="37"/>
  <c r="AB23" i="37"/>
  <c r="J35" i="36"/>
  <c r="G35" i="36"/>
  <c r="AB21" i="36"/>
  <c r="A21" i="36"/>
  <c r="AB68" i="36"/>
  <c r="A69" i="36"/>
  <c r="J35" i="35"/>
  <c r="G35" i="35"/>
  <c r="AB68" i="35"/>
  <c r="A69" i="35"/>
  <c r="J31" i="34"/>
  <c r="A23" i="34"/>
  <c r="AB23" i="34"/>
  <c r="AB68" i="34"/>
  <c r="A69" i="34"/>
  <c r="J35" i="34"/>
  <c r="G35" i="34"/>
  <c r="AB68" i="33"/>
  <c r="A69" i="33"/>
  <c r="J35" i="32"/>
  <c r="G35" i="32"/>
  <c r="AB21" i="32"/>
  <c r="A21" i="32"/>
  <c r="AB68" i="32"/>
  <c r="A69" i="32"/>
  <c r="I35" i="31"/>
  <c r="J35" i="31" s="1"/>
  <c r="J31" i="31"/>
  <c r="AB21" i="31"/>
  <c r="A21" i="31"/>
  <c r="AB68" i="31"/>
  <c r="A69" i="31"/>
  <c r="B27" i="16"/>
  <c r="B29" i="16" s="1"/>
  <c r="B31" i="16" s="1"/>
  <c r="B22" i="16"/>
  <c r="B24" i="16" s="1"/>
  <c r="AB21" i="17"/>
  <c r="A21" i="17"/>
  <c r="J35" i="17"/>
  <c r="G35" i="17"/>
  <c r="AB68" i="17"/>
  <c r="A69" i="17"/>
  <c r="D42" i="15"/>
  <c r="N10" i="16" s="1"/>
  <c r="H27" i="15"/>
  <c r="H29" i="15" s="1"/>
  <c r="E36" i="15"/>
  <c r="D42" i="14"/>
  <c r="M10" i="16" s="1"/>
  <c r="H27" i="14"/>
  <c r="H29" i="14" s="1"/>
  <c r="E36" i="14"/>
  <c r="D36" i="12"/>
  <c r="H25" i="12"/>
  <c r="D42" i="10"/>
  <c r="J10" i="16" s="1"/>
  <c r="H27" i="10"/>
  <c r="H29" i="10" s="1"/>
  <c r="E36" i="10"/>
  <c r="D42" i="9"/>
  <c r="I10" i="16" s="1"/>
  <c r="E36" i="9"/>
  <c r="H27" i="9"/>
  <c r="H29" i="9" s="1"/>
  <c r="D42" i="8"/>
  <c r="H10" i="16" s="1"/>
  <c r="H27" i="8"/>
  <c r="H29" i="8" s="1"/>
  <c r="E36" i="8"/>
  <c r="D42" i="7"/>
  <c r="G10" i="16" s="1"/>
  <c r="H27" i="7"/>
  <c r="H29" i="7" s="1"/>
  <c r="E36" i="7"/>
  <c r="D42" i="5"/>
  <c r="F10" i="16" s="1"/>
  <c r="H27" i="5"/>
  <c r="H29" i="5" s="1"/>
  <c r="E36" i="5"/>
  <c r="D42" i="4"/>
  <c r="E10" i="16" s="1"/>
  <c r="H27" i="4"/>
  <c r="H29" i="4" s="1"/>
  <c r="E36" i="4"/>
  <c r="D42" i="3"/>
  <c r="D10" i="16" s="1"/>
  <c r="H27" i="3"/>
  <c r="H29" i="3" s="1"/>
  <c r="E36" i="3"/>
  <c r="D42" i="2"/>
  <c r="C10" i="16" s="1"/>
  <c r="H27" i="2"/>
  <c r="H29" i="2" s="1"/>
  <c r="E36" i="2"/>
  <c r="D42" i="1"/>
  <c r="B10" i="16" s="1"/>
  <c r="H27" i="1"/>
  <c r="H29" i="1" s="1"/>
  <c r="E36" i="1"/>
  <c r="AB21" i="40" l="1"/>
  <c r="A21" i="40"/>
  <c r="A21" i="33"/>
  <c r="AB21" i="33"/>
  <c r="AB21" i="42"/>
  <c r="A21" i="42"/>
  <c r="AB21" i="35"/>
  <c r="A21" i="35"/>
  <c r="AB69" i="42"/>
  <c r="A70" i="42"/>
  <c r="A70" i="41"/>
  <c r="AB69" i="41"/>
  <c r="AB24" i="41"/>
  <c r="A24" i="41"/>
  <c r="A70" i="40"/>
  <c r="AB69" i="40"/>
  <c r="AB22" i="39"/>
  <c r="A22" i="39"/>
  <c r="A70" i="39"/>
  <c r="AB69" i="39"/>
  <c r="A70" i="38"/>
  <c r="AB69" i="38"/>
  <c r="AB22" i="38"/>
  <c r="A22" i="38"/>
  <c r="A70" i="37"/>
  <c r="AB69" i="37"/>
  <c r="AB24" i="37"/>
  <c r="A24" i="37"/>
  <c r="A70" i="36"/>
  <c r="AB69" i="36"/>
  <c r="AB22" i="36"/>
  <c r="A22" i="36"/>
  <c r="A70" i="35"/>
  <c r="AB69" i="35"/>
  <c r="AB69" i="34"/>
  <c r="A70" i="34"/>
  <c r="A24" i="34"/>
  <c r="AB24" i="34"/>
  <c r="A70" i="33"/>
  <c r="AB69" i="33"/>
  <c r="AB69" i="32"/>
  <c r="A70" i="32"/>
  <c r="AB22" i="32"/>
  <c r="A22" i="32"/>
  <c r="A70" i="31"/>
  <c r="AB69" i="31"/>
  <c r="AB22" i="31"/>
  <c r="A22" i="31"/>
  <c r="AB69" i="17"/>
  <c r="A70" i="17"/>
  <c r="AB22" i="17"/>
  <c r="A22" i="17"/>
  <c r="D42" i="12"/>
  <c r="L10" i="16" s="1"/>
  <c r="H27" i="12"/>
  <c r="H29" i="12" s="1"/>
  <c r="E36" i="12"/>
  <c r="A22" i="35" l="1"/>
  <c r="AB22" i="35"/>
  <c r="AB22" i="42"/>
  <c r="A22" i="42"/>
  <c r="AB22" i="33"/>
  <c r="A22" i="33"/>
  <c r="A22" i="40"/>
  <c r="AB22" i="40"/>
  <c r="A71" i="42"/>
  <c r="AB70" i="42"/>
  <c r="A71" i="41"/>
  <c r="AB70" i="41"/>
  <c r="AB25" i="41"/>
  <c r="A25" i="41"/>
  <c r="A71" i="40"/>
  <c r="AB70" i="40"/>
  <c r="A23" i="39"/>
  <c r="AB23" i="39"/>
  <c r="A71" i="39"/>
  <c r="AB70" i="39"/>
  <c r="A71" i="38"/>
  <c r="AB70" i="38"/>
  <c r="A23" i="38"/>
  <c r="AB23" i="38"/>
  <c r="AB25" i="37"/>
  <c r="A25" i="37"/>
  <c r="A71" i="37"/>
  <c r="AB70" i="37"/>
  <c r="A23" i="36"/>
  <c r="AB23" i="36"/>
  <c r="A71" i="36"/>
  <c r="AB70" i="36"/>
  <c r="A71" i="35"/>
  <c r="AB70" i="35"/>
  <c r="A71" i="34"/>
  <c r="AB70" i="34"/>
  <c r="AB25" i="34"/>
  <c r="A25" i="34"/>
  <c r="AB70" i="33"/>
  <c r="A71" i="33"/>
  <c r="A23" i="32"/>
  <c r="AB23" i="32"/>
  <c r="A71" i="32"/>
  <c r="AB70" i="32"/>
  <c r="A71" i="31"/>
  <c r="AB70" i="31"/>
  <c r="A23" i="31"/>
  <c r="AB23" i="31"/>
  <c r="A23" i="17"/>
  <c r="AB23" i="17"/>
  <c r="AB70" i="17"/>
  <c r="A71" i="17"/>
  <c r="A23" i="33" l="1"/>
  <c r="AB23" i="33"/>
  <c r="A23" i="40"/>
  <c r="AB23" i="40"/>
  <c r="A23" i="42"/>
  <c r="AB23" i="42"/>
  <c r="A23" i="35"/>
  <c r="AB23" i="35"/>
  <c r="A72" i="42"/>
  <c r="AB71" i="42"/>
  <c r="AB72" i="42" s="1"/>
  <c r="AB26" i="41"/>
  <c r="A26" i="41"/>
  <c r="A72" i="41"/>
  <c r="AB71" i="41"/>
  <c r="AB72" i="41" s="1"/>
  <c r="A72" i="40"/>
  <c r="AB71" i="40"/>
  <c r="AB72" i="40" s="1"/>
  <c r="A72" i="39"/>
  <c r="AB71" i="39"/>
  <c r="AB72" i="39" s="1"/>
  <c r="AB24" i="39"/>
  <c r="A24" i="39"/>
  <c r="AB24" i="38"/>
  <c r="A24" i="38"/>
  <c r="A72" i="38"/>
  <c r="AB71" i="38"/>
  <c r="AB72" i="38" s="1"/>
  <c r="AB26" i="37"/>
  <c r="A26" i="37"/>
  <c r="A72" i="37"/>
  <c r="AB71" i="37"/>
  <c r="AB72" i="37" s="1"/>
  <c r="A72" i="36"/>
  <c r="AB71" i="36"/>
  <c r="AB72" i="36" s="1"/>
  <c r="AB24" i="36"/>
  <c r="A24" i="36"/>
  <c r="A72" i="35"/>
  <c r="AB71" i="35"/>
  <c r="AB72" i="35" s="1"/>
  <c r="AB26" i="34"/>
  <c r="A26" i="34"/>
  <c r="A72" i="34"/>
  <c r="AB71" i="34"/>
  <c r="AB72" i="34" s="1"/>
  <c r="A72" i="33"/>
  <c r="AB71" i="33"/>
  <c r="AB72" i="33" s="1"/>
  <c r="A72" i="32"/>
  <c r="AB71" i="32"/>
  <c r="AB72" i="32" s="1"/>
  <c r="A24" i="32"/>
  <c r="AB24" i="32"/>
  <c r="AB24" i="31"/>
  <c r="A24" i="31"/>
  <c r="A72" i="31"/>
  <c r="AB71" i="31"/>
  <c r="AB72" i="31" s="1"/>
  <c r="A72" i="17"/>
  <c r="AB71" i="17"/>
  <c r="AB72" i="17" s="1"/>
  <c r="A24" i="17"/>
  <c r="AB24" i="17"/>
  <c r="A24" i="35" l="1"/>
  <c r="AB24" i="35"/>
  <c r="A24" i="42"/>
  <c r="AB24" i="42"/>
  <c r="AB24" i="40"/>
  <c r="A24" i="40"/>
  <c r="A24" i="33"/>
  <c r="AB24" i="33"/>
  <c r="A74" i="42"/>
  <c r="AB73" i="42"/>
  <c r="A27" i="41"/>
  <c r="AB27" i="41"/>
  <c r="AB73" i="41"/>
  <c r="A74" i="41"/>
  <c r="AB73" i="40"/>
  <c r="A74" i="40"/>
  <c r="AB73" i="39"/>
  <c r="A74" i="39"/>
  <c r="AB25" i="39"/>
  <c r="A25" i="39"/>
  <c r="AB25" i="38"/>
  <c r="A25" i="38"/>
  <c r="AB73" i="38"/>
  <c r="A74" i="38"/>
  <c r="AB73" i="37"/>
  <c r="A74" i="37"/>
  <c r="A27" i="37"/>
  <c r="AB27" i="37"/>
  <c r="AB25" i="36"/>
  <c r="A25" i="36"/>
  <c r="AB73" i="36"/>
  <c r="A74" i="36"/>
  <c r="AB73" i="35"/>
  <c r="A74" i="35"/>
  <c r="A27" i="34"/>
  <c r="AB27" i="34"/>
  <c r="A74" i="34"/>
  <c r="AB73" i="34"/>
  <c r="A74" i="33"/>
  <c r="AB73" i="33"/>
  <c r="AB25" i="32"/>
  <c r="A25" i="32"/>
  <c r="A74" i="32"/>
  <c r="AB73" i="32"/>
  <c r="AB25" i="31"/>
  <c r="A25" i="31"/>
  <c r="AB73" i="31"/>
  <c r="A74" i="31"/>
  <c r="A25" i="17"/>
  <c r="AB25" i="17"/>
  <c r="AB73" i="17"/>
  <c r="A74" i="17"/>
  <c r="AB25" i="33" l="1"/>
  <c r="A25" i="33"/>
  <c r="AB25" i="40"/>
  <c r="A25" i="40"/>
  <c r="AB25" i="42"/>
  <c r="A25" i="42"/>
  <c r="AB25" i="35"/>
  <c r="A25" i="35"/>
  <c r="A75" i="42"/>
  <c r="AB74" i="42"/>
  <c r="AB28" i="41"/>
  <c r="A28" i="41"/>
  <c r="A75" i="41"/>
  <c r="AB74" i="41"/>
  <c r="A75" i="40"/>
  <c r="AB74" i="40"/>
  <c r="A75" i="39"/>
  <c r="AB74" i="39"/>
  <c r="AB26" i="39"/>
  <c r="A26" i="39"/>
  <c r="A75" i="38"/>
  <c r="AB74" i="38"/>
  <c r="AB26" i="38"/>
  <c r="A26" i="38"/>
  <c r="A75" i="37"/>
  <c r="AB74" i="37"/>
  <c r="AB28" i="37"/>
  <c r="A28" i="37"/>
  <c r="A75" i="36"/>
  <c r="AB74" i="36"/>
  <c r="AB26" i="36"/>
  <c r="A26" i="36"/>
  <c r="A75" i="35"/>
  <c r="AB74" i="35"/>
  <c r="A75" i="34"/>
  <c r="AB74" i="34"/>
  <c r="A28" i="34"/>
  <c r="AB28" i="34"/>
  <c r="A75" i="33"/>
  <c r="AB74" i="33"/>
  <c r="A75" i="32"/>
  <c r="AB74" i="32"/>
  <c r="AB26" i="32"/>
  <c r="A26" i="32"/>
  <c r="AB26" i="31"/>
  <c r="A26" i="31"/>
  <c r="A75" i="31"/>
  <c r="AB74" i="31"/>
  <c r="A75" i="17"/>
  <c r="AB74" i="17"/>
  <c r="AB26" i="17"/>
  <c r="A26" i="17"/>
  <c r="AB26" i="35" l="1"/>
  <c r="A26" i="35"/>
  <c r="AB26" i="42"/>
  <c r="A26" i="42"/>
  <c r="AB26" i="40"/>
  <c r="A26" i="40"/>
  <c r="AB26" i="33"/>
  <c r="A26" i="33"/>
  <c r="A76" i="42"/>
  <c r="AB75" i="42"/>
  <c r="AB76" i="42" s="1"/>
  <c r="AB77" i="42" s="1"/>
  <c r="AB78" i="42" s="1"/>
  <c r="AB79" i="42" s="1"/>
  <c r="AB80" i="42" s="1"/>
  <c r="AB81" i="42" s="1"/>
  <c r="AB82" i="42" s="1"/>
  <c r="AB83" i="42" s="1"/>
  <c r="AB84" i="42" s="1"/>
  <c r="AB85" i="42" s="1"/>
  <c r="AB86" i="42" s="1"/>
  <c r="AB87" i="42" s="1"/>
  <c r="AB88" i="42" s="1"/>
  <c r="AB89" i="42" s="1"/>
  <c r="A76" i="41"/>
  <c r="AB75" i="41"/>
  <c r="AB76" i="41" s="1"/>
  <c r="AB77" i="41" s="1"/>
  <c r="AB78" i="41" s="1"/>
  <c r="AB79" i="41" s="1"/>
  <c r="AB80" i="41" s="1"/>
  <c r="AB81" i="41" s="1"/>
  <c r="AB82" i="41" s="1"/>
  <c r="AB83" i="41" s="1"/>
  <c r="AB84" i="41" s="1"/>
  <c r="AB85" i="41" s="1"/>
  <c r="AB86" i="41" s="1"/>
  <c r="AB87" i="41" s="1"/>
  <c r="AB88" i="41" s="1"/>
  <c r="AB89" i="41" s="1"/>
  <c r="AB29" i="41"/>
  <c r="A29" i="41"/>
  <c r="A76" i="40"/>
  <c r="AB75" i="40"/>
  <c r="AB76" i="40" s="1"/>
  <c r="AB77" i="40" s="1"/>
  <c r="AB78" i="40" s="1"/>
  <c r="AB79" i="40" s="1"/>
  <c r="AB80" i="40" s="1"/>
  <c r="AB81" i="40" s="1"/>
  <c r="AB82" i="40" s="1"/>
  <c r="AB83" i="40" s="1"/>
  <c r="AB84" i="40" s="1"/>
  <c r="AB85" i="40" s="1"/>
  <c r="AB86" i="40" s="1"/>
  <c r="AB87" i="40" s="1"/>
  <c r="AB88" i="40" s="1"/>
  <c r="AB89" i="40" s="1"/>
  <c r="A76" i="39"/>
  <c r="AB75" i="39"/>
  <c r="AB76" i="39" s="1"/>
  <c r="AB77" i="39" s="1"/>
  <c r="AB78" i="39" s="1"/>
  <c r="AB79" i="39" s="1"/>
  <c r="AB80" i="39" s="1"/>
  <c r="AB81" i="39" s="1"/>
  <c r="AB82" i="39" s="1"/>
  <c r="AB83" i="39" s="1"/>
  <c r="AB84" i="39" s="1"/>
  <c r="AB85" i="39" s="1"/>
  <c r="AB86" i="39" s="1"/>
  <c r="AB87" i="39" s="1"/>
  <c r="AB88" i="39" s="1"/>
  <c r="AB89" i="39" s="1"/>
  <c r="A27" i="39"/>
  <c r="AB27" i="39"/>
  <c r="A27" i="38"/>
  <c r="AB27" i="38"/>
  <c r="A76" i="38"/>
  <c r="AB75" i="38"/>
  <c r="AB76" i="38" s="1"/>
  <c r="AB77" i="38" s="1"/>
  <c r="AB78" i="38" s="1"/>
  <c r="AB79" i="38" s="1"/>
  <c r="AB80" i="38" s="1"/>
  <c r="AB81" i="38" s="1"/>
  <c r="AB82" i="38" s="1"/>
  <c r="AB83" i="38" s="1"/>
  <c r="AB84" i="38" s="1"/>
  <c r="AB85" i="38" s="1"/>
  <c r="AB86" i="38" s="1"/>
  <c r="AB87" i="38" s="1"/>
  <c r="AB88" i="38" s="1"/>
  <c r="AB89" i="38" s="1"/>
  <c r="A76" i="37"/>
  <c r="AB75" i="37"/>
  <c r="AB76" i="37" s="1"/>
  <c r="AB77" i="37" s="1"/>
  <c r="AB78" i="37" s="1"/>
  <c r="AB79" i="37" s="1"/>
  <c r="AB80" i="37" s="1"/>
  <c r="AB81" i="37" s="1"/>
  <c r="AB82" i="37" s="1"/>
  <c r="AB83" i="37" s="1"/>
  <c r="AB84" i="37" s="1"/>
  <c r="AB85" i="37" s="1"/>
  <c r="AB86" i="37" s="1"/>
  <c r="AB87" i="37" s="1"/>
  <c r="AB88" i="37" s="1"/>
  <c r="AB89" i="37" s="1"/>
  <c r="AB29" i="37"/>
  <c r="A29" i="37"/>
  <c r="A27" i="36"/>
  <c r="AB27" i="36"/>
  <c r="A76" i="36"/>
  <c r="AB75" i="36"/>
  <c r="AB76" i="36" s="1"/>
  <c r="AB77" i="36" s="1"/>
  <c r="AB78" i="36" s="1"/>
  <c r="AB79" i="36" s="1"/>
  <c r="AB80" i="36" s="1"/>
  <c r="AB81" i="36" s="1"/>
  <c r="AB82" i="36" s="1"/>
  <c r="AB83" i="36" s="1"/>
  <c r="AB84" i="36" s="1"/>
  <c r="AB85" i="36" s="1"/>
  <c r="AB86" i="36" s="1"/>
  <c r="AB87" i="36" s="1"/>
  <c r="AB88" i="36" s="1"/>
  <c r="AB89" i="36" s="1"/>
  <c r="A76" i="35"/>
  <c r="AB75" i="35"/>
  <c r="AB76" i="35" s="1"/>
  <c r="AB77" i="35" s="1"/>
  <c r="AB78" i="35" s="1"/>
  <c r="AB79" i="35" s="1"/>
  <c r="AB80" i="35" s="1"/>
  <c r="AB81" i="35" s="1"/>
  <c r="AB82" i="35" s="1"/>
  <c r="AB83" i="35" s="1"/>
  <c r="AB84" i="35" s="1"/>
  <c r="AB85" i="35" s="1"/>
  <c r="AB86" i="35" s="1"/>
  <c r="AB87" i="35" s="1"/>
  <c r="AB88" i="35" s="1"/>
  <c r="AB89" i="35" s="1"/>
  <c r="AB29" i="34"/>
  <c r="A29" i="34"/>
  <c r="A76" i="34"/>
  <c r="AB75" i="34"/>
  <c r="AB76" i="34" s="1"/>
  <c r="AB77" i="34" s="1"/>
  <c r="AB78" i="34" s="1"/>
  <c r="AB79" i="34" s="1"/>
  <c r="AB80" i="34" s="1"/>
  <c r="AB81" i="34" s="1"/>
  <c r="AB82" i="34" s="1"/>
  <c r="AB83" i="34" s="1"/>
  <c r="AB84" i="34" s="1"/>
  <c r="AB85" i="34" s="1"/>
  <c r="AB86" i="34" s="1"/>
  <c r="AB87" i="34" s="1"/>
  <c r="AB88" i="34" s="1"/>
  <c r="AB89" i="34" s="1"/>
  <c r="A76" i="33"/>
  <c r="AB75" i="33"/>
  <c r="AB76" i="33" s="1"/>
  <c r="AB77" i="33" s="1"/>
  <c r="AB78" i="33" s="1"/>
  <c r="AB79" i="33" s="1"/>
  <c r="AB80" i="33" s="1"/>
  <c r="AB81" i="33" s="1"/>
  <c r="AB82" i="33" s="1"/>
  <c r="AB83" i="33" s="1"/>
  <c r="AB84" i="33" s="1"/>
  <c r="AB85" i="33" s="1"/>
  <c r="AB86" i="33" s="1"/>
  <c r="AB87" i="33" s="1"/>
  <c r="AB88" i="33" s="1"/>
  <c r="AB89" i="33" s="1"/>
  <c r="A27" i="32"/>
  <c r="AB27" i="32"/>
  <c r="A76" i="32"/>
  <c r="AB75" i="32"/>
  <c r="AB76" i="32" s="1"/>
  <c r="AB77" i="32" s="1"/>
  <c r="AB78" i="32" s="1"/>
  <c r="AB79" i="32" s="1"/>
  <c r="AB80" i="32" s="1"/>
  <c r="AB81" i="32" s="1"/>
  <c r="AB82" i="32" s="1"/>
  <c r="AB83" i="32" s="1"/>
  <c r="AB84" i="32" s="1"/>
  <c r="AB85" i="32" s="1"/>
  <c r="AB86" i="32" s="1"/>
  <c r="AB87" i="32" s="1"/>
  <c r="AB88" i="32" s="1"/>
  <c r="AB89" i="32" s="1"/>
  <c r="A27" i="31"/>
  <c r="AB27" i="31"/>
  <c r="A76" i="31"/>
  <c r="AB75" i="31"/>
  <c r="AB76" i="31" s="1"/>
  <c r="AB77" i="31" s="1"/>
  <c r="AB78" i="31" s="1"/>
  <c r="AB79" i="31" s="1"/>
  <c r="AB80" i="31" s="1"/>
  <c r="AB81" i="31" s="1"/>
  <c r="AB82" i="31" s="1"/>
  <c r="AB83" i="31" s="1"/>
  <c r="AB84" i="31" s="1"/>
  <c r="AB85" i="31" s="1"/>
  <c r="AB86" i="31" s="1"/>
  <c r="AB87" i="31" s="1"/>
  <c r="AB88" i="31" s="1"/>
  <c r="AB89" i="31" s="1"/>
  <c r="A27" i="17"/>
  <c r="AB27" i="17"/>
  <c r="A76" i="17"/>
  <c r="AB75" i="17"/>
  <c r="AB76" i="17" s="1"/>
  <c r="AB77" i="17" s="1"/>
  <c r="AB78" i="17" s="1"/>
  <c r="AB79" i="17" s="1"/>
  <c r="AB80" i="17" s="1"/>
  <c r="AB81" i="17" s="1"/>
  <c r="AB82" i="17" s="1"/>
  <c r="AB83" i="17" s="1"/>
  <c r="AB84" i="17" s="1"/>
  <c r="AB85" i="17" s="1"/>
  <c r="AB86" i="17" s="1"/>
  <c r="AB87" i="17" s="1"/>
  <c r="AB88" i="17" s="1"/>
  <c r="AB89" i="17" s="1"/>
  <c r="AB27" i="33" l="1"/>
  <c r="A27" i="33"/>
  <c r="A27" i="40"/>
  <c r="AB27" i="40"/>
  <c r="A27" i="42"/>
  <c r="AB27" i="42"/>
  <c r="A27" i="35"/>
  <c r="AB27" i="35"/>
  <c r="AB30" i="41"/>
  <c r="A30" i="41"/>
  <c r="AB28" i="39"/>
  <c r="A28" i="39"/>
  <c r="AB28" i="38"/>
  <c r="A28" i="38"/>
  <c r="AB30" i="37"/>
  <c r="A30" i="37"/>
  <c r="AB28" i="36"/>
  <c r="A28" i="36"/>
  <c r="AB30" i="34"/>
  <c r="A30" i="34"/>
  <c r="A28" i="32"/>
  <c r="AB28" i="32"/>
  <c r="AB28" i="31"/>
  <c r="A28" i="31"/>
  <c r="AB28" i="17"/>
  <c r="A28" i="17"/>
  <c r="A28" i="35" l="1"/>
  <c r="AB28" i="35"/>
  <c r="AB28" i="42"/>
  <c r="A28" i="42"/>
  <c r="AB28" i="40"/>
  <c r="A28" i="40"/>
  <c r="AB28" i="33"/>
  <c r="A28" i="33"/>
  <c r="A31" i="41"/>
  <c r="AB31" i="41"/>
  <c r="AB32" i="41" s="1"/>
  <c r="AB29" i="39"/>
  <c r="A29" i="39"/>
  <c r="AB29" i="38"/>
  <c r="A29" i="38"/>
  <c r="A31" i="37"/>
  <c r="AB31" i="37"/>
  <c r="AB32" i="37" s="1"/>
  <c r="AB29" i="36"/>
  <c r="A29" i="36"/>
  <c r="A31" i="34"/>
  <c r="AB31" i="34"/>
  <c r="AB32" i="34" s="1"/>
  <c r="AB29" i="32"/>
  <c r="A29" i="32"/>
  <c r="AB29" i="31"/>
  <c r="A29" i="31"/>
  <c r="A29" i="17"/>
  <c r="AB29" i="17"/>
  <c r="A29" i="33" l="1"/>
  <c r="AB29" i="33"/>
  <c r="AB29" i="40"/>
  <c r="A29" i="40"/>
  <c r="AB29" i="42"/>
  <c r="A29" i="42"/>
  <c r="A29" i="35"/>
  <c r="AB29" i="35"/>
  <c r="AB33" i="41"/>
  <c r="AB34" i="41" s="1"/>
  <c r="A33" i="41"/>
  <c r="AB30" i="39"/>
  <c r="A30" i="39"/>
  <c r="AB30" i="38"/>
  <c r="A30" i="38"/>
  <c r="AB33" i="37"/>
  <c r="AB34" i="37" s="1"/>
  <c r="A33" i="37"/>
  <c r="AB30" i="36"/>
  <c r="A30" i="36"/>
  <c r="AB33" i="34"/>
  <c r="AB34" i="34" s="1"/>
  <c r="A33" i="34"/>
  <c r="AB30" i="32"/>
  <c r="A30" i="32"/>
  <c r="AB30" i="31"/>
  <c r="A30" i="31"/>
  <c r="AB30" i="17"/>
  <c r="A30" i="17"/>
  <c r="AB30" i="35" l="1"/>
  <c r="A30" i="35"/>
  <c r="AB30" i="42"/>
  <c r="A30" i="42"/>
  <c r="A30" i="40"/>
  <c r="AB30" i="40"/>
  <c r="AB30" i="33"/>
  <c r="A30" i="33"/>
  <c r="A35" i="41"/>
  <c r="AB35" i="41"/>
  <c r="AB36" i="41" s="1"/>
  <c r="AB37" i="41" s="1"/>
  <c r="A31" i="39"/>
  <c r="AB31" i="39"/>
  <c r="AB32" i="39" s="1"/>
  <c r="A31" i="38"/>
  <c r="AB31" i="38"/>
  <c r="AB32" i="38" s="1"/>
  <c r="A35" i="37"/>
  <c r="AB35" i="37"/>
  <c r="AB36" i="37" s="1"/>
  <c r="AB37" i="37" s="1"/>
  <c r="A31" i="36"/>
  <c r="AB31" i="36"/>
  <c r="AB32" i="36" s="1"/>
  <c r="A35" i="34"/>
  <c r="AB35" i="34"/>
  <c r="AB36" i="34" s="1"/>
  <c r="AB37" i="34" s="1"/>
  <c r="A31" i="32"/>
  <c r="AB31" i="32"/>
  <c r="AB32" i="32" s="1"/>
  <c r="A31" i="31"/>
  <c r="AB31" i="31"/>
  <c r="AB32" i="31" s="1"/>
  <c r="AB31" i="17"/>
  <c r="AB32" i="17" s="1"/>
  <c r="A31" i="17"/>
  <c r="A31" i="40" l="1"/>
  <c r="AB31" i="40"/>
  <c r="AB32" i="40" s="1"/>
  <c r="A31" i="42"/>
  <c r="AB31" i="42"/>
  <c r="AB32" i="42" s="1"/>
  <c r="AB31" i="33"/>
  <c r="AB32" i="33" s="1"/>
  <c r="A31" i="33"/>
  <c r="A31" i="35"/>
  <c r="AB31" i="35"/>
  <c r="AB32" i="35" s="1"/>
  <c r="A38" i="41"/>
  <c r="AB38" i="41"/>
  <c r="AB39" i="41" s="1"/>
  <c r="AB40" i="41" s="1"/>
  <c r="AB41" i="41" s="1"/>
  <c r="AB42" i="41" s="1"/>
  <c r="AB43" i="41" s="1"/>
  <c r="AB44" i="41" s="1"/>
  <c r="AB45" i="41" s="1"/>
  <c r="AB33" i="39"/>
  <c r="AB34" i="39" s="1"/>
  <c r="A33" i="39"/>
  <c r="AB33" i="38"/>
  <c r="AB34" i="38" s="1"/>
  <c r="A33" i="38"/>
  <c r="A38" i="37"/>
  <c r="AB38" i="37"/>
  <c r="AB39" i="37" s="1"/>
  <c r="AB40" i="37" s="1"/>
  <c r="AB41" i="37" s="1"/>
  <c r="AB42" i="37" s="1"/>
  <c r="AB43" i="37" s="1"/>
  <c r="AB44" i="37" s="1"/>
  <c r="AB45" i="37" s="1"/>
  <c r="AB33" i="36"/>
  <c r="AB34" i="36" s="1"/>
  <c r="A33" i="36"/>
  <c r="A38" i="34"/>
  <c r="AB38" i="34"/>
  <c r="AB39" i="34" s="1"/>
  <c r="AB40" i="34" s="1"/>
  <c r="AB41" i="34" s="1"/>
  <c r="AB42" i="34" s="1"/>
  <c r="AB43" i="34" s="1"/>
  <c r="AB44" i="34" s="1"/>
  <c r="AB45" i="34" s="1"/>
  <c r="AB33" i="32"/>
  <c r="AB34" i="32" s="1"/>
  <c r="A33" i="32"/>
  <c r="AB33" i="31"/>
  <c r="AB34" i="31" s="1"/>
  <c r="A33" i="31"/>
  <c r="AB33" i="17"/>
  <c r="AB34" i="17" s="1"/>
  <c r="A33" i="17"/>
  <c r="A33" i="35" l="1"/>
  <c r="AB33" i="35"/>
  <c r="AB34" i="35" s="1"/>
  <c r="A33" i="33"/>
  <c r="AB33" i="33"/>
  <c r="AB34" i="33" s="1"/>
  <c r="AB33" i="42"/>
  <c r="AB34" i="42" s="1"/>
  <c r="A33" i="42"/>
  <c r="AB33" i="40"/>
  <c r="AB34" i="40" s="1"/>
  <c r="A33" i="40"/>
  <c r="A35" i="39"/>
  <c r="AB35" i="39"/>
  <c r="AB36" i="39" s="1"/>
  <c r="AB37" i="39" s="1"/>
  <c r="A35" i="38"/>
  <c r="AB35" i="38"/>
  <c r="AB36" i="38" s="1"/>
  <c r="AB37" i="38" s="1"/>
  <c r="A35" i="36"/>
  <c r="AB35" i="36"/>
  <c r="AB36" i="36" s="1"/>
  <c r="AB37" i="36" s="1"/>
  <c r="A35" i="32"/>
  <c r="AB35" i="32"/>
  <c r="AB36" i="32" s="1"/>
  <c r="AB37" i="32" s="1"/>
  <c r="A35" i="31"/>
  <c r="AB35" i="31"/>
  <c r="AB36" i="31" s="1"/>
  <c r="AB37" i="31" s="1"/>
  <c r="A35" i="17"/>
  <c r="AB35" i="17"/>
  <c r="AB36" i="17" s="1"/>
  <c r="AB37" i="17" s="1"/>
  <c r="A35" i="40" l="1"/>
  <c r="AB35" i="40"/>
  <c r="AB36" i="40" s="1"/>
  <c r="AB37" i="40" s="1"/>
  <c r="A35" i="42"/>
  <c r="AB35" i="42"/>
  <c r="AB36" i="42" s="1"/>
  <c r="AB37" i="42" s="1"/>
  <c r="AB35" i="33"/>
  <c r="AB36" i="33" s="1"/>
  <c r="AB37" i="33" s="1"/>
  <c r="A35" i="33"/>
  <c r="AB35" i="35"/>
  <c r="AB36" i="35" s="1"/>
  <c r="AB37" i="35" s="1"/>
  <c r="A35" i="35"/>
  <c r="A38" i="39"/>
  <c r="AB38" i="39"/>
  <c r="AB39" i="39" s="1"/>
  <c r="AB40" i="39" s="1"/>
  <c r="AB41" i="39" s="1"/>
  <c r="AB42" i="39" s="1"/>
  <c r="AB43" i="39" s="1"/>
  <c r="AB44" i="39" s="1"/>
  <c r="AB45" i="39" s="1"/>
  <c r="A38" i="38"/>
  <c r="AB38" i="38"/>
  <c r="AB39" i="38" s="1"/>
  <c r="AB40" i="38" s="1"/>
  <c r="AB41" i="38" s="1"/>
  <c r="AB42" i="38" s="1"/>
  <c r="AB43" i="38" s="1"/>
  <c r="AB44" i="38" s="1"/>
  <c r="AB45" i="38" s="1"/>
  <c r="A38" i="36"/>
  <c r="AB38" i="36"/>
  <c r="AB39" i="36" s="1"/>
  <c r="AB40" i="36" s="1"/>
  <c r="AB41" i="36" s="1"/>
  <c r="AB42" i="36" s="1"/>
  <c r="AB43" i="36" s="1"/>
  <c r="AB44" i="36" s="1"/>
  <c r="AB45" i="36" s="1"/>
  <c r="A38" i="32"/>
  <c r="AB38" i="32"/>
  <c r="AB39" i="32" s="1"/>
  <c r="AB40" i="32" s="1"/>
  <c r="AB41" i="32" s="1"/>
  <c r="AB42" i="32" s="1"/>
  <c r="AB43" i="32" s="1"/>
  <c r="AB44" i="32" s="1"/>
  <c r="AB45" i="32" s="1"/>
  <c r="A38" i="31"/>
  <c r="AB38" i="31"/>
  <c r="AB39" i="31" s="1"/>
  <c r="AB40" i="31" s="1"/>
  <c r="AB41" i="31" s="1"/>
  <c r="AB42" i="31" s="1"/>
  <c r="AB43" i="31" s="1"/>
  <c r="AB44" i="31" s="1"/>
  <c r="AB45" i="31" s="1"/>
  <c r="AB38" i="17"/>
  <c r="AB39" i="17" s="1"/>
  <c r="AB40" i="17" s="1"/>
  <c r="AB41" i="17" s="1"/>
  <c r="AB42" i="17" s="1"/>
  <c r="AB43" i="17" s="1"/>
  <c r="AB44" i="17" s="1"/>
  <c r="AB45" i="17" s="1"/>
  <c r="A38" i="17"/>
  <c r="A38" i="35" l="1"/>
  <c r="AB38" i="35"/>
  <c r="AB39" i="35" s="1"/>
  <c r="AB40" i="35" s="1"/>
  <c r="AB41" i="35" s="1"/>
  <c r="AB42" i="35" s="1"/>
  <c r="AB43" i="35" s="1"/>
  <c r="AB44" i="35" s="1"/>
  <c r="AB45" i="35" s="1"/>
  <c r="AB38" i="33"/>
  <c r="AB39" i="33" s="1"/>
  <c r="AB40" i="33" s="1"/>
  <c r="AB41" i="33" s="1"/>
  <c r="AB42" i="33" s="1"/>
  <c r="AB43" i="33" s="1"/>
  <c r="AB44" i="33" s="1"/>
  <c r="AB45" i="33" s="1"/>
  <c r="A38" i="33"/>
  <c r="A38" i="42"/>
  <c r="AB38" i="42"/>
  <c r="AB39" i="42" s="1"/>
  <c r="AB40" i="42" s="1"/>
  <c r="AB41" i="42" s="1"/>
  <c r="AB42" i="42" s="1"/>
  <c r="AB43" i="42" s="1"/>
  <c r="AB44" i="42" s="1"/>
  <c r="AB45" i="42" s="1"/>
  <c r="A38" i="40"/>
  <c r="AB38" i="40"/>
  <c r="AB39" i="40" s="1"/>
  <c r="AB40" i="40" s="1"/>
  <c r="AB41" i="40" s="1"/>
  <c r="AB42" i="40" s="1"/>
  <c r="AB43" i="40" s="1"/>
  <c r="AB44" i="40" s="1"/>
  <c r="AB45" i="40" s="1"/>
  <c r="G21" i="33"/>
  <c r="G23" i="33"/>
  <c r="K19" i="33" l="1"/>
  <c r="I19" i="33"/>
  <c r="K21" i="33" l="1"/>
  <c r="I21" i="33"/>
  <c r="J21" i="33" s="1"/>
  <c r="I23" i="33" l="1"/>
  <c r="J23" i="33" s="1"/>
  <c r="K23" i="33"/>
  <c r="G17" i="33" l="1"/>
  <c r="G33" i="33"/>
  <c r="F76" i="33"/>
  <c r="G76" i="33" s="1"/>
  <c r="F67" i="33"/>
  <c r="G67" i="33" s="1"/>
  <c r="F72" i="33"/>
  <c r="G18" i="33"/>
  <c r="G20" i="33"/>
  <c r="G30" i="33"/>
  <c r="G22" i="33"/>
  <c r="G28" i="33"/>
  <c r="K75" i="33"/>
  <c r="G25" i="33"/>
  <c r="G29" i="33"/>
  <c r="K29" i="33"/>
  <c r="K30" i="33"/>
  <c r="K25" i="33"/>
  <c r="K70" i="33"/>
  <c r="K28" i="33"/>
  <c r="K71" i="33"/>
  <c r="I25" i="33" l="1"/>
  <c r="J25" i="33" s="1"/>
  <c r="I28" i="33"/>
  <c r="J28" i="33" s="1"/>
  <c r="I71" i="33"/>
  <c r="J71" i="33" s="1"/>
  <c r="I70" i="33"/>
  <c r="J70" i="33" s="1"/>
  <c r="I30" i="33"/>
  <c r="J30" i="33" s="1"/>
  <c r="G72" i="33"/>
  <c r="I29" i="33"/>
  <c r="J29" i="33" s="1"/>
  <c r="G27" i="33"/>
  <c r="I75" i="33"/>
  <c r="H72" i="33" l="1"/>
  <c r="K72" i="33" s="1"/>
  <c r="K69" i="33"/>
  <c r="I69" i="33"/>
  <c r="I72" i="33" s="1"/>
  <c r="J72" i="33" s="1"/>
  <c r="K22" i="33"/>
  <c r="I22" i="33"/>
  <c r="J22" i="33" s="1"/>
  <c r="G26" i="33"/>
  <c r="K33" i="33"/>
  <c r="I33" i="33"/>
  <c r="J33" i="33" s="1"/>
  <c r="K18" i="33"/>
  <c r="I18" i="33"/>
  <c r="J18" i="33" s="1"/>
  <c r="K65" i="33"/>
  <c r="I65" i="33"/>
  <c r="J65" i="33" s="1"/>
  <c r="G24" i="33"/>
  <c r="F31" i="33"/>
  <c r="K66" i="33"/>
  <c r="I66" i="33"/>
  <c r="J66" i="33" s="1"/>
  <c r="K20" i="33"/>
  <c r="I20" i="33"/>
  <c r="J20" i="33" s="1"/>
  <c r="K26" i="33"/>
  <c r="I64" i="33" l="1"/>
  <c r="K64" i="33"/>
  <c r="H67" i="33"/>
  <c r="K67" i="33" s="1"/>
  <c r="I26" i="33"/>
  <c r="J26" i="33" s="1"/>
  <c r="H76" i="33"/>
  <c r="K76" i="33" s="1"/>
  <c r="K74" i="33"/>
  <c r="I74" i="33"/>
  <c r="K17" i="33"/>
  <c r="I17" i="33"/>
  <c r="F35" i="33"/>
  <c r="G35" i="33" s="1"/>
  <c r="G31" i="33"/>
  <c r="J74" i="33" l="1"/>
  <c r="I76" i="33"/>
  <c r="J76" i="33" s="1"/>
  <c r="I27" i="33"/>
  <c r="J27" i="33" s="1"/>
  <c r="K27" i="33"/>
  <c r="J17" i="33"/>
  <c r="J64" i="33"/>
  <c r="I67" i="33"/>
  <c r="J67" i="33" s="1"/>
  <c r="K24" i="33" l="1"/>
  <c r="I24" i="33"/>
  <c r="H31" i="33"/>
  <c r="K31" i="33" l="1"/>
  <c r="H35" i="33"/>
  <c r="K35" i="33" s="1"/>
  <c r="J24" i="33"/>
  <c r="I31" i="33"/>
  <c r="I35" i="33" l="1"/>
  <c r="J35" i="33" s="1"/>
  <c r="J31" i="33"/>
</calcChain>
</file>

<file path=xl/sharedStrings.xml><?xml version="1.0" encoding="utf-8"?>
<sst xmlns="http://schemas.openxmlformats.org/spreadsheetml/2006/main" count="3022" uniqueCount="148">
  <si>
    <t>Hourly - Flat</t>
  </si>
  <si>
    <t>Hourly - Time Variant</t>
  </si>
  <si>
    <t>2021-2022 As Filed</t>
  </si>
  <si>
    <t>IRP</t>
  </si>
  <si>
    <t>ICE</t>
  </si>
  <si>
    <t>Total Forecast Rate</t>
  </si>
  <si>
    <t xml:space="preserve">True-Up </t>
  </si>
  <si>
    <t>Total PCA Rate</t>
  </si>
  <si>
    <t>Rate Component</t>
  </si>
  <si>
    <t>2021-2022 PCA</t>
  </si>
  <si>
    <t>PCA Forecast</t>
  </si>
  <si>
    <t>PCA Balancing Adjustment</t>
  </si>
  <si>
    <t>PCA Total</t>
  </si>
  <si>
    <t>Revenue Sharing</t>
  </si>
  <si>
    <t>Total Revenue Impact</t>
  </si>
  <si>
    <t>2022-2023 PCA</t>
  </si>
  <si>
    <t>Difference</t>
  </si>
  <si>
    <t>% Impact by Rate Class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</si>
  <si>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</si>
  <si>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</si>
  <si>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</si>
  <si>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</si>
  <si>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</si>
  <si>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</si>
  <si>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</si>
  <si>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</si>
  <si>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</si>
  <si>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</si>
  <si>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</si>
  <si>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</si>
  <si>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</si>
  <si>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Total % Impact to Billed Revenue</t>
  </si>
  <si>
    <t>Idaho Jurisdictional Sales</t>
  </si>
  <si>
    <t>Idaho Power Company</t>
  </si>
  <si>
    <t>Calculation of Revenue Impact 2022</t>
  </si>
  <si>
    <t xml:space="preserve">State of Idaho </t>
  </si>
  <si>
    <t>Power Cost Adjustment</t>
  </si>
  <si>
    <t>Filed April 15, 2022</t>
  </si>
  <si>
    <t xml:space="preserve"> </t>
  </si>
  <si>
    <t>Summary of Revenue Impact</t>
  </si>
  <si>
    <t>Current Billed Revenue to Proposed Billed Revenue</t>
  </si>
  <si>
    <t>Total</t>
  </si>
  <si>
    <t>Percent</t>
  </si>
  <si>
    <t>Rate</t>
  </si>
  <si>
    <t>Average</t>
  </si>
  <si>
    <t>Normalized</t>
  </si>
  <si>
    <t>Current</t>
  </si>
  <si>
    <t>Adjustments</t>
  </si>
  <si>
    <t>Proposed</t>
  </si>
  <si>
    <t>Change</t>
  </si>
  <si>
    <t>Line</t>
  </si>
  <si>
    <t>Sch.</t>
  </si>
  <si>
    <t>Number of</t>
  </si>
  <si>
    <t xml:space="preserve">Energy </t>
  </si>
  <si>
    <t>Billed</t>
  </si>
  <si>
    <t>Mills</t>
  </si>
  <si>
    <t>to Billed</t>
  </si>
  <si>
    <t>Total Billed</t>
  </si>
  <si>
    <r>
      <t xml:space="preserve">Billed to Billed </t>
    </r>
    <r>
      <rPr>
        <vertAlign val="superscript"/>
        <sz val="10"/>
        <rFont val="Arial"/>
        <family val="2"/>
      </rPr>
      <t>(2)</t>
    </r>
  </si>
  <si>
    <t>No</t>
  </si>
  <si>
    <t>Tariff Description</t>
  </si>
  <si>
    <t>No.</t>
  </si>
  <si>
    <r>
      <t xml:space="preserve">Customers </t>
    </r>
    <r>
      <rPr>
        <u/>
        <vertAlign val="superscript"/>
        <sz val="10"/>
        <rFont val="Arial"/>
        <family val="2"/>
      </rPr>
      <t>(1)</t>
    </r>
  </si>
  <si>
    <r>
      <t xml:space="preserve">(kWh) </t>
    </r>
    <r>
      <rPr>
        <u/>
        <vertAlign val="superscript"/>
        <sz val="10"/>
        <rFont val="Arial"/>
        <family val="2"/>
      </rPr>
      <t>(1)</t>
    </r>
  </si>
  <si>
    <t>Revenue</t>
  </si>
  <si>
    <t>Per kWh</t>
  </si>
  <si>
    <t>Uniform Tariff Rates:</t>
  </si>
  <si>
    <t>Residential Service</t>
  </si>
  <si>
    <t>Master Metered Mobile Home Park</t>
  </si>
  <si>
    <t>Residential Service Energy Watch</t>
  </si>
  <si>
    <t>Residential Service Time-of-Day</t>
  </si>
  <si>
    <t>Residential Service On-Site Generation</t>
  </si>
  <si>
    <t>Small General Service</t>
  </si>
  <si>
    <t>Small General Service On-Site Generation</t>
  </si>
  <si>
    <t xml:space="preserve">Large General Service </t>
  </si>
  <si>
    <t>Dusk to Dawn Lighting</t>
  </si>
  <si>
    <t>Large Power Service</t>
  </si>
  <si>
    <t>Agricultural Irrigation Service</t>
  </si>
  <si>
    <t>Unmetered General Service</t>
  </si>
  <si>
    <t>Street Lighting</t>
  </si>
  <si>
    <t>Traffic Control Lighting</t>
  </si>
  <si>
    <t>Total Uniform Tariffs</t>
  </si>
  <si>
    <t>Total Special Contracts</t>
  </si>
  <si>
    <t xml:space="preserve">Total Idaho Retail Sales </t>
  </si>
  <si>
    <t>Hoku - Block 1 Energy</t>
  </si>
  <si>
    <t>(1) June 01, 2022 - May 31, 2023 Forecasted Test Year (Spring 2022 Forecast)</t>
  </si>
  <si>
    <t>(2) Percentage impact does not include components which are applied as percentages, Riders and Franchise Fees.</t>
  </si>
  <si>
    <t>Summary of Revenue Impact - Rates 9, 19, and 24 Distribution Level Detail</t>
  </si>
  <si>
    <t>Large General Secondary</t>
  </si>
  <si>
    <t>9S</t>
  </si>
  <si>
    <t>Large General Primary</t>
  </si>
  <si>
    <t>9P</t>
  </si>
  <si>
    <t>Large General Transmission</t>
  </si>
  <si>
    <t>9T</t>
  </si>
  <si>
    <t>Total Schedule 9</t>
  </si>
  <si>
    <t>Large Power Secondary</t>
  </si>
  <si>
    <t>19S</t>
  </si>
  <si>
    <t>Large Power Primary</t>
  </si>
  <si>
    <t>19P</t>
  </si>
  <si>
    <t>Large Power Transmission</t>
  </si>
  <si>
    <t>19T</t>
  </si>
  <si>
    <t>Total Schedule 19</t>
  </si>
  <si>
    <t>Irrigation Secondary</t>
  </si>
  <si>
    <t>24S</t>
  </si>
  <si>
    <t>Irrigation Transmission</t>
  </si>
  <si>
    <t>24T</t>
  </si>
  <si>
    <t>Total Schedule 24</t>
  </si>
  <si>
    <t>PCA CALCULATIONS</t>
  </si>
  <si>
    <t>= Cells with Inputs</t>
  </si>
  <si>
    <t>Base</t>
  </si>
  <si>
    <t>Forecast</t>
  </si>
  <si>
    <t>Tariff Calculation</t>
  </si>
  <si>
    <t>Coal</t>
  </si>
  <si>
    <t>(cents per kWh)</t>
  </si>
  <si>
    <t>Water for Power</t>
  </si>
  <si>
    <t>BASE 1</t>
  </si>
  <si>
    <t>Forecast - Base</t>
  </si>
  <si>
    <t>95% Split</t>
  </si>
  <si>
    <t>Gas</t>
  </si>
  <si>
    <t xml:space="preserve">Base </t>
  </si>
  <si>
    <t>Non-PURPA</t>
  </si>
  <si>
    <t>3rd Party Transmission</t>
  </si>
  <si>
    <t>Surplus Sales</t>
  </si>
  <si>
    <t>BASE 2</t>
  </si>
  <si>
    <t>Net 95% accounts</t>
  </si>
  <si>
    <t>difference of Net 95 % accounts</t>
  </si>
  <si>
    <t>BASE 3</t>
  </si>
  <si>
    <t>Net 95% rate</t>
  </si>
  <si>
    <t>PURPA</t>
  </si>
  <si>
    <t>Net 100% accounts</t>
  </si>
  <si>
    <t>difference of 100% account</t>
  </si>
  <si>
    <t>Recoverable Portion PCA Forecast (Idaho)</t>
  </si>
  <si>
    <t>95% Accounts</t>
  </si>
  <si>
    <t>Net 100% rate</t>
  </si>
  <si>
    <t>Demand Response</t>
  </si>
  <si>
    <t>Demand Response Incentive</t>
  </si>
  <si>
    <t>TOTAL NPSE</t>
  </si>
  <si>
    <t xml:space="preserve">                              </t>
  </si>
  <si>
    <t>System Sales</t>
  </si>
  <si>
    <t>Idaho Percentage</t>
  </si>
  <si>
    <t>Incremental % Change from Filed</t>
  </si>
  <si>
    <t>n/a</t>
  </si>
  <si>
    <t>PCA</t>
  </si>
  <si>
    <t>ELAP</t>
  </si>
  <si>
    <t>Real Time - Flat</t>
  </si>
  <si>
    <t>Real Time - Time Variant</t>
  </si>
  <si>
    <t>2022 PCA Revenue Impact with ECRs</t>
  </si>
  <si>
    <t xml:space="preserve">Appendix 8.3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</si>
</sst>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0.000000"/>
    <numFmt numFmtId="168" formatCode="0.00000"/>
    <numFmt numFmtId="169" formatCode="0.000"/>
    <numFmt numFmtId="170" formatCode="_(&quot;$&quot;* #,##0.0000_);_(&quot;$&quot;* \(#,##0.0000\);_(&quot;$&quot;* &quot;-&quot;??_);_(@_)"/>
    <numFmt numFmtId="171" formatCode="_(* #,##0.000000_);_(* \(#,##0.000000\);_(* &quot;-&quot;??_);_(@_)"/>
    <numFmt numFmtId="172" formatCode="_(&quot;$&quot;* #,##0.000000_);_(&quot;$&quot;* \(#,##0.000000\);_(&quot;$&quot;* &quot;-&quot;??_);_(@_)"/>
    <numFmt numFmtId="173" formatCode="0.0000000%"/>
    <numFmt numFmtId="174" formatCode="m/d/yy"/>
    <numFmt numFmtId="175" formatCode="0.00%_);\(0.00\)%"/>
    <numFmt numFmtId="176" formatCode="mm/dd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Helv"/>
    </font>
    <font>
      <vertAlign val="superscript"/>
      <sz val="10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0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0" xfId="0" quotePrefix="1" applyFill="1"/>
    <xf numFmtId="0" fontId="0" fillId="2" borderId="0" xfId="0" applyFill="1"/>
    <xf numFmtId="0" fontId="0" fillId="0" borderId="0" xfId="0" quotePrefix="1"/>
    <xf numFmtId="0" fontId="0" fillId="0" borderId="3" xfId="0" applyBorder="1"/>
    <xf numFmtId="0" fontId="0" fillId="0" borderId="5" xfId="0" applyBorder="1"/>
    <xf numFmtId="164" fontId="0" fillId="3" borderId="0" xfId="2" applyNumberFormat="1" applyFont="1" applyFill="1" applyBorder="1"/>
    <xf numFmtId="164" fontId="0" fillId="2" borderId="6" xfId="2" applyNumberFormat="1" applyFont="1" applyFill="1" applyBorder="1"/>
    <xf numFmtId="164" fontId="0" fillId="0" borderId="0" xfId="2" applyNumberFormat="1" applyFont="1"/>
    <xf numFmtId="165" fontId="0" fillId="0" borderId="0" xfId="1" applyNumberFormat="1" applyFont="1"/>
    <xf numFmtId="165" fontId="0" fillId="3" borderId="0" xfId="1" applyNumberFormat="1" applyFont="1" applyFill="1" applyBorder="1"/>
    <xf numFmtId="165" fontId="0" fillId="2" borderId="6" xfId="1" applyNumberFormat="1" applyFont="1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6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8" xfId="0" applyBorder="1"/>
    <xf numFmtId="165" fontId="0" fillId="3" borderId="7" xfId="1" applyNumberFormat="1" applyFont="1" applyFill="1" applyBorder="1"/>
    <xf numFmtId="165" fontId="0" fillId="2" borderId="9" xfId="1" applyNumberFormat="1" applyFont="1" applyFill="1" applyBorder="1"/>
    <xf numFmtId="164" fontId="0" fillId="0" borderId="0" xfId="2" applyNumberFormat="1" applyFont="1" applyFill="1" applyBorder="1"/>
    <xf numFmtId="164" fontId="0" fillId="0" borderId="6" xfId="2" applyNumberFormat="1" applyFont="1" applyBorder="1"/>
    <xf numFmtId="0" fontId="0" fillId="0" borderId="6" xfId="0" applyBorder="1"/>
    <xf numFmtId="164" fontId="0" fillId="5" borderId="0" xfId="0" applyNumberFormat="1" applyFill="1"/>
    <xf numFmtId="164" fontId="0" fillId="0" borderId="0" xfId="0" applyNumberFormat="1"/>
    <xf numFmtId="0" fontId="0" fillId="0" borderId="10" xfId="0" applyBorder="1"/>
    <xf numFmtId="166" fontId="0" fillId="0" borderId="11" xfId="0" applyNumberFormat="1" applyBorder="1"/>
    <xf numFmtId="0" fontId="0" fillId="0" borderId="11" xfId="0" applyBorder="1"/>
    <xf numFmtId="0" fontId="0" fillId="0" borderId="12" xfId="0" applyBorder="1"/>
    <xf numFmtId="166" fontId="2" fillId="0" borderId="13" xfId="0" applyNumberFormat="1" applyFont="1" applyBorder="1"/>
    <xf numFmtId="168" fontId="2" fillId="0" borderId="13" xfId="0" applyNumberFormat="1" applyFont="1" applyBorder="1"/>
    <xf numFmtId="0" fontId="0" fillId="0" borderId="14" xfId="0" applyBorder="1"/>
    <xf numFmtId="164" fontId="0" fillId="3" borderId="15" xfId="2" applyNumberFormat="1" applyFont="1" applyFill="1" applyBorder="1"/>
    <xf numFmtId="0" fontId="0" fillId="0" borderId="15" xfId="0" applyBorder="1"/>
    <xf numFmtId="164" fontId="0" fillId="2" borderId="16" xfId="2" applyNumberFormat="1" applyFont="1" applyFill="1" applyBorder="1"/>
    <xf numFmtId="164" fontId="0" fillId="0" borderId="0" xfId="2" applyNumberFormat="1" applyFont="1" applyBorder="1"/>
    <xf numFmtId="169" fontId="0" fillId="0" borderId="0" xfId="0" applyNumberFormat="1"/>
    <xf numFmtId="164" fontId="0" fillId="5" borderId="0" xfId="2" applyNumberFormat="1" applyFont="1" applyFill="1" applyBorder="1"/>
    <xf numFmtId="164" fontId="0" fillId="0" borderId="7" xfId="0" applyNumberFormat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0" borderId="12" xfId="2" applyNumberFormat="1" applyFont="1" applyBorder="1"/>
    <xf numFmtId="165" fontId="0" fillId="5" borderId="0" xfId="1" applyNumberFormat="1" applyFont="1" applyFill="1"/>
    <xf numFmtId="44" fontId="0" fillId="0" borderId="0" xfId="0" applyNumberFormat="1"/>
    <xf numFmtId="165" fontId="0" fillId="5" borderId="7" xfId="1" applyNumberFormat="1" applyFont="1" applyFill="1" applyBorder="1"/>
    <xf numFmtId="164" fontId="2" fillId="6" borderId="0" xfId="0" applyNumberFormat="1" applyFont="1" applyFill="1"/>
    <xf numFmtId="44" fontId="0" fillId="0" borderId="0" xfId="0" applyNumberFormat="1" applyAlignment="1">
      <alignment horizontal="center"/>
    </xf>
    <xf numFmtId="164" fontId="2" fillId="0" borderId="0" xfId="2" applyNumberFormat="1" applyFont="1" applyBorder="1"/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7" borderId="0" xfId="0" applyFill="1" applyAlignment="1">
      <alignment horizontal="right" indent="1"/>
    </xf>
    <xf numFmtId="164" fontId="0" fillId="7" borderId="0" xfId="2" applyNumberFormat="1" applyFont="1" applyFill="1" applyBorder="1"/>
    <xf numFmtId="0" fontId="0" fillId="0" borderId="0" xfId="0" applyAlignment="1">
      <alignment horizontal="right" indent="1"/>
    </xf>
    <xf numFmtId="0" fontId="2" fillId="0" borderId="17" xfId="0" applyFont="1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2" fillId="0" borderId="10" xfId="0" applyFont="1" applyBorder="1"/>
    <xf numFmtId="168" fontId="2" fillId="0" borderId="20" xfId="0" applyNumberFormat="1" applyFont="1" applyBorder="1"/>
    <xf numFmtId="171" fontId="0" fillId="0" borderId="0" xfId="1" applyNumberFormat="1" applyFont="1" applyBorder="1"/>
    <xf numFmtId="0" fontId="2" fillId="0" borderId="0" xfId="0" applyFont="1"/>
    <xf numFmtId="166" fontId="2" fillId="0" borderId="0" xfId="0" applyNumberFormat="1" applyFont="1"/>
    <xf numFmtId="172" fontId="2" fillId="0" borderId="0" xfId="2" applyNumberFormat="1" applyFont="1" applyFill="1" applyBorder="1"/>
    <xf numFmtId="164" fontId="0" fillId="2" borderId="0" xfId="2" applyNumberFormat="1" applyFont="1" applyFill="1" applyBorder="1"/>
    <xf numFmtId="166" fontId="2" fillId="0" borderId="20" xfId="0" applyNumberFormat="1" applyFont="1" applyBorder="1"/>
    <xf numFmtId="44" fontId="0" fillId="2" borderId="0" xfId="2" applyFont="1" applyFill="1" applyBorder="1"/>
    <xf numFmtId="166" fontId="2" fillId="8" borderId="20" xfId="0" applyNumberFormat="1" applyFont="1" applyFill="1" applyBorder="1"/>
    <xf numFmtId="37" fontId="2" fillId="2" borderId="0" xfId="2" applyNumberFormat="1" applyFont="1" applyFill="1"/>
    <xf numFmtId="173" fontId="2" fillId="0" borderId="19" xfId="3" applyNumberFormat="1" applyFont="1" applyBorder="1" applyAlignment="1">
      <alignment horizontal="center"/>
    </xf>
    <xf numFmtId="10" fontId="0" fillId="0" borderId="20" xfId="3" applyNumberFormat="1" applyFont="1" applyBorder="1"/>
    <xf numFmtId="170" fontId="0" fillId="0" borderId="0" xfId="0" applyNumberFormat="1"/>
    <xf numFmtId="0" fontId="3" fillId="0" borderId="0" xfId="4"/>
    <xf numFmtId="40" fontId="5" fillId="0" borderId="23" xfId="5" applyFont="1" applyFill="1" applyBorder="1"/>
    <xf numFmtId="40" fontId="5" fillId="0" borderId="24" xfId="5" applyFont="1" applyFill="1" applyBorder="1" applyAlignment="1">
      <alignment horizontal="center" wrapText="1"/>
    </xf>
    <xf numFmtId="40" fontId="5" fillId="0" borderId="0" xfId="5" applyFont="1" applyFill="1" applyBorder="1"/>
    <xf numFmtId="40" fontId="5" fillId="0" borderId="0" xfId="5" applyFont="1" applyFill="1" applyBorder="1" applyAlignment="1">
      <alignment horizontal="center" wrapText="1"/>
    </xf>
    <xf numFmtId="0" fontId="2" fillId="0" borderId="7" xfId="0" applyFont="1" applyBorder="1"/>
    <xf numFmtId="0" fontId="0" fillId="0" borderId="0" xfId="0" applyAlignment="1">
      <alignment horizontal="left" indent="2"/>
    </xf>
    <xf numFmtId="0" fontId="2" fillId="0" borderId="21" xfId="0" applyFont="1" applyBorder="1"/>
    <xf numFmtId="44" fontId="0" fillId="0" borderId="0" xfId="2" applyFont="1"/>
    <xf numFmtId="0" fontId="2" fillId="0" borderId="7" xfId="0" applyFont="1" applyBorder="1" applyAlignment="1">
      <alignment horizontal="center"/>
    </xf>
    <xf numFmtId="0" fontId="5" fillId="0" borderId="0" xfId="6" applyFont="1"/>
    <xf numFmtId="0" fontId="3" fillId="0" borderId="0" xfId="6" applyFont="1"/>
    <xf numFmtId="39" fontId="3" fillId="0" borderId="0" xfId="6" applyNumberFormat="1" applyFont="1" applyAlignment="1">
      <alignment horizontal="center"/>
    </xf>
    <xf numFmtId="37" fontId="3" fillId="0" borderId="0" xfId="6" applyNumberFormat="1" applyFont="1" applyAlignment="1" applyProtection="1">
      <alignment horizontal="center"/>
      <protection locked="0"/>
    </xf>
    <xf numFmtId="0" fontId="3" fillId="0" borderId="0" xfId="6" applyFont="1" applyAlignment="1">
      <alignment horizontal="center"/>
    </xf>
    <xf numFmtId="174" fontId="3" fillId="0" borderId="0" xfId="6" applyNumberFormat="1" applyFont="1" applyAlignment="1" applyProtection="1">
      <alignment horizontal="center"/>
      <protection locked="0"/>
    </xf>
    <xf numFmtId="175" fontId="3" fillId="0" borderId="0" xfId="6" applyNumberFormat="1" applyFont="1" applyAlignment="1" applyProtection="1">
      <alignment horizontal="center"/>
      <protection locked="0"/>
    </xf>
    <xf numFmtId="39" fontId="3" fillId="0" borderId="0" xfId="6" applyNumberFormat="1" applyFont="1" applyAlignment="1" applyProtection="1">
      <alignment horizontal="center"/>
      <protection locked="0"/>
    </xf>
    <xf numFmtId="1" fontId="3" fillId="0" borderId="0" xfId="6" applyNumberFormat="1" applyFont="1" applyAlignment="1" applyProtection="1">
      <alignment horizontal="center"/>
      <protection locked="0"/>
    </xf>
    <xf numFmtId="39" fontId="8" fillId="0" borderId="0" xfId="6" applyNumberFormat="1" applyFont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center"/>
      <protection locked="0"/>
    </xf>
    <xf numFmtId="37" fontId="8" fillId="0" borderId="0" xfId="6" applyNumberFormat="1" applyFont="1" applyAlignment="1" applyProtection="1">
      <alignment horizontal="center"/>
      <protection locked="0"/>
    </xf>
    <xf numFmtId="0" fontId="8" fillId="0" borderId="0" xfId="6" applyFont="1" applyAlignment="1">
      <alignment horizontal="center"/>
    </xf>
    <xf numFmtId="39" fontId="3" fillId="0" borderId="0" xfId="6" applyNumberFormat="1" applyFont="1"/>
    <xf numFmtId="1" fontId="8" fillId="0" borderId="0" xfId="6" applyNumberFormat="1" applyFont="1" applyAlignment="1" applyProtection="1">
      <alignment horizontal="left"/>
      <protection locked="0"/>
    </xf>
    <xf numFmtId="39" fontId="3" fillId="0" borderId="0" xfId="6" applyNumberFormat="1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6" applyNumberFormat="1" applyFont="1" applyAlignment="1" applyProtection="1">
      <alignment horizontal="left"/>
      <protection locked="0"/>
    </xf>
    <xf numFmtId="37" fontId="3" fillId="0" borderId="0" xfId="6" applyNumberFormat="1" applyFont="1"/>
    <xf numFmtId="5" fontId="3" fillId="0" borderId="0" xfId="6" applyNumberFormat="1" applyFont="1" applyProtection="1">
      <protection locked="0"/>
    </xf>
    <xf numFmtId="2" fontId="3" fillId="0" borderId="0" xfId="6" applyNumberFormat="1" applyFont="1" applyAlignment="1" applyProtection="1">
      <alignment horizontal="center"/>
      <protection locked="0"/>
    </xf>
    <xf numFmtId="1" fontId="3" fillId="0" borderId="0" xfId="6" applyNumberFormat="1" applyFont="1" applyProtection="1">
      <protection locked="0"/>
    </xf>
    <xf numFmtId="37" fontId="3" fillId="0" borderId="7" xfId="6" applyNumberFormat="1" applyFont="1" applyBorder="1"/>
    <xf numFmtId="5" fontId="3" fillId="0" borderId="7" xfId="6" applyNumberFormat="1" applyFont="1" applyBorder="1" applyProtection="1">
      <protection locked="0"/>
    </xf>
    <xf numFmtId="2" fontId="3" fillId="0" borderId="7" xfId="6" applyNumberFormat="1" applyFont="1" applyBorder="1" applyAlignment="1" applyProtection="1">
      <alignment horizontal="center"/>
      <protection locked="0"/>
    </xf>
    <xf numFmtId="175" fontId="3" fillId="0" borderId="7" xfId="6" applyNumberFormat="1" applyFont="1" applyBorder="1" applyAlignment="1" applyProtection="1">
      <alignment horizontal="center"/>
      <protection locked="0"/>
    </xf>
    <xf numFmtId="1" fontId="3" fillId="0" borderId="0" xfId="6" applyNumberFormat="1" applyFont="1" applyAlignment="1">
      <alignment horizontal="center"/>
    </xf>
    <xf numFmtId="37" fontId="3" fillId="0" borderId="0" xfId="6" applyNumberFormat="1" applyFont="1" applyProtection="1">
      <protection locked="0"/>
    </xf>
    <xf numFmtId="2" fontId="3" fillId="0" borderId="0" xfId="6" applyNumberFormat="1" applyFont="1" applyAlignment="1">
      <alignment horizontal="center"/>
    </xf>
    <xf numFmtId="1" fontId="5" fillId="0" borderId="0" xfId="6" applyNumberFormat="1" applyFont="1" applyAlignment="1" applyProtection="1">
      <alignment horizontal="left"/>
      <protection locked="0"/>
    </xf>
    <xf numFmtId="1" fontId="5" fillId="0" borderId="0" xfId="6" applyNumberFormat="1" applyFont="1" applyAlignment="1" applyProtection="1">
      <alignment horizontal="center"/>
      <protection locked="0"/>
    </xf>
    <xf numFmtId="37" fontId="5" fillId="0" borderId="13" xfId="6" applyNumberFormat="1" applyFont="1" applyBorder="1"/>
    <xf numFmtId="5" fontId="5" fillId="0" borderId="13" xfId="6" applyNumberFormat="1" applyFont="1" applyBorder="1" applyProtection="1">
      <protection locked="0"/>
    </xf>
    <xf numFmtId="2" fontId="5" fillId="0" borderId="13" xfId="6" applyNumberFormat="1" applyFont="1" applyBorder="1" applyAlignment="1" applyProtection="1">
      <alignment horizontal="center"/>
      <protection locked="0"/>
    </xf>
    <xf numFmtId="175" fontId="5" fillId="0" borderId="13" xfId="6" applyNumberFormat="1" applyFont="1" applyBorder="1" applyAlignment="1" applyProtection="1">
      <alignment horizontal="center"/>
      <protection locked="0"/>
    </xf>
    <xf numFmtId="1" fontId="5" fillId="0" borderId="0" xfId="6" applyNumberFormat="1" applyFont="1" applyAlignment="1">
      <alignment horizontal="center"/>
    </xf>
    <xf numFmtId="37" fontId="5" fillId="0" borderId="0" xfId="6" applyNumberFormat="1" applyFont="1"/>
    <xf numFmtId="37" fontId="3" fillId="0" borderId="0" xfId="6" applyNumberFormat="1" applyFont="1" applyAlignment="1">
      <alignment horizontal="center"/>
    </xf>
    <xf numFmtId="0" fontId="3" fillId="0" borderId="0" xfId="6" applyFont="1" applyAlignment="1">
      <alignment horizontal="left"/>
    </xf>
    <xf numFmtId="176" fontId="3" fillId="0" borderId="0" xfId="6" applyNumberFormat="1" applyFont="1" applyAlignment="1" applyProtection="1">
      <alignment horizontal="center"/>
      <protection locked="0"/>
    </xf>
    <xf numFmtId="1" fontId="3" fillId="0" borderId="0" xfId="6" quotePrefix="1" applyNumberFormat="1" applyFont="1" applyAlignment="1" applyProtection="1">
      <alignment horizontal="center"/>
      <protection locked="0"/>
    </xf>
    <xf numFmtId="0" fontId="0" fillId="0" borderId="23" xfId="0" applyBorder="1"/>
    <xf numFmtId="44" fontId="0" fillId="0" borderId="23" xfId="2" applyFont="1" applyFill="1" applyBorder="1"/>
    <xf numFmtId="10" fontId="0" fillId="9" borderId="23" xfId="0" applyNumberFormat="1" applyFill="1" applyBorder="1"/>
    <xf numFmtId="0" fontId="2" fillId="9" borderId="23" xfId="0" applyFont="1" applyFill="1" applyBorder="1" applyAlignment="1">
      <alignment wrapText="1"/>
    </xf>
    <xf numFmtId="0" fontId="2" fillId="10" borderId="23" xfId="0" applyFont="1" applyFill="1" applyBorder="1"/>
    <xf numFmtId="0" fontId="10" fillId="10" borderId="23" xfId="7" applyFill="1" applyBorder="1" applyAlignment="1">
      <alignment horizontal="center"/>
    </xf>
    <xf numFmtId="10" fontId="0" fillId="9" borderId="23" xfId="0" applyNumberFormat="1" applyFill="1" applyBorder="1" applyAlignment="1">
      <alignment horizontal="right"/>
    </xf>
    <xf numFmtId="40" fontId="5" fillId="0" borderId="21" xfId="5" applyFont="1" applyFill="1" applyBorder="1" applyAlignment="1">
      <alignment horizontal="center"/>
    </xf>
    <xf numFmtId="40" fontId="5" fillId="0" borderId="15" xfId="5" applyFont="1" applyFill="1" applyBorder="1" applyAlignment="1">
      <alignment horizontal="center"/>
    </xf>
    <xf numFmtId="40" fontId="5" fillId="0" borderId="22" xfId="5" applyFont="1" applyFill="1" applyBorder="1" applyAlignment="1">
      <alignment horizontal="center"/>
    </xf>
    <xf numFmtId="0" fontId="5" fillId="0" borderId="0" xfId="6" applyFont="1" applyAlignment="1">
      <alignment horizontal="center"/>
    </xf>
    <xf numFmtId="0" fontId="0" fillId="0" borderId="0" xfId="0" applyAlignment="1">
      <alignment horizontal="center" wrapText="1"/>
    </xf>
    <xf numFmtId="166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" xfId="1" builtinId="3"/>
    <cellStyle name="Comma_Sheet1" xfId="5" xr:uid="{CAC1E33D-6372-4EE6-8E17-6074264A6C0C}"/>
    <cellStyle name="Currency" xfId="2" builtinId="4"/>
    <cellStyle name="Hyperlink" xfId="7" builtinId="8"/>
    <cellStyle name="Normal" xfId="0" builtinId="0"/>
    <cellStyle name="Normal 10" xfId="4" xr:uid="{340D8CAD-DA2F-48F3-B7FB-CAC829852FDB}"/>
    <cellStyle name="Normal 2" xfId="6" xr:uid="{4E66D949-10AD-48AF-A2A2-AAE41708EBE4}"/>
    <cellStyle name="Percent" xfId="3" builtinId="5"/>
  </cellStyles>
  <dxfs count="1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venue%20Calculations\Idaho\Compliance%20Filings\Effective%202022\02.%20RevCalc%20-%20Idaho%20-%20PCA%20Effective%20June%2001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ployees\Thompson\RevCalc\PCA\05.%20RevCalc%20-%20Idaho%20-%20PCA%20ECR%20Exerc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Trackers"/>
      <sheetName val="Exhibit - Billed"/>
      <sheetName val="Test Year"/>
      <sheetName val="Rate Adjustments"/>
      <sheetName val="Sum Check"/>
      <sheetName val="Headers-Footers-Notes"/>
      <sheetName val="Data Input"/>
      <sheetName val="FCA Calc OLD"/>
      <sheetName val="FCA Rate Calc"/>
      <sheetName val="Summary - FCA"/>
      <sheetName val="Ongoing Rider Transfer 2017"/>
      <sheetName val="Rev + Rider Transfer Rates 2015"/>
      <sheetName val="Adjustments"/>
      <sheetName val="Tax Reform Sharing (OATT) 2019"/>
      <sheetName val="Revenue Sharing 2022"/>
      <sheetName val="OATT + Rev Share + PCA 2019"/>
      <sheetName val="Total Summary Impact"/>
      <sheetName val="Total Summary Impact Tim"/>
      <sheetName val="Table for Tim"/>
      <sheetName val="Impact Template"/>
      <sheetName val="Typical Residential"/>
      <sheetName val="Complete Combo Impact"/>
      <sheetName val="Complete Combo Impact Template"/>
      <sheetName val="Exhibit - Base"/>
      <sheetName val="Summary - Billed"/>
      <sheetName val="Summary - Base"/>
      <sheetName val="Rate Export"/>
      <sheetName val="Rates to Jim"/>
      <sheetName val="I01"/>
      <sheetName val="I03"/>
      <sheetName val="I04"/>
      <sheetName val="I05"/>
      <sheetName val="I06"/>
      <sheetName val="I07"/>
      <sheetName val="I08"/>
      <sheetName val="I09S"/>
      <sheetName val="I09P"/>
      <sheetName val="I09T"/>
      <sheetName val="I15"/>
      <sheetName val="I19S"/>
      <sheetName val="I19P"/>
      <sheetName val="I19T"/>
      <sheetName val="I24S"/>
      <sheetName val="I24T"/>
      <sheetName val="I40"/>
      <sheetName val="I41"/>
      <sheetName val="I42"/>
      <sheetName val="I26"/>
      <sheetName val="I29"/>
      <sheetName val="I30"/>
      <sheetName val="I32"/>
      <sheetName val="Brad S. Energy"/>
      <sheetName val="Brad S. Demand"/>
      <sheetName val="Brad S. CHECK"/>
      <sheetName val="Idaho - PCA"/>
      <sheetName val="for Aclara"/>
    </sheetNames>
    <sheetDataSet>
      <sheetData sheetId="0"/>
      <sheetData sheetId="1">
        <row r="3">
          <cell r="F3">
            <v>2008</v>
          </cell>
        </row>
        <row r="4">
          <cell r="F4">
            <v>2009</v>
          </cell>
        </row>
        <row r="5">
          <cell r="F5">
            <v>2010</v>
          </cell>
        </row>
        <row r="6">
          <cell r="F6">
            <v>2011</v>
          </cell>
        </row>
        <row r="7">
          <cell r="F7">
            <v>2012</v>
          </cell>
        </row>
        <row r="8">
          <cell r="F8">
            <v>2013</v>
          </cell>
        </row>
        <row r="9">
          <cell r="F9">
            <v>2014</v>
          </cell>
        </row>
        <row r="10">
          <cell r="F10">
            <v>2015</v>
          </cell>
        </row>
        <row r="11">
          <cell r="F11">
            <v>2016</v>
          </cell>
        </row>
        <row r="12">
          <cell r="F12">
            <v>2017</v>
          </cell>
        </row>
        <row r="13">
          <cell r="F13">
            <v>2018</v>
          </cell>
        </row>
        <row r="14">
          <cell r="F14">
            <v>2019</v>
          </cell>
        </row>
        <row r="15">
          <cell r="F15" t="str">
            <v>1.1.20</v>
          </cell>
        </row>
        <row r="16">
          <cell r="F16">
            <v>2020</v>
          </cell>
        </row>
        <row r="17">
          <cell r="F17">
            <v>44197</v>
          </cell>
        </row>
        <row r="18">
          <cell r="F18">
            <v>44348</v>
          </cell>
        </row>
        <row r="19">
          <cell r="F19">
            <v>44713</v>
          </cell>
        </row>
        <row r="20">
          <cell r="F20">
            <v>2023</v>
          </cell>
        </row>
        <row r="21">
          <cell r="F21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Trackers"/>
      <sheetName val="Exhibit - Billed"/>
      <sheetName val="Test Year"/>
      <sheetName val="Rate Adjustments"/>
      <sheetName val="Sum Check"/>
      <sheetName val="Headers-Footers-Notes"/>
      <sheetName val="Data Input"/>
      <sheetName val="FCA Calc OLD"/>
      <sheetName val="FCA Rate Calc"/>
      <sheetName val="Summary - FCA"/>
      <sheetName val="Ongoing Rider Transfer 2017"/>
      <sheetName val="Rev + Rider Transfer Rates 2015"/>
      <sheetName val="Adjustments"/>
      <sheetName val="Tax Reform Sharing (OATT) 2019"/>
      <sheetName val="Revenue Sharing 2022"/>
      <sheetName val="OATT + Rev Share + PCA 2019"/>
      <sheetName val="Total Summary Impact"/>
      <sheetName val="Total Summary Impact Tim"/>
      <sheetName val="Table for Tim"/>
      <sheetName val="Impact Template"/>
      <sheetName val="Typical Residential"/>
      <sheetName val="Complete Combo Impact"/>
      <sheetName val="Complete Combo Impact Template"/>
      <sheetName val="Exhibit - Base"/>
      <sheetName val="Summary - Billed"/>
      <sheetName val="Summary - Base"/>
      <sheetName val="Rate Export"/>
      <sheetName val="Rates to Jim"/>
      <sheetName val="I01"/>
      <sheetName val="I03"/>
      <sheetName val="I04"/>
      <sheetName val="I05"/>
      <sheetName val="I06"/>
      <sheetName val="I07"/>
      <sheetName val="I08"/>
      <sheetName val="I09S"/>
      <sheetName val="I09P"/>
      <sheetName val="I09T"/>
      <sheetName val="I15"/>
      <sheetName val="I19S"/>
      <sheetName val="I19P"/>
      <sheetName val="I19T"/>
      <sheetName val="I24S"/>
      <sheetName val="I24T"/>
      <sheetName val="I40"/>
      <sheetName val="I41"/>
      <sheetName val="I42"/>
      <sheetName val="I26"/>
      <sheetName val="I29"/>
      <sheetName val="I30"/>
      <sheetName val="I32"/>
      <sheetName val="Brad S. Energy"/>
      <sheetName val="Brad S. Demand"/>
      <sheetName val="Brad S. CHECK"/>
      <sheetName val="Idaho - PCA"/>
      <sheetName val="for Aclara"/>
    </sheetNames>
    <sheetDataSet>
      <sheetData sheetId="0"/>
      <sheetData sheetId="1">
        <row r="3">
          <cell r="F3">
            <v>2008</v>
          </cell>
        </row>
        <row r="4">
          <cell r="F4">
            <v>2009</v>
          </cell>
        </row>
        <row r="5">
          <cell r="F5">
            <v>2010</v>
          </cell>
        </row>
        <row r="6">
          <cell r="F6">
            <v>2011</v>
          </cell>
        </row>
        <row r="7">
          <cell r="F7">
            <v>2012</v>
          </cell>
        </row>
        <row r="8">
          <cell r="F8">
            <v>2013</v>
          </cell>
        </row>
        <row r="9">
          <cell r="F9">
            <v>2014</v>
          </cell>
        </row>
        <row r="10">
          <cell r="F10">
            <v>2015</v>
          </cell>
        </row>
        <row r="11">
          <cell r="F11">
            <v>2016</v>
          </cell>
        </row>
        <row r="12">
          <cell r="F12">
            <v>2017</v>
          </cell>
        </row>
        <row r="13">
          <cell r="F13">
            <v>2018</v>
          </cell>
        </row>
        <row r="14">
          <cell r="F14">
            <v>2019</v>
          </cell>
        </row>
        <row r="15">
          <cell r="F15" t="str">
            <v>1.1.20</v>
          </cell>
        </row>
        <row r="16">
          <cell r="F16">
            <v>2020</v>
          </cell>
        </row>
        <row r="17">
          <cell r="F17">
            <v>44197</v>
          </cell>
        </row>
        <row r="18">
          <cell r="F18">
            <v>44348</v>
          </cell>
        </row>
        <row r="19">
          <cell r="F19">
            <v>44713</v>
          </cell>
        </row>
        <row r="20">
          <cell r="F20">
            <v>2023</v>
          </cell>
        </row>
        <row r="21">
          <cell r="F21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3BE7-08DE-4556-9ADC-99E4C98F5971}">
  <sheetPr>
    <pageSetUpPr fitToPage="1"/>
  </sheetPr>
  <dimension ref="A1:N37"/>
  <sheetViews>
    <sheetView showGridLines="0" tabSelected="1" zoomScaleNormal="100" workbookViewId="0"/>
  </sheetViews>
  <sheetFormatPr defaultRowHeight="15" x14ac:dyDescent="0.25"/>
  <cols>
    <col min="1" max="1" width="25" bestFit="1" customWidth="1"/>
    <col min="2" max="2" width="21.85546875" customWidth="1"/>
    <col min="3" max="3" width="19.140625" bestFit="1" customWidth="1"/>
    <col min="4" max="6" width="18.7109375" bestFit="1" customWidth="1"/>
    <col min="7" max="9" width="19.140625" bestFit="1" customWidth="1"/>
    <col min="10" max="10" width="18.7109375" bestFit="1" customWidth="1"/>
    <col min="11" max="11" width="19.140625" bestFit="1" customWidth="1"/>
    <col min="12" max="12" width="18.7109375" bestFit="1" customWidth="1"/>
    <col min="13" max="14" width="19.140625" bestFit="1" customWidth="1"/>
  </cols>
  <sheetData>
    <row r="1" spans="1:14" x14ac:dyDescent="0.25">
      <c r="A1" s="62" t="s">
        <v>147</v>
      </c>
    </row>
    <row r="2" spans="1:14" x14ac:dyDescent="0.25">
      <c r="A2" t="s">
        <v>146</v>
      </c>
    </row>
    <row r="3" spans="1:14" x14ac:dyDescent="0.25"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73"/>
      <c r="B4" s="73"/>
      <c r="C4" s="131" t="s">
        <v>0</v>
      </c>
      <c r="D4" s="132"/>
      <c r="E4" s="133"/>
      <c r="F4" s="131" t="s">
        <v>144</v>
      </c>
      <c r="G4" s="132"/>
      <c r="H4" s="133"/>
      <c r="I4" s="131" t="s">
        <v>1</v>
      </c>
      <c r="J4" s="132"/>
      <c r="K4" s="133"/>
      <c r="L4" s="131" t="s">
        <v>145</v>
      </c>
      <c r="M4" s="132"/>
      <c r="N4" s="133"/>
    </row>
    <row r="5" spans="1:14" x14ac:dyDescent="0.25">
      <c r="B5" s="74" t="s">
        <v>2</v>
      </c>
      <c r="C5" s="75" t="s">
        <v>3</v>
      </c>
      <c r="D5" s="75" t="s">
        <v>4</v>
      </c>
      <c r="E5" s="75" t="s">
        <v>143</v>
      </c>
      <c r="F5" s="75" t="s">
        <v>3</v>
      </c>
      <c r="G5" s="75" t="s">
        <v>4</v>
      </c>
      <c r="H5" s="75" t="s">
        <v>143</v>
      </c>
      <c r="I5" s="75" t="s">
        <v>3</v>
      </c>
      <c r="J5" s="75" t="s">
        <v>4</v>
      </c>
      <c r="K5" s="75" t="s">
        <v>143</v>
      </c>
      <c r="L5" s="75" t="s">
        <v>3</v>
      </c>
      <c r="M5" s="75" t="s">
        <v>4</v>
      </c>
      <c r="N5" s="75" t="s">
        <v>143</v>
      </c>
    </row>
    <row r="6" spans="1:14" x14ac:dyDescent="0.25">
      <c r="A6" s="76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5">
      <c r="A7" s="76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x14ac:dyDescent="0.25">
      <c r="A8" t="s">
        <v>5</v>
      </c>
      <c r="B8">
        <f>'PCA-Original '!D36</f>
        <v>1.1361000000000001</v>
      </c>
      <c r="C8">
        <v>1.1361000000000001</v>
      </c>
      <c r="D8">
        <v>1.1361000000000001</v>
      </c>
      <c r="E8">
        <v>1.1361000000000001</v>
      </c>
      <c r="F8">
        <v>1.1361000000000001</v>
      </c>
      <c r="G8">
        <v>1.1361000000000001</v>
      </c>
      <c r="H8">
        <v>1.1361000000000001</v>
      </c>
      <c r="I8">
        <v>1.1361000000000001</v>
      </c>
      <c r="J8">
        <v>1.1361000000000001</v>
      </c>
      <c r="K8">
        <v>1.1361000000000001</v>
      </c>
      <c r="L8">
        <v>1.1361000000000001</v>
      </c>
      <c r="M8">
        <v>1.1361000000000001</v>
      </c>
      <c r="N8">
        <v>1.1361000000000001</v>
      </c>
    </row>
    <row r="9" spans="1:14" x14ac:dyDescent="0.25">
      <c r="A9" t="s">
        <v>6</v>
      </c>
      <c r="B9">
        <f>'PCA-Original '!D39</f>
        <v>0.25790000000000002</v>
      </c>
      <c r="C9">
        <f>'PCA-Hourly Flat IRP'!D39</f>
        <v>0.25990000000000002</v>
      </c>
      <c r="D9">
        <f>'PCA-Hourly Flat ICE'!D39</f>
        <v>0.26100000000000001</v>
      </c>
      <c r="E9">
        <f>'PCA-Hourly Flat ELAP'!D39</f>
        <v>0.26069999999999999</v>
      </c>
      <c r="F9">
        <f>'PCA-Real Time Flat IRP'!D39</f>
        <v>0.2606</v>
      </c>
      <c r="G9">
        <f>'PCA-Real Time Flat ICE'!D39</f>
        <v>0.26169999999999999</v>
      </c>
      <c r="H9">
        <f>'PCA-Real Time Flat ELAP'!D39</f>
        <v>0.26150000000000001</v>
      </c>
      <c r="I9">
        <f>'PCA-Hourly TV IRP'!D39</f>
        <v>0.26</v>
      </c>
      <c r="J9">
        <f>'PCA-Hourly TV ICE'!D39</f>
        <v>0.2611</v>
      </c>
      <c r="K9" s="16">
        <f>'PCA-Hourly TV ELAP'!D39</f>
        <v>0.26079999999999998</v>
      </c>
      <c r="L9">
        <f>'PCA-Real Time TV IRP'!D39</f>
        <v>0.26050000000000001</v>
      </c>
      <c r="M9">
        <f>'PCA-Real Time TV ICE'!D39</f>
        <v>0.26169999999999999</v>
      </c>
      <c r="N9">
        <f>'PCA-Real Time TV ELAP'!D39</f>
        <v>0.26140000000000002</v>
      </c>
    </row>
    <row r="10" spans="1:14" x14ac:dyDescent="0.25">
      <c r="A10" t="s">
        <v>7</v>
      </c>
      <c r="B10" s="16">
        <f>'PCA-Original '!D42</f>
        <v>1.3939999999999999</v>
      </c>
      <c r="C10">
        <f>'PCA-Hourly Flat IRP'!D42</f>
        <v>1.3959999999999999</v>
      </c>
      <c r="D10">
        <f>'PCA-Hourly Flat ICE'!D42</f>
        <v>1.3971</v>
      </c>
      <c r="E10">
        <f>'PCA-Hourly Flat ELAP'!D42</f>
        <v>1.3968</v>
      </c>
      <c r="F10">
        <f>'PCA-Real Time Flat IRP'!D42</f>
        <v>1.3967000000000001</v>
      </c>
      <c r="G10">
        <f>'PCA-Real Time Flat ICE'!D42</f>
        <v>1.3977999999999999</v>
      </c>
      <c r="H10">
        <f>'PCA-Real Time Flat ELAP'!D42</f>
        <v>1.3976</v>
      </c>
      <c r="I10">
        <f>'PCA-Hourly TV IRP'!D42</f>
        <v>1.3960999999999999</v>
      </c>
      <c r="J10">
        <f>'PCA-Hourly TV ICE'!D42</f>
        <v>1.3972</v>
      </c>
      <c r="K10">
        <f>'PCA-Hourly TV ELAP'!D42</f>
        <v>1.3969</v>
      </c>
      <c r="L10">
        <f>'PCA-Real Time TV IRP'!D42</f>
        <v>1.3966000000000001</v>
      </c>
      <c r="M10">
        <f>'PCA-Real Time TV ICE'!D42</f>
        <v>1.3977999999999999</v>
      </c>
      <c r="N10">
        <f>'PCA-Real Time TV ELAP'!D42</f>
        <v>1.3975</v>
      </c>
    </row>
    <row r="12" spans="1:14" x14ac:dyDescent="0.25">
      <c r="A12" s="78" t="s">
        <v>8</v>
      </c>
      <c r="B12" s="82" t="s">
        <v>9</v>
      </c>
      <c r="C12" s="82" t="s">
        <v>9</v>
      </c>
      <c r="D12" s="82" t="s">
        <v>9</v>
      </c>
      <c r="E12" s="82" t="s">
        <v>9</v>
      </c>
      <c r="F12" s="82" t="s">
        <v>9</v>
      </c>
      <c r="G12" s="82" t="s">
        <v>9</v>
      </c>
      <c r="H12" s="82" t="s">
        <v>9</v>
      </c>
      <c r="I12" s="82" t="s">
        <v>9</v>
      </c>
      <c r="J12" s="82" t="s">
        <v>9</v>
      </c>
      <c r="K12" s="82" t="s">
        <v>9</v>
      </c>
      <c r="L12" s="82" t="s">
        <v>9</v>
      </c>
      <c r="M12" s="82" t="s">
        <v>9</v>
      </c>
      <c r="N12" s="82" t="s">
        <v>9</v>
      </c>
    </row>
    <row r="13" spans="1:14" x14ac:dyDescent="0.25">
      <c r="A13" t="s">
        <v>10</v>
      </c>
      <c r="B13" s="81">
        <v>131825063.40107679</v>
      </c>
      <c r="C13" s="81">
        <v>131825063.40107679</v>
      </c>
      <c r="D13" s="81">
        <v>131825063.40107679</v>
      </c>
      <c r="E13" s="81">
        <v>131825063.40107679</v>
      </c>
      <c r="F13" s="81">
        <v>131825063.40107679</v>
      </c>
      <c r="G13" s="81">
        <v>131825063.40107679</v>
      </c>
      <c r="H13" s="81">
        <v>131825063.40107679</v>
      </c>
      <c r="I13" s="81">
        <v>131825063.40107679</v>
      </c>
      <c r="J13" s="81">
        <v>131825063.40107679</v>
      </c>
      <c r="K13" s="81">
        <v>131825063.40107679</v>
      </c>
      <c r="L13" s="81">
        <v>131825063.40107679</v>
      </c>
      <c r="M13" s="81">
        <v>131825063.40107679</v>
      </c>
      <c r="N13" s="81">
        <v>131825063.40107679</v>
      </c>
    </row>
    <row r="14" spans="1:14" x14ac:dyDescent="0.25">
      <c r="A14" t="s">
        <v>11</v>
      </c>
      <c r="B14" s="81">
        <v>-18320280.618232209</v>
      </c>
      <c r="C14" s="81">
        <v>-18320280.618232209</v>
      </c>
      <c r="D14" s="81">
        <v>-18320280.618232209</v>
      </c>
      <c r="E14" s="81">
        <v>-18320280.618232209</v>
      </c>
      <c r="F14" s="81">
        <v>-18320280.618232209</v>
      </c>
      <c r="G14" s="81">
        <v>-18320280.618232209</v>
      </c>
      <c r="H14" s="81">
        <v>-18320280.618232209</v>
      </c>
      <c r="I14" s="81">
        <v>-18320280.618232209</v>
      </c>
      <c r="J14" s="81">
        <v>-18320280.618232209</v>
      </c>
      <c r="K14" s="81">
        <v>-18320280.618232209</v>
      </c>
      <c r="L14" s="81">
        <v>-18320280.618232209</v>
      </c>
      <c r="M14" s="81">
        <v>-18320280.618232209</v>
      </c>
      <c r="N14" s="81">
        <v>-18320280.618232209</v>
      </c>
    </row>
    <row r="15" spans="1:14" x14ac:dyDescent="0.25">
      <c r="A15" s="79" t="s">
        <v>12</v>
      </c>
      <c r="B15" s="81">
        <v>113504782.78284459</v>
      </c>
      <c r="C15" s="81">
        <v>113504782.78284459</v>
      </c>
      <c r="D15" s="81">
        <v>113504782.78284459</v>
      </c>
      <c r="E15" s="81">
        <v>113504782.78284459</v>
      </c>
      <c r="F15" s="81">
        <v>113504782.78284459</v>
      </c>
      <c r="G15" s="81">
        <v>113504782.78284459</v>
      </c>
      <c r="H15" s="81">
        <v>113504782.78284459</v>
      </c>
      <c r="I15" s="81">
        <v>113504782.78284459</v>
      </c>
      <c r="J15" s="81">
        <v>113504782.78284459</v>
      </c>
      <c r="K15" s="81">
        <v>113504782.78284459</v>
      </c>
      <c r="L15" s="81">
        <v>113504782.78284459</v>
      </c>
      <c r="M15" s="81">
        <v>113504782.78284459</v>
      </c>
      <c r="N15" s="81">
        <v>113504782.78284459</v>
      </c>
    </row>
    <row r="16" spans="1:14" x14ac:dyDescent="0.25">
      <c r="A16" t="s">
        <v>13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</row>
    <row r="17" spans="1:14" x14ac:dyDescent="0.25">
      <c r="A17" s="80" t="s">
        <v>14</v>
      </c>
      <c r="B17" s="81">
        <v>113504782.78284459</v>
      </c>
      <c r="C17" s="81">
        <v>113504782.78284459</v>
      </c>
      <c r="D17" s="81">
        <v>113504782.78284459</v>
      </c>
      <c r="E17" s="81">
        <v>113504782.78284459</v>
      </c>
      <c r="F17" s="81">
        <v>113504782.78284459</v>
      </c>
      <c r="G17" s="81">
        <v>113504782.78284459</v>
      </c>
      <c r="H17" s="81">
        <v>113504782.78284459</v>
      </c>
      <c r="I17" s="81">
        <v>113504782.78284459</v>
      </c>
      <c r="J17" s="81">
        <v>113504782.78284459</v>
      </c>
      <c r="K17" s="81">
        <v>113504782.78284459</v>
      </c>
      <c r="L17" s="81">
        <v>113504782.78284459</v>
      </c>
      <c r="M17" s="81">
        <v>113504782.78284459</v>
      </c>
      <c r="N17" s="81">
        <v>113504782.78284459</v>
      </c>
    </row>
    <row r="19" spans="1:14" x14ac:dyDescent="0.25">
      <c r="A19" s="78" t="s">
        <v>8</v>
      </c>
      <c r="B19" s="82" t="s">
        <v>15</v>
      </c>
      <c r="C19" s="82" t="s">
        <v>15</v>
      </c>
      <c r="D19" s="82" t="s">
        <v>15</v>
      </c>
      <c r="E19" s="82" t="s">
        <v>15</v>
      </c>
      <c r="F19" s="82" t="s">
        <v>15</v>
      </c>
      <c r="G19" s="82" t="s">
        <v>15</v>
      </c>
      <c r="H19" s="82" t="s">
        <v>15</v>
      </c>
      <c r="I19" s="82" t="s">
        <v>15</v>
      </c>
      <c r="J19" s="82" t="s">
        <v>15</v>
      </c>
      <c r="K19" s="82" t="s">
        <v>15</v>
      </c>
      <c r="L19" s="82" t="s">
        <v>15</v>
      </c>
      <c r="M19" s="82" t="s">
        <v>15</v>
      </c>
      <c r="N19" s="82" t="s">
        <v>15</v>
      </c>
    </row>
    <row r="20" spans="1:14" x14ac:dyDescent="0.25">
      <c r="A20" t="s">
        <v>10</v>
      </c>
      <c r="B20" s="44">
        <f t="shared" ref="B20:N20" si="0">B8*$B$37/100</f>
        <v>170324638.38276282</v>
      </c>
      <c r="C20" s="44">
        <f t="shared" si="0"/>
        <v>170324638.38276282</v>
      </c>
      <c r="D20" s="44">
        <f t="shared" si="0"/>
        <v>170324638.38276282</v>
      </c>
      <c r="E20" s="44">
        <f t="shared" si="0"/>
        <v>170324638.38276282</v>
      </c>
      <c r="F20" s="44">
        <f t="shared" si="0"/>
        <v>170324638.38276282</v>
      </c>
      <c r="G20" s="44">
        <f t="shared" si="0"/>
        <v>170324638.38276282</v>
      </c>
      <c r="H20" s="44">
        <f t="shared" si="0"/>
        <v>170324638.38276282</v>
      </c>
      <c r="I20" s="44">
        <f t="shared" si="0"/>
        <v>170324638.38276282</v>
      </c>
      <c r="J20" s="44">
        <f t="shared" si="0"/>
        <v>170324638.38276282</v>
      </c>
      <c r="K20" s="44">
        <f t="shared" si="0"/>
        <v>170324638.38276282</v>
      </c>
      <c r="L20" s="44">
        <f t="shared" si="0"/>
        <v>170324638.38276282</v>
      </c>
      <c r="M20" s="44">
        <f t="shared" si="0"/>
        <v>170324638.38276282</v>
      </c>
      <c r="N20" s="44">
        <f t="shared" si="0"/>
        <v>170324638.38276282</v>
      </c>
    </row>
    <row r="21" spans="1:14" x14ac:dyDescent="0.25">
      <c r="A21" t="s">
        <v>11</v>
      </c>
      <c r="B21" s="44">
        <f t="shared" ref="B21:N21" si="1">B9*$B$37/100</f>
        <v>38664487.491342776</v>
      </c>
      <c r="C21" s="44">
        <f t="shared" si="1"/>
        <v>38964328.417991422</v>
      </c>
      <c r="D21" s="44">
        <f t="shared" si="1"/>
        <v>39129240.927648179</v>
      </c>
      <c r="E21" s="44">
        <f t="shared" si="1"/>
        <v>39084264.788650878</v>
      </c>
      <c r="F21" s="44">
        <f t="shared" si="1"/>
        <v>39069272.742318444</v>
      </c>
      <c r="G21" s="44">
        <f t="shared" si="1"/>
        <v>39234185.251975201</v>
      </c>
      <c r="H21" s="44">
        <f t="shared" si="1"/>
        <v>39204201.159310333</v>
      </c>
      <c r="I21" s="44">
        <f t="shared" si="1"/>
        <v>38979320.464323856</v>
      </c>
      <c r="J21" s="44">
        <f t="shared" si="1"/>
        <v>39144232.973980606</v>
      </c>
      <c r="K21" s="44">
        <f t="shared" si="1"/>
        <v>39099256.834983304</v>
      </c>
      <c r="L21" s="44">
        <f t="shared" si="1"/>
        <v>39054280.69598601</v>
      </c>
      <c r="M21" s="44">
        <f t="shared" si="1"/>
        <v>39234185.251975201</v>
      </c>
      <c r="N21" s="44">
        <f t="shared" si="1"/>
        <v>39189209.112977907</v>
      </c>
    </row>
    <row r="22" spans="1:14" x14ac:dyDescent="0.25">
      <c r="A22" s="79" t="s">
        <v>12</v>
      </c>
      <c r="B22" s="44">
        <f>B20+B21</f>
        <v>208989125.8741056</v>
      </c>
      <c r="C22" s="44">
        <f t="shared" ref="C22:N22" si="2">C20+C21</f>
        <v>209288966.80075425</v>
      </c>
      <c r="D22" s="44">
        <f t="shared" si="2"/>
        <v>209453879.31041101</v>
      </c>
      <c r="E22" s="44">
        <f t="shared" si="2"/>
        <v>209408903.17141369</v>
      </c>
      <c r="F22" s="44">
        <f t="shared" si="2"/>
        <v>209393911.12508127</v>
      </c>
      <c r="G22" s="44">
        <f t="shared" si="2"/>
        <v>209558823.63473803</v>
      </c>
      <c r="H22" s="44">
        <f t="shared" si="2"/>
        <v>209528839.54207316</v>
      </c>
      <c r="I22" s="44">
        <f t="shared" si="2"/>
        <v>209303958.84708667</v>
      </c>
      <c r="J22" s="44">
        <f t="shared" si="2"/>
        <v>209468871.35674343</v>
      </c>
      <c r="K22" s="44">
        <f t="shared" si="2"/>
        <v>209423895.21774614</v>
      </c>
      <c r="L22" s="44">
        <f t="shared" si="2"/>
        <v>209378919.07874882</v>
      </c>
      <c r="M22" s="44">
        <f t="shared" si="2"/>
        <v>209558823.63473803</v>
      </c>
      <c r="N22" s="44">
        <f t="shared" si="2"/>
        <v>209513847.49574071</v>
      </c>
    </row>
    <row r="23" spans="1:14" x14ac:dyDescent="0.25">
      <c r="A23" t="s">
        <v>13</v>
      </c>
      <c r="B23" s="81">
        <v>-568771</v>
      </c>
      <c r="C23" s="81">
        <v>-568771</v>
      </c>
      <c r="D23" s="81">
        <v>-568771</v>
      </c>
      <c r="E23" s="81">
        <v>-568771</v>
      </c>
      <c r="F23" s="81">
        <v>-568771</v>
      </c>
      <c r="G23" s="81">
        <v>-568771</v>
      </c>
      <c r="H23" s="81">
        <v>-568771</v>
      </c>
      <c r="I23" s="81">
        <v>-568771</v>
      </c>
      <c r="J23" s="81">
        <v>-568771</v>
      </c>
      <c r="K23" s="81">
        <v>-568771</v>
      </c>
      <c r="L23" s="81">
        <v>-568771</v>
      </c>
      <c r="M23" s="81">
        <v>-568771</v>
      </c>
      <c r="N23" s="81">
        <v>-568771</v>
      </c>
    </row>
    <row r="24" spans="1:14" x14ac:dyDescent="0.25">
      <c r="A24" s="80" t="s">
        <v>14</v>
      </c>
      <c r="B24" s="81">
        <f>B22+B23</f>
        <v>208420354.8741056</v>
      </c>
      <c r="C24" s="81">
        <f t="shared" ref="C24:N24" si="3">C22+C23</f>
        <v>208720195.80075425</v>
      </c>
      <c r="D24" s="81">
        <f t="shared" si="3"/>
        <v>208885108.31041101</v>
      </c>
      <c r="E24" s="81">
        <f t="shared" si="3"/>
        <v>208840132.17141369</v>
      </c>
      <c r="F24" s="81">
        <f t="shared" si="3"/>
        <v>208825140.12508127</v>
      </c>
      <c r="G24" s="81">
        <f t="shared" si="3"/>
        <v>208990052.63473803</v>
      </c>
      <c r="H24" s="81">
        <f t="shared" si="3"/>
        <v>208960068.54207316</v>
      </c>
      <c r="I24" s="81">
        <f t="shared" si="3"/>
        <v>208735187.84708667</v>
      </c>
      <c r="J24" s="81">
        <f t="shared" si="3"/>
        <v>208900100.35674343</v>
      </c>
      <c r="K24" s="81">
        <f t="shared" si="3"/>
        <v>208855124.21774614</v>
      </c>
      <c r="L24" s="81">
        <f t="shared" si="3"/>
        <v>208810148.07874882</v>
      </c>
      <c r="M24" s="81">
        <f t="shared" si="3"/>
        <v>208990052.63473803</v>
      </c>
      <c r="N24" s="81">
        <f t="shared" si="3"/>
        <v>208945076.49574071</v>
      </c>
    </row>
    <row r="26" spans="1:14" x14ac:dyDescent="0.25">
      <c r="A26" s="78" t="s">
        <v>8</v>
      </c>
      <c r="B26" s="82" t="s">
        <v>16</v>
      </c>
      <c r="C26" s="82" t="s">
        <v>16</v>
      </c>
      <c r="D26" s="82" t="s">
        <v>16</v>
      </c>
      <c r="E26" s="82" t="s">
        <v>16</v>
      </c>
      <c r="F26" s="82" t="s">
        <v>16</v>
      </c>
      <c r="G26" s="82" t="s">
        <v>16</v>
      </c>
      <c r="H26" s="82" t="s">
        <v>16</v>
      </c>
      <c r="I26" s="82" t="s">
        <v>16</v>
      </c>
      <c r="J26" s="82" t="s">
        <v>16</v>
      </c>
      <c r="K26" s="82" t="s">
        <v>16</v>
      </c>
      <c r="L26" s="82" t="s">
        <v>16</v>
      </c>
      <c r="M26" s="82" t="s">
        <v>16</v>
      </c>
      <c r="N26" s="82" t="s">
        <v>16</v>
      </c>
    </row>
    <row r="27" spans="1:14" x14ac:dyDescent="0.25">
      <c r="A27" t="s">
        <v>10</v>
      </c>
      <c r="B27" s="81">
        <f>B20-B13</f>
        <v>38499574.981686026</v>
      </c>
      <c r="C27" s="81">
        <f t="shared" ref="C27:N27" si="4">C20-C13</f>
        <v>38499574.981686026</v>
      </c>
      <c r="D27" s="81">
        <f t="shared" si="4"/>
        <v>38499574.981686026</v>
      </c>
      <c r="E27" s="81">
        <f t="shared" si="4"/>
        <v>38499574.981686026</v>
      </c>
      <c r="F27" s="81">
        <f t="shared" si="4"/>
        <v>38499574.981686026</v>
      </c>
      <c r="G27" s="81">
        <f t="shared" si="4"/>
        <v>38499574.981686026</v>
      </c>
      <c r="H27" s="81">
        <f t="shared" si="4"/>
        <v>38499574.981686026</v>
      </c>
      <c r="I27" s="81">
        <f t="shared" si="4"/>
        <v>38499574.981686026</v>
      </c>
      <c r="J27" s="81">
        <f t="shared" si="4"/>
        <v>38499574.981686026</v>
      </c>
      <c r="K27" s="81">
        <f t="shared" si="4"/>
        <v>38499574.981686026</v>
      </c>
      <c r="L27" s="81">
        <f t="shared" si="4"/>
        <v>38499574.981686026</v>
      </c>
      <c r="M27" s="81">
        <f t="shared" si="4"/>
        <v>38499574.981686026</v>
      </c>
      <c r="N27" s="81">
        <f t="shared" si="4"/>
        <v>38499574.981686026</v>
      </c>
    </row>
    <row r="28" spans="1:14" x14ac:dyDescent="0.25">
      <c r="A28" t="s">
        <v>11</v>
      </c>
      <c r="B28" s="81">
        <f>B21-B14</f>
        <v>56984768.109574988</v>
      </c>
      <c r="C28" s="81">
        <f t="shared" ref="C28:N28" si="5">C21-C14</f>
        <v>57284609.036223635</v>
      </c>
      <c r="D28" s="81">
        <f t="shared" si="5"/>
        <v>57449521.545880392</v>
      </c>
      <c r="E28" s="81">
        <f t="shared" si="5"/>
        <v>57404545.406883091</v>
      </c>
      <c r="F28" s="81">
        <f t="shared" si="5"/>
        <v>57389553.360550657</v>
      </c>
      <c r="G28" s="81">
        <f t="shared" si="5"/>
        <v>57554465.870207414</v>
      </c>
      <c r="H28" s="81">
        <f t="shared" si="5"/>
        <v>57524481.777542546</v>
      </c>
      <c r="I28" s="81">
        <f t="shared" si="5"/>
        <v>57299601.082556069</v>
      </c>
      <c r="J28" s="81">
        <f t="shared" si="5"/>
        <v>57464513.592212811</v>
      </c>
      <c r="K28" s="81">
        <f t="shared" si="5"/>
        <v>57419537.45321551</v>
      </c>
      <c r="L28" s="81">
        <f t="shared" si="5"/>
        <v>57374561.314218223</v>
      </c>
      <c r="M28" s="81">
        <f t="shared" si="5"/>
        <v>57554465.870207414</v>
      </c>
      <c r="N28" s="81">
        <f t="shared" si="5"/>
        <v>57509489.731210113</v>
      </c>
    </row>
    <row r="29" spans="1:14" x14ac:dyDescent="0.25">
      <c r="A29" s="79" t="s">
        <v>12</v>
      </c>
      <c r="B29" s="81">
        <f>B27+B28</f>
        <v>95484343.091261014</v>
      </c>
      <c r="C29" s="81">
        <f t="shared" ref="C29:N29" si="6">C27+C28</f>
        <v>95784184.017909661</v>
      </c>
      <c r="D29" s="81">
        <f t="shared" si="6"/>
        <v>95949096.527566418</v>
      </c>
      <c r="E29" s="81">
        <f t="shared" si="6"/>
        <v>95904120.388569117</v>
      </c>
      <c r="F29" s="81">
        <f t="shared" si="6"/>
        <v>95889128.342236683</v>
      </c>
      <c r="G29" s="81">
        <f t="shared" si="6"/>
        <v>96054040.85189344</v>
      </c>
      <c r="H29" s="81">
        <f t="shared" si="6"/>
        <v>96024056.759228572</v>
      </c>
      <c r="I29" s="81">
        <f t="shared" si="6"/>
        <v>95799176.064242095</v>
      </c>
      <c r="J29" s="81">
        <f t="shared" si="6"/>
        <v>95964088.573898837</v>
      </c>
      <c r="K29" s="81">
        <f t="shared" si="6"/>
        <v>95919112.434901536</v>
      </c>
      <c r="L29" s="81">
        <f t="shared" si="6"/>
        <v>95874136.295904249</v>
      </c>
      <c r="M29" s="81">
        <f t="shared" si="6"/>
        <v>96054040.85189344</v>
      </c>
      <c r="N29" s="81">
        <f t="shared" si="6"/>
        <v>96009064.712896138</v>
      </c>
    </row>
    <row r="30" spans="1:14" x14ac:dyDescent="0.25">
      <c r="A30" t="s">
        <v>13</v>
      </c>
      <c r="B30" s="81">
        <v>-568771</v>
      </c>
      <c r="C30" s="81">
        <v>-568771</v>
      </c>
      <c r="D30" s="81">
        <v>-568771</v>
      </c>
      <c r="E30" s="81">
        <v>-568771</v>
      </c>
      <c r="F30" s="81">
        <v>-568771</v>
      </c>
      <c r="G30" s="81">
        <v>-568771</v>
      </c>
      <c r="H30" s="81">
        <v>-568771</v>
      </c>
      <c r="I30" s="81">
        <v>-568771</v>
      </c>
      <c r="J30" s="81">
        <v>-568771</v>
      </c>
      <c r="K30" s="81">
        <v>-568771</v>
      </c>
      <c r="L30" s="81">
        <v>-568771</v>
      </c>
      <c r="M30" s="81">
        <v>-568771</v>
      </c>
      <c r="N30" s="81">
        <v>-568771</v>
      </c>
    </row>
    <row r="31" spans="1:14" x14ac:dyDescent="0.25">
      <c r="A31" s="80" t="s">
        <v>14</v>
      </c>
      <c r="B31" s="81">
        <f>B29+B30</f>
        <v>94915572.091261014</v>
      </c>
      <c r="C31" s="81">
        <f t="shared" ref="C31:N31" si="7">C29+C30</f>
        <v>95215413.017909661</v>
      </c>
      <c r="D31" s="81">
        <f t="shared" si="7"/>
        <v>95380325.527566418</v>
      </c>
      <c r="E31" s="81">
        <f t="shared" si="7"/>
        <v>95335349.388569117</v>
      </c>
      <c r="F31" s="81">
        <f t="shared" si="7"/>
        <v>95320357.342236683</v>
      </c>
      <c r="G31" s="81">
        <f t="shared" si="7"/>
        <v>95485269.85189344</v>
      </c>
      <c r="H31" s="81">
        <f t="shared" si="7"/>
        <v>95455285.759228572</v>
      </c>
      <c r="I31" s="81">
        <f t="shared" si="7"/>
        <v>95230405.064242095</v>
      </c>
      <c r="J31" s="81">
        <f t="shared" si="7"/>
        <v>95395317.573898837</v>
      </c>
      <c r="K31" s="81">
        <f t="shared" si="7"/>
        <v>95350341.434901536</v>
      </c>
      <c r="L31" s="81">
        <f t="shared" si="7"/>
        <v>95305365.295904249</v>
      </c>
      <c r="M31" s="81">
        <f t="shared" si="7"/>
        <v>95485269.85189344</v>
      </c>
      <c r="N31" s="81">
        <f t="shared" si="7"/>
        <v>95440293.712896138</v>
      </c>
    </row>
    <row r="33" spans="1:14" x14ac:dyDescent="0.25">
      <c r="A33" s="128" t="s">
        <v>17</v>
      </c>
      <c r="B33" s="129" t="s">
        <v>18</v>
      </c>
      <c r="C33" s="129" t="s">
        <v>19</v>
      </c>
      <c r="D33" s="129" t="s">
        <v>20</v>
      </c>
      <c r="E33" s="129" t="s">
        <v>21</v>
      </c>
      <c r="F33" s="129" t="s">
        <v>22</v>
      </c>
      <c r="G33" s="129" t="s">
        <v>23</v>
      </c>
      <c r="H33" s="129" t="s">
        <v>24</v>
      </c>
      <c r="I33" s="129" t="s">
        <v>25</v>
      </c>
      <c r="J33" s="129" t="s">
        <v>26</v>
      </c>
      <c r="K33" s="129" t="s">
        <v>27</v>
      </c>
      <c r="L33" s="129" t="s">
        <v>28</v>
      </c>
      <c r="M33" s="129" t="s">
        <v>29</v>
      </c>
      <c r="N33" s="129" t="s">
        <v>30</v>
      </c>
    </row>
    <row r="34" spans="1:14" ht="30" x14ac:dyDescent="0.25">
      <c r="A34" s="127" t="s">
        <v>31</v>
      </c>
      <c r="B34" s="126">
        <v>7.591424132471411E-2</v>
      </c>
      <c r="C34" s="126">
        <v>7.6154056520083446E-2</v>
      </c>
      <c r="D34" s="126">
        <v>7.6285954877535811E-2</v>
      </c>
      <c r="E34" s="126">
        <v>7.6249982598230695E-2</v>
      </c>
      <c r="F34" s="126">
        <v>7.6237991838462582E-2</v>
      </c>
      <c r="G34" s="126">
        <v>7.6369890195915766E-2</v>
      </c>
      <c r="H34" s="126">
        <v>7.6345908676378749E-2</v>
      </c>
      <c r="I34" s="126">
        <v>7.6166047279851545E-2</v>
      </c>
      <c r="J34" s="126">
        <v>7.6297945637304729E-2</v>
      </c>
      <c r="K34" s="126">
        <v>7.6261973357999599E-2</v>
      </c>
      <c r="L34" s="126">
        <v>7.6226001078693678E-2</v>
      </c>
      <c r="M34" s="126">
        <v>7.6369890195915766E-2</v>
      </c>
      <c r="N34" s="126">
        <v>7.6333917916609845E-2</v>
      </c>
    </row>
    <row r="35" spans="1:14" ht="30" x14ac:dyDescent="0.25">
      <c r="A35" s="127" t="s">
        <v>140</v>
      </c>
      <c r="B35" s="130" t="s">
        <v>141</v>
      </c>
      <c r="C35" s="126">
        <f>C34-$B$34</f>
        <v>2.3981519536933615E-4</v>
      </c>
      <c r="D35" s="126">
        <f t="shared" ref="D35:N35" si="8">D34-$B$34</f>
        <v>3.7171355282170082E-4</v>
      </c>
      <c r="E35" s="126">
        <f t="shared" si="8"/>
        <v>3.3574127351658489E-4</v>
      </c>
      <c r="F35" s="126">
        <f t="shared" si="8"/>
        <v>3.2375051374847197E-4</v>
      </c>
      <c r="G35" s="126">
        <f t="shared" si="8"/>
        <v>4.5564887120165543E-4</v>
      </c>
      <c r="H35" s="126">
        <f t="shared" si="8"/>
        <v>4.3166735166463854E-4</v>
      </c>
      <c r="I35" s="126">
        <f t="shared" si="8"/>
        <v>2.518059551374352E-4</v>
      </c>
      <c r="J35" s="126">
        <f t="shared" si="8"/>
        <v>3.8370431259061866E-4</v>
      </c>
      <c r="K35" s="126">
        <f t="shared" si="8"/>
        <v>3.4773203328548885E-4</v>
      </c>
      <c r="L35" s="126">
        <f t="shared" si="8"/>
        <v>3.1175975397956801E-4</v>
      </c>
      <c r="M35" s="126">
        <f t="shared" si="8"/>
        <v>4.5564887120165543E-4</v>
      </c>
      <c r="N35" s="126">
        <f t="shared" si="8"/>
        <v>4.1967659189573459E-4</v>
      </c>
    </row>
    <row r="36" spans="1:14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x14ac:dyDescent="0.25">
      <c r="A37" s="124" t="s">
        <v>32</v>
      </c>
      <c r="B37" s="125">
        <v>14992046332.432251</v>
      </c>
      <c r="C37" s="44"/>
    </row>
  </sheetData>
  <mergeCells count="4">
    <mergeCell ref="C4:E4"/>
    <mergeCell ref="F4:H4"/>
    <mergeCell ref="I4:K4"/>
    <mergeCell ref="L4:N4"/>
  </mergeCells>
  <hyperlinks>
    <hyperlink ref="B33" location="A!A1" display="A" xr:uid="{075FA34F-610B-4629-AE56-F22F3C26610C}"/>
    <hyperlink ref="C33" location="B!A1" display="B" xr:uid="{F2CE6E0D-E303-4EFC-BEDC-7F77FC1D9A72}"/>
    <hyperlink ref="D33" location="'C'!A1" display="C" xr:uid="{14DC844D-D0D3-4D53-A0EC-4668746DC4BC}"/>
    <hyperlink ref="E33" location="D!A1" display="D" xr:uid="{180DDA95-AAD6-496C-9A5A-0CFCBFCAE8EB}"/>
    <hyperlink ref="F33" location="E!A1" display="E" xr:uid="{CAE25C00-A4BE-4137-A854-E7D452C4FEB1}"/>
    <hyperlink ref="G33" location="F!A1" display="F" xr:uid="{AF6F4AC1-F9C0-4C94-9A55-C5996F0F57EB}"/>
    <hyperlink ref="H33" location="G!A1" display="G" xr:uid="{5A5DA9DB-7B65-4044-A8BA-9E94890E069D}"/>
    <hyperlink ref="I33" location="H!A1" display="H" xr:uid="{3598987C-7716-40C9-8CEC-91C1C36D960A}"/>
    <hyperlink ref="J33" location="I!A1" display="I" xr:uid="{5B6D2F66-395D-4CCF-961B-98572D333081}"/>
    <hyperlink ref="K33" location="J!A1" display="J" xr:uid="{E36D2557-0896-4F8C-91CB-F41974E077FC}"/>
    <hyperlink ref="L33" location="K!A1" display="K" xr:uid="{EC524053-8A48-4D83-B5DC-6C930E5CB4EC}"/>
    <hyperlink ref="M33" location="L!A1" display="L" xr:uid="{722F3CBF-60A8-41A1-B5EF-9B2B4FE5A026}"/>
    <hyperlink ref="N33" location="M!A1" display="M" xr:uid="{70EF4F7A-13C0-45CC-B194-0075A6DE868B}"/>
  </hyperlinks>
  <pageMargins left="0.7" right="0.7" top="0.75" bottom="0.75" header="0.3" footer="0.3"/>
  <pageSetup paperSize="5" scale="58" fitToHeight="0" orientation="landscape" r:id="rId1"/>
  <headerFooter scaleWithDoc="0">
    <oddFooter>&amp;L&amp;A&amp;RPage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2601-43A3-4F72-A96E-02F582A2BCB3}">
  <sheetPr>
    <tabColor theme="8" tint="0.59999389629810485"/>
  </sheetPr>
  <dimension ref="A1:AB89"/>
  <sheetViews>
    <sheetView zoomScaleNormal="100" zoomScaleSheetLayoutView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34686345.055016845</v>
      </c>
      <c r="I17" s="102">
        <f>F17+H17</f>
        <v>608512245.10930467</v>
      </c>
      <c r="J17" s="103">
        <f t="shared" ref="J17:J31" si="1">IF($E17=0,0,ROUND(I17/$E17*1000,2))</f>
        <v>111.47</v>
      </c>
      <c r="K17" s="89">
        <f>H17/F17</f>
        <v>6.0447506903636247E-2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28743.755489932046</v>
      </c>
      <c r="I18" s="102">
        <f t="shared" ref="I18:I30" si="4">F18+H18</f>
        <v>482773.631594932</v>
      </c>
      <c r="J18" s="103">
        <f t="shared" si="1"/>
        <v>106.76</v>
      </c>
      <c r="K18" s="89">
        <f>H18/F18</f>
        <v>6.3308070685825751E-2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112262.66107914576</v>
      </c>
      <c r="I20" s="102">
        <f t="shared" si="4"/>
        <v>1900599.6768585676</v>
      </c>
      <c r="J20" s="103">
        <f t="shared" si="1"/>
        <v>107.61</v>
      </c>
      <c r="K20" s="89">
        <f>IF(F20=0,"N/A",H20/F20)</f>
        <v>6.2774890911832762E-2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418701.48961187963</v>
      </c>
      <c r="I21" s="102">
        <f t="shared" si="4"/>
        <v>7760887.896463641</v>
      </c>
      <c r="J21" s="103">
        <f t="shared" si="1"/>
        <v>117.78</v>
      </c>
      <c r="K21" s="89">
        <f>IF(F21=0,"N/A",H21/F21)</f>
        <v>5.7026812778976241E-2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871298.8939094618</v>
      </c>
      <c r="I22" s="102">
        <f>F22+H22</f>
        <v>18882764.009700213</v>
      </c>
      <c r="J22" s="103">
        <f t="shared" si="1"/>
        <v>137.43</v>
      </c>
      <c r="K22" s="89">
        <f t="shared" ref="K22:K31" si="5">H22/F22</f>
        <v>4.8374681810064928E-2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1207.5854601506319</v>
      </c>
      <c r="I23" s="102">
        <f>F23+H23</f>
        <v>28492.642165734811</v>
      </c>
      <c r="J23" s="103">
        <f t="shared" si="1"/>
        <v>149.63</v>
      </c>
      <c r="K23" s="89">
        <f t="shared" si="5"/>
        <v>4.4258125360739552E-2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24833402.290604033</v>
      </c>
      <c r="I24" s="102">
        <f>F24+H24</f>
        <v>314982268.70914584</v>
      </c>
      <c r="J24" s="103">
        <f t="shared" si="1"/>
        <v>80.75</v>
      </c>
      <c r="K24" s="89">
        <f t="shared" si="5"/>
        <v>8.5588486341978923E-2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33074.243110852229</v>
      </c>
      <c r="I25" s="102">
        <f>F25+H25</f>
        <v>1311880.4759038521</v>
      </c>
      <c r="J25" s="103">
        <f>IF($E25=0,0,ROUND(I25/$E25*1000,2))</f>
        <v>249.06</v>
      </c>
      <c r="K25" s="89">
        <f t="shared" si="5"/>
        <v>2.5863373404597687E-2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15243203.714088069</v>
      </c>
      <c r="I26" s="102">
        <f>F26+H26</f>
        <v>156941166.65671882</v>
      </c>
      <c r="J26" s="103">
        <f t="shared" si="1"/>
        <v>65.63</v>
      </c>
      <c r="K26" s="89">
        <f t="shared" si="5"/>
        <v>0.1075753200507165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12073166.700676966</v>
      </c>
      <c r="I27" s="102">
        <f t="shared" si="4"/>
        <v>166828031.21041256</v>
      </c>
      <c r="J27" s="103">
        <f t="shared" si="1"/>
        <v>87.92</v>
      </c>
      <c r="K27" s="89">
        <f t="shared" si="5"/>
        <v>7.8014779948435461E-2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88552.817700820859</v>
      </c>
      <c r="I28" s="102">
        <f t="shared" si="4"/>
        <v>1318184.9912018208</v>
      </c>
      <c r="J28" s="103">
        <f t="shared" si="1"/>
        <v>94.66</v>
      </c>
      <c r="K28" s="89">
        <f t="shared" si="5"/>
        <v>7.2015696733677595E-2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150319.51209458237</v>
      </c>
      <c r="I29" s="102">
        <f t="shared" si="4"/>
        <v>3739907.583998627</v>
      </c>
      <c r="J29" s="103">
        <f t="shared" si="1"/>
        <v>157.4</v>
      </c>
      <c r="K29" s="89">
        <f t="shared" si="5"/>
        <v>4.187653543623672E-2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18145.416883457863</v>
      </c>
      <c r="I30" s="106">
        <f t="shared" si="4"/>
        <v>202411.34154445786</v>
      </c>
      <c r="J30" s="107">
        <f t="shared" si="1"/>
        <v>71.069999999999993</v>
      </c>
      <c r="K30" s="108">
        <f t="shared" si="5"/>
        <v>9.8474077162343368E-2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88558424.135726184</v>
      </c>
      <c r="I31" s="102">
        <f>SUM(I17:I30)</f>
        <v>1282891613.9350138</v>
      </c>
      <c r="J31" s="103">
        <f t="shared" si="1"/>
        <v>92.16</v>
      </c>
      <c r="K31" s="89">
        <f t="shared" si="5"/>
        <v>7.4148842962832501E-2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6836893.438172657</v>
      </c>
      <c r="I33" s="102">
        <f>F33+H33</f>
        <v>62803653.09462665</v>
      </c>
      <c r="J33" s="103">
        <f>IF($E33=0,0,ROUND(I33/$E33*1000,2))</f>
        <v>58.59</v>
      </c>
      <c r="K33" s="89">
        <f>H33/F33</f>
        <v>0.12215989419684471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95395317.573899001</v>
      </c>
      <c r="I35" s="115">
        <f>I31+I33</f>
        <v>1345695267.0296404</v>
      </c>
      <c r="J35" s="116">
        <f>IF($E35=0,0,ROUND(I35/$E35*1000,2))</f>
        <v>89.76</v>
      </c>
      <c r="K35" s="117">
        <f>H35/F35</f>
        <v>7.6297945637304729E-2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21033331.486434601</v>
      </c>
      <c r="I64" s="102">
        <f>F64+H64</f>
        <v>271078318.15322781</v>
      </c>
      <c r="J64" s="103">
        <f>IF($E64=0,0,ROUND(I64/$E64*1000,2))</f>
        <v>82.04</v>
      </c>
      <c r="K64" s="89">
        <f>H64/F64</f>
        <v>8.4118189157950815E-2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3777426.1040130462</v>
      </c>
      <c r="I65" s="102">
        <f>F65+H65</f>
        <v>43614175.157101467</v>
      </c>
      <c r="J65" s="103">
        <f>IF($E65=0,0,ROUND(I65/$E65*1000,2))</f>
        <v>73.55</v>
      </c>
      <c r="K65" s="89">
        <f>H65/F65</f>
        <v>9.4822649784475674E-2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22644.700156380994</v>
      </c>
      <c r="I66" s="106">
        <f>F66+H66</f>
        <v>289775.39881650254</v>
      </c>
      <c r="J66" s="107">
        <f>IF($E66=0,0,ROUND(I66/$E66*1000,2))</f>
        <v>81.459999999999994</v>
      </c>
      <c r="K66" s="108">
        <f>H66/F66</f>
        <v>8.477011541527292E-2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24833402.290604029</v>
      </c>
      <c r="I67" s="102">
        <f>SUM(I64:I66)</f>
        <v>314982268.70914578</v>
      </c>
      <c r="J67" s="103">
        <f>IF($E67=0,0,ROUND(I67/$E67*1000,2))</f>
        <v>80.75</v>
      </c>
      <c r="K67" s="89">
        <f>H67/F67</f>
        <v>8.5588486341978923E-2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15033482.157241579</v>
      </c>
      <c r="I70" s="102">
        <f>F70+H70</f>
        <v>154880908.1740191</v>
      </c>
      <c r="J70" s="103">
        <f>IF($E70=0,0,ROUND(I70/$E70*1000,2))</f>
        <v>65.67</v>
      </c>
      <c r="K70" s="89">
        <f>H70/F70</f>
        <v>0.10749916952663834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209721.55684648838</v>
      </c>
      <c r="I71" s="106">
        <f>F71+H71</f>
        <v>2060258.4826997188</v>
      </c>
      <c r="J71" s="107">
        <f>IF($E71=0,0,ROUND(I71/$E71*1000,2))</f>
        <v>62.63</v>
      </c>
      <c r="K71" s="108">
        <f>H71/F71</f>
        <v>0.11333011188079466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15243203.714088067</v>
      </c>
      <c r="I72" s="102">
        <f>SUM(I69:I71)</f>
        <v>156941166.65671882</v>
      </c>
      <c r="J72" s="103">
        <f>IF($E72=0,0,ROUND(I72/$E72*1000,2))</f>
        <v>65.63</v>
      </c>
      <c r="K72" s="89">
        <f>H72/F72</f>
        <v>0.1075753200507165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12073166.700676966</v>
      </c>
      <c r="I74" s="102">
        <f>F74+H74</f>
        <v>166828031.21041256</v>
      </c>
      <c r="J74" s="103">
        <f>IF($E74=0,0,ROUND(I74/$E74*1000,2))</f>
        <v>87.92</v>
      </c>
      <c r="K74" s="89">
        <f>H74/F74</f>
        <v>7.8014779948435461E-2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12073166.700676966</v>
      </c>
      <c r="I76" s="102">
        <f>SUM(I74:I75)</f>
        <v>166828031.21041256</v>
      </c>
      <c r="J76" s="103">
        <f>IF($E76=0,0,ROUND(I76/$E76*1000,2))</f>
        <v>87.92</v>
      </c>
      <c r="K76" s="89">
        <f>H76/F76</f>
        <v>7.8014779948435461E-2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44" priority="6">
      <formula>IF(A17=A16,1,0)</formula>
    </cfRule>
  </conditionalFormatting>
  <conditionalFormatting sqref="A76:A87">
    <cfRule type="expression" dxfId="43" priority="5">
      <formula>IF(A76=#REF!,1,0)</formula>
    </cfRule>
  </conditionalFormatting>
  <conditionalFormatting sqref="A38">
    <cfRule type="expression" dxfId="42" priority="4">
      <formula>IF(A38=#REF!,1,0)</formula>
    </cfRule>
  </conditionalFormatting>
  <conditionalFormatting sqref="A38">
    <cfRule type="expression" dxfId="41" priority="7">
      <formula>IF(A38=#REF!,1,0)</formula>
    </cfRule>
  </conditionalFormatting>
  <conditionalFormatting sqref="A39">
    <cfRule type="expression" dxfId="40" priority="8">
      <formula>IF(A39=#REF!,1,0)</formula>
    </cfRule>
  </conditionalFormatting>
  <conditionalFormatting sqref="L35 A35">
    <cfRule type="expression" dxfId="39" priority="3">
      <formula>IF(A35=A34,1,0)</formula>
    </cfRule>
  </conditionalFormatting>
  <conditionalFormatting sqref="N35:Q35">
    <cfRule type="expression" dxfId="38" priority="2">
      <formula>IF(N35=N34,1,0)</formula>
    </cfRule>
  </conditionalFormatting>
  <conditionalFormatting sqref="A33">
    <cfRule type="expression" dxfId="37" priority="1">
      <formula>IF(A33=A32,1,0)</formula>
    </cfRule>
  </conditionalFormatting>
  <conditionalFormatting sqref="A79">
    <cfRule type="expression" dxfId="36" priority="20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73E5-7C0C-4A60-9D65-2C9912A99FCF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34669968.138794839</v>
      </c>
      <c r="I17" s="102">
        <f>F17+H17</f>
        <v>608495868.19308257</v>
      </c>
      <c r="J17" s="103">
        <f t="shared" ref="J17:J31" si="1">IF($E17=0,0,ROUND(I17/$E17*1000,2))</f>
        <v>111.47</v>
      </c>
      <c r="K17" s="89">
        <f>H17/F17</f>
        <v>6.0418967034277862E-2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28730.189624932049</v>
      </c>
      <c r="I18" s="102">
        <f t="shared" ref="I18:I30" si="4">F18+H18</f>
        <v>482760.06572993204</v>
      </c>
      <c r="J18" s="103">
        <f t="shared" si="1"/>
        <v>106.76</v>
      </c>
      <c r="K18" s="89">
        <f>H18/F18</f>
        <v>6.3278191892129673E-2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112209.67408484875</v>
      </c>
      <c r="I20" s="102">
        <f t="shared" si="4"/>
        <v>1900546.6898642706</v>
      </c>
      <c r="J20" s="103">
        <f t="shared" si="1"/>
        <v>107.6</v>
      </c>
      <c r="K20" s="89">
        <f>IF(F20=0,"N/A",H20/F20)</f>
        <v>6.2745261712286213E-2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418503.80261987966</v>
      </c>
      <c r="I21" s="102">
        <f t="shared" si="4"/>
        <v>7760690.2094716411</v>
      </c>
      <c r="J21" s="103">
        <f t="shared" si="1"/>
        <v>117.77</v>
      </c>
      <c r="K21" s="89">
        <f>IF(F21=0,"N/A",H21/F21)</f>
        <v>5.6999887966523166E-2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870886.70670446171</v>
      </c>
      <c r="I22" s="102">
        <f>F22+H22</f>
        <v>18882351.822495211</v>
      </c>
      <c r="J22" s="103">
        <f t="shared" si="1"/>
        <v>137.43</v>
      </c>
      <c r="K22" s="89">
        <f t="shared" ref="K22:K31" si="5">H22/F22</f>
        <v>4.8351797097336106E-2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1207.0141851506316</v>
      </c>
      <c r="I23" s="102">
        <f>F23+H23</f>
        <v>28492.070890734809</v>
      </c>
      <c r="J23" s="103">
        <f t="shared" si="1"/>
        <v>149.62</v>
      </c>
      <c r="K23" s="89">
        <f t="shared" si="5"/>
        <v>4.4237188076050551E-2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24821700.10513103</v>
      </c>
      <c r="I24" s="102">
        <f>F24+H24</f>
        <v>314970566.52367282</v>
      </c>
      <c r="J24" s="103">
        <f t="shared" si="1"/>
        <v>80.75</v>
      </c>
      <c r="K24" s="89">
        <f t="shared" si="5"/>
        <v>8.5548154681829955E-2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33058.440841852222</v>
      </c>
      <c r="I25" s="102">
        <f>F25+H25</f>
        <v>1311864.673634852</v>
      </c>
      <c r="J25" s="103">
        <f>IF($E25=0,0,ROUND(I25/$E25*1000,2))</f>
        <v>249.05</v>
      </c>
      <c r="K25" s="89">
        <f t="shared" si="5"/>
        <v>2.5851016357380692E-2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15236029.537560066</v>
      </c>
      <c r="I26" s="102">
        <f>F26+H26</f>
        <v>156933992.48019081</v>
      </c>
      <c r="J26" s="103">
        <f t="shared" si="1"/>
        <v>65.62</v>
      </c>
      <c r="K26" s="89">
        <f t="shared" si="5"/>
        <v>0.10752468998957083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12067474.164319966</v>
      </c>
      <c r="I27" s="102">
        <f t="shared" si="4"/>
        <v>166822338.67405555</v>
      </c>
      <c r="J27" s="103">
        <f t="shared" si="1"/>
        <v>87.92</v>
      </c>
      <c r="K27" s="89">
        <f t="shared" si="5"/>
        <v>7.7977995732475366E-2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88511.041797820857</v>
      </c>
      <c r="I28" s="102">
        <f t="shared" si="4"/>
        <v>1318143.215298821</v>
      </c>
      <c r="J28" s="103">
        <f t="shared" si="1"/>
        <v>94.66</v>
      </c>
      <c r="K28" s="89">
        <f t="shared" si="5"/>
        <v>7.1981722425018241E-2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150248.23205258237</v>
      </c>
      <c r="I29" s="102">
        <f t="shared" si="4"/>
        <v>3739836.3039566269</v>
      </c>
      <c r="J29" s="103">
        <f t="shared" si="1"/>
        <v>157.4</v>
      </c>
      <c r="K29" s="89">
        <f t="shared" si="5"/>
        <v>4.1856677992827572E-2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18136.873000457865</v>
      </c>
      <c r="I30" s="106">
        <f t="shared" si="4"/>
        <v>202402.79766145785</v>
      </c>
      <c r="J30" s="107">
        <f t="shared" si="1"/>
        <v>71.069999999999993</v>
      </c>
      <c r="K30" s="108">
        <f t="shared" si="5"/>
        <v>9.8427710027368651E-2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88516663.92071788</v>
      </c>
      <c r="I31" s="102">
        <f>SUM(I17:I30)</f>
        <v>1282849853.7200055</v>
      </c>
      <c r="J31" s="103">
        <f t="shared" si="1"/>
        <v>92.16</v>
      </c>
      <c r="K31" s="89">
        <f t="shared" si="5"/>
        <v>7.4113877665572939E-2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6833677.5141836572</v>
      </c>
      <c r="I33" s="102">
        <f>F33+H33</f>
        <v>62800437.170637652</v>
      </c>
      <c r="J33" s="103">
        <f>IF($E33=0,0,ROUND(I33/$E33*1000,2))</f>
        <v>58.58</v>
      </c>
      <c r="K33" s="89">
        <f>H33/F33</f>
        <v>0.12210243287500402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95350341.434901997</v>
      </c>
      <c r="I35" s="115">
        <f>I31+I33</f>
        <v>1345650290.8906431</v>
      </c>
      <c r="J35" s="116">
        <f>IF($E35=0,0,ROUND(I35/$E35*1000,2))</f>
        <v>89.76</v>
      </c>
      <c r="K35" s="117">
        <f>H35/F35</f>
        <v>7.6261973357999599E-2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21023418.955914602</v>
      </c>
      <c r="I64" s="102">
        <f>F64+H64</f>
        <v>271068405.62270784</v>
      </c>
      <c r="J64" s="103">
        <f>IF($E64=0,0,ROUND(I64/$E64*1000,2))</f>
        <v>82.04</v>
      </c>
      <c r="K64" s="89">
        <f>H64/F64</f>
        <v>8.4078546169494464E-2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3775647.120489046</v>
      </c>
      <c r="I65" s="102">
        <f>F65+H65</f>
        <v>43612396.173577465</v>
      </c>
      <c r="J65" s="103">
        <f>IF($E65=0,0,ROUND(I65/$E65*1000,2))</f>
        <v>73.55</v>
      </c>
      <c r="K65" s="89">
        <f>H65/F65</f>
        <v>9.4777992939570246E-2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22634.028727380992</v>
      </c>
      <c r="I66" s="106">
        <f>F66+H66</f>
        <v>289764.7273875025</v>
      </c>
      <c r="J66" s="107">
        <f>IF($E66=0,0,ROUND(I66/$E66*1000,2))</f>
        <v>81.459999999999994</v>
      </c>
      <c r="K66" s="108">
        <f>H66/F66</f>
        <v>8.473016707143402E-2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24821700.10513103</v>
      </c>
      <c r="I67" s="102">
        <f>SUM(I64:I66)</f>
        <v>314970566.52367282</v>
      </c>
      <c r="J67" s="103">
        <f>IF($E67=0,0,ROUND(I67/$E67*1000,2))</f>
        <v>80.75</v>
      </c>
      <c r="K67" s="89">
        <f>H67/F67</f>
        <v>8.5548154681829955E-2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15026406.661603577</v>
      </c>
      <c r="I70" s="102">
        <f>F70+H70</f>
        <v>154873832.67838109</v>
      </c>
      <c r="J70" s="103">
        <f>IF($E70=0,0,ROUND(I70/$E70*1000,2))</f>
        <v>65.67</v>
      </c>
      <c r="K70" s="89">
        <f>H70/F70</f>
        <v>0.10744857513359493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209622.87595648837</v>
      </c>
      <c r="I71" s="106">
        <f>F71+H71</f>
        <v>2060159.8018097186</v>
      </c>
      <c r="J71" s="107">
        <f>IF($E71=0,0,ROUND(I71/$E71*1000,2))</f>
        <v>62.63</v>
      </c>
      <c r="K71" s="108">
        <f>H71/F71</f>
        <v>0.11327678633585611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15236029.537560066</v>
      </c>
      <c r="I72" s="102">
        <f>SUM(I69:I71)</f>
        <v>156933992.48019081</v>
      </c>
      <c r="J72" s="103">
        <f>IF($E72=0,0,ROUND(I72/$E72*1000,2))</f>
        <v>65.62</v>
      </c>
      <c r="K72" s="89">
        <f>H72/F72</f>
        <v>0.10752468998957083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12067474.164319966</v>
      </c>
      <c r="I74" s="102">
        <f>F74+H74</f>
        <v>166822338.67405555</v>
      </c>
      <c r="J74" s="103">
        <f>IF($E74=0,0,ROUND(I74/$E74*1000,2))</f>
        <v>87.92</v>
      </c>
      <c r="K74" s="89">
        <f>H74/F74</f>
        <v>7.7977995732475366E-2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12067474.164319966</v>
      </c>
      <c r="I76" s="102">
        <f>SUM(I74:I75)</f>
        <v>166822338.67405555</v>
      </c>
      <c r="J76" s="103">
        <f>IF($E76=0,0,ROUND(I76/$E76*1000,2))</f>
        <v>87.92</v>
      </c>
      <c r="K76" s="89">
        <f>H76/F76</f>
        <v>7.7977995732475366E-2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35" priority="6">
      <formula>IF(A17=A16,1,0)</formula>
    </cfRule>
  </conditionalFormatting>
  <conditionalFormatting sqref="A76:A87">
    <cfRule type="expression" dxfId="34" priority="5">
      <formula>IF(A76=#REF!,1,0)</formula>
    </cfRule>
  </conditionalFormatting>
  <conditionalFormatting sqref="A38">
    <cfRule type="expression" dxfId="33" priority="4">
      <formula>IF(A38=#REF!,1,0)</formula>
    </cfRule>
  </conditionalFormatting>
  <conditionalFormatting sqref="A38">
    <cfRule type="expression" dxfId="32" priority="7">
      <formula>IF(A38=#REF!,1,0)</formula>
    </cfRule>
  </conditionalFormatting>
  <conditionalFormatting sqref="A39">
    <cfRule type="expression" dxfId="31" priority="8">
      <formula>IF(A39=#REF!,1,0)</formula>
    </cfRule>
  </conditionalFormatting>
  <conditionalFormatting sqref="L35 A35">
    <cfRule type="expression" dxfId="30" priority="3">
      <formula>IF(A35=A34,1,0)</formula>
    </cfRule>
  </conditionalFormatting>
  <conditionalFormatting sqref="N35:Q35">
    <cfRule type="expression" dxfId="29" priority="2">
      <formula>IF(N35=N34,1,0)</formula>
    </cfRule>
  </conditionalFormatting>
  <conditionalFormatting sqref="A33">
    <cfRule type="expression" dxfId="28" priority="1">
      <formula>IF(A33=A32,1,0)</formula>
    </cfRule>
  </conditionalFormatting>
  <conditionalFormatting sqref="A79">
    <cfRule type="expression" dxfId="27" priority="18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A1E3-6F66-4E99-B8AE-F17555D4FDF7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34653591.222572848</v>
      </c>
      <c r="I17" s="102">
        <f>F17+H17</f>
        <v>608479491.27686059</v>
      </c>
      <c r="J17" s="103">
        <f t="shared" ref="J17:J31" si="1">IF($E17=0,0,ROUND(I17/$E17*1000,2))</f>
        <v>111.46</v>
      </c>
      <c r="K17" s="89">
        <f>H17/F17</f>
        <v>6.0390427164919505E-2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28716.623759932045</v>
      </c>
      <c r="I18" s="102">
        <f t="shared" ref="I18:I30" si="4">F18+H18</f>
        <v>482746.49986493203</v>
      </c>
      <c r="J18" s="103">
        <f t="shared" si="1"/>
        <v>106.76</v>
      </c>
      <c r="K18" s="89">
        <f>H18/F18</f>
        <v>6.3248313098433581E-2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112156.68709055177</v>
      </c>
      <c r="I20" s="102">
        <f t="shared" si="4"/>
        <v>1900493.7028699736</v>
      </c>
      <c r="J20" s="103">
        <f t="shared" si="1"/>
        <v>107.6</v>
      </c>
      <c r="K20" s="89">
        <f>IF(F20=0,"N/A",H20/F20)</f>
        <v>6.2715632512739677E-2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418306.11562787957</v>
      </c>
      <c r="I21" s="102">
        <f t="shared" si="4"/>
        <v>7760492.5224796403</v>
      </c>
      <c r="J21" s="103">
        <f t="shared" si="1"/>
        <v>117.77</v>
      </c>
      <c r="K21" s="89">
        <f>IF(F21=0,"N/A",H21/F21)</f>
        <v>5.6972963154070078E-2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870474.51949946187</v>
      </c>
      <c r="I22" s="102">
        <f>F22+H22</f>
        <v>18881939.635290213</v>
      </c>
      <c r="J22" s="103">
        <f t="shared" si="1"/>
        <v>137.43</v>
      </c>
      <c r="K22" s="89">
        <f t="shared" ref="K22:K31" si="5">H22/F22</f>
        <v>4.8328912384607292E-2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1206.4429101506319</v>
      </c>
      <c r="I23" s="102">
        <f>F23+H23</f>
        <v>28491.499615734811</v>
      </c>
      <c r="J23" s="103">
        <f t="shared" si="1"/>
        <v>149.62</v>
      </c>
      <c r="K23" s="89">
        <f t="shared" si="5"/>
        <v>4.4216250791361572E-2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24809997.919658028</v>
      </c>
      <c r="I24" s="102">
        <f>F24+H24</f>
        <v>314958864.33819979</v>
      </c>
      <c r="J24" s="103">
        <f t="shared" si="1"/>
        <v>80.739999999999995</v>
      </c>
      <c r="K24" s="89">
        <f t="shared" si="5"/>
        <v>8.5507823021680987E-2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33042.638572852229</v>
      </c>
      <c r="I25" s="102">
        <f>F25+H25</f>
        <v>1311848.871365852</v>
      </c>
      <c r="J25" s="103">
        <f>IF($E25=0,0,ROUND(I25/$E25*1000,2))</f>
        <v>249.05</v>
      </c>
      <c r="K25" s="89">
        <f t="shared" si="5"/>
        <v>2.5838659310163714E-2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15228855.361032067</v>
      </c>
      <c r="I26" s="102">
        <f>F26+H26</f>
        <v>156926818.30366281</v>
      </c>
      <c r="J26" s="103">
        <f t="shared" si="1"/>
        <v>65.62</v>
      </c>
      <c r="K26" s="89">
        <f t="shared" si="5"/>
        <v>0.10747405992842518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12061781.627962966</v>
      </c>
      <c r="I27" s="102">
        <f t="shared" si="4"/>
        <v>166816646.13769856</v>
      </c>
      <c r="J27" s="103">
        <f t="shared" si="1"/>
        <v>87.91</v>
      </c>
      <c r="K27" s="89">
        <f t="shared" si="5"/>
        <v>7.7941211516515285E-2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88469.265894820855</v>
      </c>
      <c r="I28" s="102">
        <f t="shared" si="4"/>
        <v>1318101.439395821</v>
      </c>
      <c r="J28" s="103">
        <f t="shared" si="1"/>
        <v>94.66</v>
      </c>
      <c r="K28" s="89">
        <f t="shared" si="5"/>
        <v>7.1947748116358887E-2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150176.95201058238</v>
      </c>
      <c r="I29" s="102">
        <f t="shared" si="4"/>
        <v>3739765.0239146268</v>
      </c>
      <c r="J29" s="103">
        <f t="shared" si="1"/>
        <v>157.4</v>
      </c>
      <c r="K29" s="89">
        <f t="shared" si="5"/>
        <v>4.1836820549418417E-2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18128.329117457866</v>
      </c>
      <c r="I30" s="106">
        <f t="shared" si="4"/>
        <v>202394.25377845787</v>
      </c>
      <c r="J30" s="107">
        <f t="shared" si="1"/>
        <v>71.069999999999993</v>
      </c>
      <c r="K30" s="108">
        <f t="shared" si="5"/>
        <v>9.8381342892393919E-2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88474903.705709592</v>
      </c>
      <c r="I31" s="102">
        <f>SUM(I17:I30)</f>
        <v>1282808093.5049975</v>
      </c>
      <c r="J31" s="103">
        <f t="shared" si="1"/>
        <v>92.16</v>
      </c>
      <c r="K31" s="89">
        <f t="shared" si="5"/>
        <v>7.4078912368313377E-2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6830461.5901946556</v>
      </c>
      <c r="I33" s="102">
        <f>F33+H33</f>
        <v>62797221.246648654</v>
      </c>
      <c r="J33" s="103">
        <f>IF($E33=0,0,ROUND(I33/$E33*1000,2))</f>
        <v>58.58</v>
      </c>
      <c r="K33" s="89">
        <f>H33/F33</f>
        <v>0.1220449715531633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95305365.295903996</v>
      </c>
      <c r="I35" s="115">
        <f>I31+I33</f>
        <v>1345605314.751646</v>
      </c>
      <c r="J35" s="116">
        <f>IF($E35=0,0,ROUND(I35/$E35*1000,2))</f>
        <v>89.75</v>
      </c>
      <c r="K35" s="117">
        <f>H35/F35</f>
        <v>7.6226001078693678E-2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21013506.425394602</v>
      </c>
      <c r="I64" s="102">
        <f>F64+H64</f>
        <v>271058493.09218782</v>
      </c>
      <c r="J64" s="103">
        <f>IF($E64=0,0,ROUND(I64/$E64*1000,2))</f>
        <v>82.04</v>
      </c>
      <c r="K64" s="89">
        <f>H64/F64</f>
        <v>8.4038903181038113E-2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3773868.1369650466</v>
      </c>
      <c r="I65" s="102">
        <f>F65+H65</f>
        <v>43610617.190053463</v>
      </c>
      <c r="J65" s="103">
        <f>IF($E65=0,0,ROUND(I65/$E65*1000,2))</f>
        <v>73.540000000000006</v>
      </c>
      <c r="K65" s="89">
        <f>H65/F65</f>
        <v>9.4733336094664847E-2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22623.35729838099</v>
      </c>
      <c r="I66" s="106">
        <f>F66+H66</f>
        <v>289754.05595850252</v>
      </c>
      <c r="J66" s="107">
        <f>IF($E66=0,0,ROUND(I66/$E66*1000,2))</f>
        <v>81.459999999999994</v>
      </c>
      <c r="K66" s="108">
        <f>H66/F66</f>
        <v>8.4690218727595107E-2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24809997.919658031</v>
      </c>
      <c r="I67" s="102">
        <f>SUM(I64:I66)</f>
        <v>314958864.33819979</v>
      </c>
      <c r="J67" s="103">
        <f>IF($E67=0,0,ROUND(I67/$E67*1000,2))</f>
        <v>80.739999999999995</v>
      </c>
      <c r="K67" s="89">
        <f>H67/F67</f>
        <v>8.5507823021681001E-2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15019331.165965579</v>
      </c>
      <c r="I70" s="102">
        <f>F70+H70</f>
        <v>154866757.1827431</v>
      </c>
      <c r="J70" s="103">
        <f>IF($E70=0,0,ROUND(I70/$E70*1000,2))</f>
        <v>65.66</v>
      </c>
      <c r="K70" s="89">
        <f>H70/F70</f>
        <v>0.10739798074055155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209524.19506648835</v>
      </c>
      <c r="I71" s="106">
        <f>F71+H71</f>
        <v>2060061.1209197186</v>
      </c>
      <c r="J71" s="107">
        <f>IF($E71=0,0,ROUND(I71/$E71*1000,2))</f>
        <v>62.63</v>
      </c>
      <c r="K71" s="108">
        <f>H71/F71</f>
        <v>0.11322346079091757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15228855.361032069</v>
      </c>
      <c r="I72" s="102">
        <f>SUM(I69:I71)</f>
        <v>156926818.30366281</v>
      </c>
      <c r="J72" s="103">
        <f>IF($E72=0,0,ROUND(I72/$E72*1000,2))</f>
        <v>65.62</v>
      </c>
      <c r="K72" s="89">
        <f>H72/F72</f>
        <v>0.10747405992842519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12061781.627962966</v>
      </c>
      <c r="I74" s="102">
        <f>F74+H74</f>
        <v>166816646.13769856</v>
      </c>
      <c r="J74" s="103">
        <f>IF($E74=0,0,ROUND(I74/$E74*1000,2))</f>
        <v>87.91</v>
      </c>
      <c r="K74" s="89">
        <f>H74/F74</f>
        <v>7.7941211516515285E-2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12061781.627962966</v>
      </c>
      <c r="I76" s="102">
        <f>SUM(I74:I75)</f>
        <v>166816646.13769856</v>
      </c>
      <c r="J76" s="103">
        <f>IF($E76=0,0,ROUND(I76/$E76*1000,2))</f>
        <v>87.91</v>
      </c>
      <c r="K76" s="89">
        <f>H76/F76</f>
        <v>7.7941211516515285E-2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26" priority="6">
      <formula>IF(A17=A16,1,0)</formula>
    </cfRule>
  </conditionalFormatting>
  <conditionalFormatting sqref="A76:A87">
    <cfRule type="expression" dxfId="25" priority="5">
      <formula>IF(A76=#REF!,1,0)</formula>
    </cfRule>
  </conditionalFormatting>
  <conditionalFormatting sqref="A38">
    <cfRule type="expression" dxfId="24" priority="4">
      <formula>IF(A38=#REF!,1,0)</formula>
    </cfRule>
  </conditionalFormatting>
  <conditionalFormatting sqref="A38">
    <cfRule type="expression" dxfId="23" priority="7">
      <formula>IF(A38=#REF!,1,0)</formula>
    </cfRule>
  </conditionalFormatting>
  <conditionalFormatting sqref="A39">
    <cfRule type="expression" dxfId="22" priority="8">
      <formula>IF(A39=#REF!,1,0)</formula>
    </cfRule>
  </conditionalFormatting>
  <conditionalFormatting sqref="L35 A35">
    <cfRule type="expression" dxfId="21" priority="3">
      <formula>IF(A35=A34,1,0)</formula>
    </cfRule>
  </conditionalFormatting>
  <conditionalFormatting sqref="N35:Q35">
    <cfRule type="expression" dxfId="20" priority="2">
      <formula>IF(N35=N34,1,0)</formula>
    </cfRule>
  </conditionalFormatting>
  <conditionalFormatting sqref="A33">
    <cfRule type="expression" dxfId="19" priority="1">
      <formula>IF(A33=A32,1,0)</formula>
    </cfRule>
  </conditionalFormatting>
  <conditionalFormatting sqref="A79">
    <cfRule type="expression" dxfId="18" priority="16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776-22FF-4005-BE0A-756E627ECF60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34719098.887460843</v>
      </c>
      <c r="I17" s="102">
        <f>F17+H17</f>
        <v>608544998.94174862</v>
      </c>
      <c r="J17" s="103">
        <f t="shared" ref="J17:J31" si="1">IF($E17=0,0,ROUND(I17/$E17*1000,2))</f>
        <v>111.48</v>
      </c>
      <c r="K17" s="89">
        <f>H17/F17</f>
        <v>6.0504586642352989E-2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28770.887219932047</v>
      </c>
      <c r="I18" s="102">
        <f t="shared" ref="I18:I30" si="4">F18+H18</f>
        <v>482800.76332493202</v>
      </c>
      <c r="J18" s="103">
        <f t="shared" si="1"/>
        <v>106.77</v>
      </c>
      <c r="K18" s="89">
        <f>H18/F18</f>
        <v>6.3367828273217922E-2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112368.63506773877</v>
      </c>
      <c r="I20" s="102">
        <f t="shared" si="4"/>
        <v>1900705.6508471607</v>
      </c>
      <c r="J20" s="103">
        <f t="shared" si="1"/>
        <v>107.61</v>
      </c>
      <c r="K20" s="89">
        <f>IF(F20=0,"N/A",H20/F20)</f>
        <v>6.2834149310925305E-2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419096.86359587958</v>
      </c>
      <c r="I21" s="102">
        <f t="shared" si="4"/>
        <v>7761283.2704476407</v>
      </c>
      <c r="J21" s="103">
        <f t="shared" si="1"/>
        <v>117.78</v>
      </c>
      <c r="K21" s="89">
        <f>IF(F21=0,"N/A",H21/F21)</f>
        <v>5.7080662403882383E-2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872123.26831946173</v>
      </c>
      <c r="I22" s="102">
        <f>F22+H22</f>
        <v>18883588.384110212</v>
      </c>
      <c r="J22" s="103">
        <f t="shared" si="1"/>
        <v>137.44</v>
      </c>
      <c r="K22" s="89">
        <f t="shared" ref="K22:K31" si="5">H22/F22</f>
        <v>4.8420451235522556E-2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1208.7280101506319</v>
      </c>
      <c r="I23" s="102">
        <f>F23+H23</f>
        <v>28493.784715734811</v>
      </c>
      <c r="J23" s="103">
        <f t="shared" si="1"/>
        <v>149.63</v>
      </c>
      <c r="K23" s="89">
        <f t="shared" si="5"/>
        <v>4.4299999930117531E-2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24856806.66155003</v>
      </c>
      <c r="I24" s="102">
        <f>F24+H24</f>
        <v>315005673.08009183</v>
      </c>
      <c r="J24" s="103">
        <f t="shared" si="1"/>
        <v>80.760000000000005</v>
      </c>
      <c r="K24" s="89">
        <f t="shared" si="5"/>
        <v>8.5669149662276844E-2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33105.847648852228</v>
      </c>
      <c r="I25" s="102">
        <f>F25+H25</f>
        <v>1311912.0804418521</v>
      </c>
      <c r="J25" s="103">
        <f>IF($E25=0,0,ROUND(I25/$E25*1000,2))</f>
        <v>249.06</v>
      </c>
      <c r="K25" s="89">
        <f t="shared" si="5"/>
        <v>2.588808749903166E-2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15257552.067144068</v>
      </c>
      <c r="I26" s="102">
        <f>F26+H26</f>
        <v>156955515.0097748</v>
      </c>
      <c r="J26" s="103">
        <f t="shared" si="1"/>
        <v>65.63</v>
      </c>
      <c r="K26" s="89">
        <f t="shared" si="5"/>
        <v>0.10767658017300781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12084551.773390964</v>
      </c>
      <c r="I27" s="102">
        <f t="shared" si="4"/>
        <v>166839416.28312653</v>
      </c>
      <c r="J27" s="103">
        <f t="shared" si="1"/>
        <v>87.93</v>
      </c>
      <c r="K27" s="89">
        <f t="shared" si="5"/>
        <v>7.8088348380355624E-2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88636.369506820833</v>
      </c>
      <c r="I28" s="102">
        <f t="shared" si="4"/>
        <v>1318268.5430078208</v>
      </c>
      <c r="J28" s="103">
        <f t="shared" si="1"/>
        <v>94.67</v>
      </c>
      <c r="K28" s="89">
        <f t="shared" si="5"/>
        <v>7.2083645350996289E-2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150462.07217858237</v>
      </c>
      <c r="I29" s="102">
        <f t="shared" si="4"/>
        <v>3740050.1440826268</v>
      </c>
      <c r="J29" s="103">
        <f t="shared" si="1"/>
        <v>157.41</v>
      </c>
      <c r="K29" s="89">
        <f t="shared" si="5"/>
        <v>4.1916250323055022E-2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18162.504649457867</v>
      </c>
      <c r="I30" s="106">
        <f t="shared" si="4"/>
        <v>202428.42931045787</v>
      </c>
      <c r="J30" s="107">
        <f t="shared" si="1"/>
        <v>71.08</v>
      </c>
      <c r="K30" s="108">
        <f t="shared" si="5"/>
        <v>9.8566811432292845E-2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88641944.565742791</v>
      </c>
      <c r="I31" s="102">
        <f>SUM(I17:I30)</f>
        <v>1282975134.3650303</v>
      </c>
      <c r="J31" s="103">
        <f t="shared" si="1"/>
        <v>92.17</v>
      </c>
      <c r="K31" s="89">
        <f t="shared" si="5"/>
        <v>7.4218773557351653E-2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6843325.2861506566</v>
      </c>
      <c r="I33" s="102">
        <f>F33+H33</f>
        <v>62810084.942604654</v>
      </c>
      <c r="J33" s="103">
        <f>IF($E33=0,0,ROUND(I33/$E33*1000,2))</f>
        <v>58.59</v>
      </c>
      <c r="K33" s="89">
        <f>H33/F33</f>
        <v>0.12227481684052607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95485269.851894006</v>
      </c>
      <c r="I35" s="115">
        <f>I31+I33</f>
        <v>1345785219.3076348</v>
      </c>
      <c r="J35" s="116">
        <f>IF($E35=0,0,ROUND(I35/$E35*1000,2))</f>
        <v>89.77</v>
      </c>
      <c r="K35" s="117">
        <f>H35/F35</f>
        <v>7.6369890195915766E-2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21053156.5474746</v>
      </c>
      <c r="I64" s="102">
        <f>F64+H64</f>
        <v>271098143.21426785</v>
      </c>
      <c r="J64" s="103">
        <f>IF($E64=0,0,ROUND(I64/$E64*1000,2))</f>
        <v>82.05</v>
      </c>
      <c r="K64" s="89">
        <f>H64/F64</f>
        <v>8.4197475134863503E-2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3780984.0710610459</v>
      </c>
      <c r="I65" s="102">
        <f>F65+H65</f>
        <v>43617733.124149464</v>
      </c>
      <c r="J65" s="103">
        <f>IF($E65=0,0,ROUND(I65/$E65*1000,2))</f>
        <v>73.56</v>
      </c>
      <c r="K65" s="89">
        <f>H65/F65</f>
        <v>9.4911963474286515E-2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22666.04301438099</v>
      </c>
      <c r="I66" s="106">
        <f>F66+H66</f>
        <v>289796.7416745025</v>
      </c>
      <c r="J66" s="107">
        <f>IF($E66=0,0,ROUND(I66/$E66*1000,2))</f>
        <v>81.47</v>
      </c>
      <c r="K66" s="108">
        <f>H66/F66</f>
        <v>8.4850012102950706E-2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24856806.661550026</v>
      </c>
      <c r="I67" s="102">
        <f>SUM(I64:I66)</f>
        <v>315005673.08009177</v>
      </c>
      <c r="J67" s="103">
        <f>IF($E67=0,0,ROUND(I67/$E67*1000,2))</f>
        <v>80.760000000000005</v>
      </c>
      <c r="K67" s="89">
        <f>H67/F67</f>
        <v>8.5669149662276831E-2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15047633.148517579</v>
      </c>
      <c r="I70" s="102">
        <f>F70+H70</f>
        <v>154895059.16529509</v>
      </c>
      <c r="J70" s="103">
        <f>IF($E70=0,0,ROUND(I70/$E70*1000,2))</f>
        <v>65.680000000000007</v>
      </c>
      <c r="K70" s="89">
        <f>H70/F70</f>
        <v>0.10760035831272513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209918.91862648836</v>
      </c>
      <c r="I71" s="106">
        <f>F71+H71</f>
        <v>2060455.8444797187</v>
      </c>
      <c r="J71" s="107">
        <f>IF($E71=0,0,ROUND(I71/$E71*1000,2))</f>
        <v>62.64</v>
      </c>
      <c r="K71" s="108">
        <f>H71/F71</f>
        <v>0.11343676297067171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15257552.067144068</v>
      </c>
      <c r="I72" s="102">
        <f>SUM(I69:I71)</f>
        <v>156955515.0097748</v>
      </c>
      <c r="J72" s="103">
        <f>IF($E72=0,0,ROUND(I72/$E72*1000,2))</f>
        <v>65.63</v>
      </c>
      <c r="K72" s="89">
        <f>H72/F72</f>
        <v>0.10767658017300781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12084551.773390964</v>
      </c>
      <c r="I74" s="102">
        <f>F74+H74</f>
        <v>166839416.28312653</v>
      </c>
      <c r="J74" s="103">
        <f>IF($E74=0,0,ROUND(I74/$E74*1000,2))</f>
        <v>87.93</v>
      </c>
      <c r="K74" s="89">
        <f>H74/F74</f>
        <v>7.8088348380355624E-2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12084551.773390964</v>
      </c>
      <c r="I76" s="102">
        <f>SUM(I74:I75)</f>
        <v>166839416.28312653</v>
      </c>
      <c r="J76" s="103">
        <f>IF($E76=0,0,ROUND(I76/$E76*1000,2))</f>
        <v>87.93</v>
      </c>
      <c r="K76" s="89">
        <f>H76/F76</f>
        <v>7.8088348380355624E-2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17" priority="6">
      <formula>IF(A17=A16,1,0)</formula>
    </cfRule>
  </conditionalFormatting>
  <conditionalFormatting sqref="A76:A87">
    <cfRule type="expression" dxfId="16" priority="5">
      <formula>IF(A76=#REF!,1,0)</formula>
    </cfRule>
  </conditionalFormatting>
  <conditionalFormatting sqref="A38">
    <cfRule type="expression" dxfId="15" priority="4">
      <formula>IF(A38=#REF!,1,0)</formula>
    </cfRule>
  </conditionalFormatting>
  <conditionalFormatting sqref="A38">
    <cfRule type="expression" dxfId="14" priority="7">
      <formula>IF(A38=#REF!,1,0)</formula>
    </cfRule>
  </conditionalFormatting>
  <conditionalFormatting sqref="A39">
    <cfRule type="expression" dxfId="13" priority="8">
      <formula>IF(A39=#REF!,1,0)</formula>
    </cfRule>
  </conditionalFormatting>
  <conditionalFormatting sqref="L35 A35">
    <cfRule type="expression" dxfId="12" priority="3">
      <formula>IF(A35=A34,1,0)</formula>
    </cfRule>
  </conditionalFormatting>
  <conditionalFormatting sqref="N35:Q35">
    <cfRule type="expression" dxfId="11" priority="2">
      <formula>IF(N35=N34,1,0)</formula>
    </cfRule>
  </conditionalFormatting>
  <conditionalFormatting sqref="A33">
    <cfRule type="expression" dxfId="10" priority="1">
      <formula>IF(A33=A32,1,0)</formula>
    </cfRule>
  </conditionalFormatting>
  <conditionalFormatting sqref="A79">
    <cfRule type="expression" dxfId="9" priority="14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6004F-F8DB-4FFD-BB4D-7BD6914AE341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34702721.971238852</v>
      </c>
      <c r="I17" s="102">
        <f>F17+H17</f>
        <v>608528622.02552664</v>
      </c>
      <c r="J17" s="103">
        <f t="shared" ref="J17:J31" si="1">IF($E17=0,0,ROUND(I17/$E17*1000,2))</f>
        <v>111.47</v>
      </c>
      <c r="K17" s="89">
        <f>H17/F17</f>
        <v>6.0476046772994632E-2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28757.32135493205</v>
      </c>
      <c r="I18" s="102">
        <f t="shared" ref="I18:I30" si="4">F18+H18</f>
        <v>482787.19745993201</v>
      </c>
      <c r="J18" s="103">
        <f t="shared" si="1"/>
        <v>106.77</v>
      </c>
      <c r="K18" s="89">
        <f>H18/F18</f>
        <v>6.3337949479521843E-2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112315.64807344278</v>
      </c>
      <c r="I20" s="102">
        <f t="shared" si="4"/>
        <v>1900652.6638528646</v>
      </c>
      <c r="J20" s="103">
        <f t="shared" si="1"/>
        <v>107.61</v>
      </c>
      <c r="K20" s="89">
        <f>IF(F20=0,"N/A",H20/F20)</f>
        <v>6.2804520111379311E-2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418899.1766038796</v>
      </c>
      <c r="I21" s="102">
        <f t="shared" si="4"/>
        <v>7761085.5834556408</v>
      </c>
      <c r="J21" s="103">
        <f t="shared" si="1"/>
        <v>117.78</v>
      </c>
      <c r="K21" s="89">
        <f>IF(F21=0,"N/A",H21/F21)</f>
        <v>5.7053737591429309E-2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871711.08111446188</v>
      </c>
      <c r="I22" s="102">
        <f>F22+H22</f>
        <v>18883176.196905214</v>
      </c>
      <c r="J22" s="103">
        <f t="shared" si="1"/>
        <v>137.44</v>
      </c>
      <c r="K22" s="89">
        <f t="shared" ref="K22:K31" si="5">H22/F22</f>
        <v>4.8397566522793749E-2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1208.1567351506317</v>
      </c>
      <c r="I23" s="102">
        <f>F23+H23</f>
        <v>28493.213440734809</v>
      </c>
      <c r="J23" s="103">
        <f t="shared" si="1"/>
        <v>149.63</v>
      </c>
      <c r="K23" s="89">
        <f t="shared" si="5"/>
        <v>4.4279062645428531E-2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24845104.476077035</v>
      </c>
      <c r="I24" s="102">
        <f>F24+H24</f>
        <v>314993970.89461881</v>
      </c>
      <c r="J24" s="103">
        <f t="shared" si="1"/>
        <v>80.75</v>
      </c>
      <c r="K24" s="89">
        <f t="shared" si="5"/>
        <v>8.5628818002127904E-2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33090.045379852221</v>
      </c>
      <c r="I25" s="102">
        <f>F25+H25</f>
        <v>1311896.278172852</v>
      </c>
      <c r="J25" s="103">
        <f>IF($E25=0,0,ROUND(I25/$E25*1000,2))</f>
        <v>249.06</v>
      </c>
      <c r="K25" s="89">
        <f t="shared" si="5"/>
        <v>2.5875730451814665E-2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15250377.890616065</v>
      </c>
      <c r="I26" s="102">
        <f>F26+H26</f>
        <v>156948340.8332468</v>
      </c>
      <c r="J26" s="103">
        <f t="shared" si="1"/>
        <v>65.63</v>
      </c>
      <c r="K26" s="89">
        <f t="shared" si="5"/>
        <v>0.10762595011186213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12078859.237033963</v>
      </c>
      <c r="I27" s="102">
        <f t="shared" si="4"/>
        <v>166833723.74676955</v>
      </c>
      <c r="J27" s="103">
        <f t="shared" si="1"/>
        <v>87.92</v>
      </c>
      <c r="K27" s="89">
        <f t="shared" si="5"/>
        <v>7.8051564164395529E-2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88594.59360382086</v>
      </c>
      <c r="I28" s="102">
        <f t="shared" si="4"/>
        <v>1318226.7671048208</v>
      </c>
      <c r="J28" s="103">
        <f t="shared" si="1"/>
        <v>94.66</v>
      </c>
      <c r="K28" s="89">
        <f t="shared" si="5"/>
        <v>7.2049671042336963E-2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150390.79213658237</v>
      </c>
      <c r="I29" s="102">
        <f t="shared" si="4"/>
        <v>3739978.8640406271</v>
      </c>
      <c r="J29" s="103">
        <f t="shared" si="1"/>
        <v>157.41</v>
      </c>
      <c r="K29" s="89">
        <f t="shared" si="5"/>
        <v>4.1896392879645875E-2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18153.960766457869</v>
      </c>
      <c r="I30" s="106">
        <f t="shared" si="4"/>
        <v>202419.88542745786</v>
      </c>
      <c r="J30" s="107">
        <f t="shared" si="1"/>
        <v>71.08</v>
      </c>
      <c r="K30" s="108">
        <f t="shared" si="5"/>
        <v>9.8520444297318127E-2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88600184.350734502</v>
      </c>
      <c r="I31" s="102">
        <f>SUM(I17:I30)</f>
        <v>1282933374.150022</v>
      </c>
      <c r="J31" s="103">
        <f t="shared" si="1"/>
        <v>92.16</v>
      </c>
      <c r="K31" s="89">
        <f t="shared" si="5"/>
        <v>7.4183808260092091E-2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6840109.362161655</v>
      </c>
      <c r="I33" s="102">
        <f>F33+H33</f>
        <v>62806869.018615648</v>
      </c>
      <c r="J33" s="103">
        <f>IF($E33=0,0,ROUND(I33/$E33*1000,2))</f>
        <v>58.59</v>
      </c>
      <c r="K33" s="89">
        <f>H33/F33</f>
        <v>0.12221735551868536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95440293.712896004</v>
      </c>
      <c r="I35" s="115">
        <f>I31+I33</f>
        <v>1345740243.1686378</v>
      </c>
      <c r="J35" s="116">
        <f>IF($E35=0,0,ROUND(I35/$E35*1000,2))</f>
        <v>89.76</v>
      </c>
      <c r="K35" s="117">
        <f>H35/F35</f>
        <v>7.6333917916609845E-2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21043244.016954601</v>
      </c>
      <c r="I64" s="102">
        <f>F64+H64</f>
        <v>271088230.68374783</v>
      </c>
      <c r="J64" s="103">
        <f>IF($E64=0,0,ROUND(I64/$E64*1000,2))</f>
        <v>82.04</v>
      </c>
      <c r="K64" s="89">
        <f>H64/F64</f>
        <v>8.4157832146407166E-2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3779205.0875370465</v>
      </c>
      <c r="I65" s="102">
        <f>F65+H65</f>
        <v>43615954.140625462</v>
      </c>
      <c r="J65" s="103">
        <f>IF($E65=0,0,ROUND(I65/$E65*1000,2))</f>
        <v>73.55</v>
      </c>
      <c r="K65" s="89">
        <f>H65/F65</f>
        <v>9.4867306629381101E-2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22655.371585380995</v>
      </c>
      <c r="I66" s="106">
        <f>F66+H66</f>
        <v>289786.07024550252</v>
      </c>
      <c r="J66" s="107">
        <f>IF($E66=0,0,ROUND(I66/$E66*1000,2))</f>
        <v>81.47</v>
      </c>
      <c r="K66" s="108">
        <f>H66/F66</f>
        <v>8.481006375911182E-2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24845104.476077028</v>
      </c>
      <c r="I67" s="102">
        <f>SUM(I64:I66)</f>
        <v>314993970.89461881</v>
      </c>
      <c r="J67" s="103">
        <f>IF($E67=0,0,ROUND(I67/$E67*1000,2))</f>
        <v>80.75</v>
      </c>
      <c r="K67" s="89">
        <f>H67/F67</f>
        <v>8.5628818002127877E-2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15040557.652879577</v>
      </c>
      <c r="I70" s="102">
        <f>F70+H70</f>
        <v>154887983.66965708</v>
      </c>
      <c r="J70" s="103">
        <f>IF($E70=0,0,ROUND(I70/$E70*1000,2))</f>
        <v>65.67</v>
      </c>
      <c r="K70" s="89">
        <f>H70/F70</f>
        <v>0.10754976391968173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209820.23773648834</v>
      </c>
      <c r="I71" s="106">
        <f>F71+H71</f>
        <v>2060357.1635897188</v>
      </c>
      <c r="J71" s="107">
        <f>IF($E71=0,0,ROUND(I71/$E71*1000,2))</f>
        <v>62.64</v>
      </c>
      <c r="K71" s="108">
        <f>H71/F71</f>
        <v>0.11338343742573316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15250377.890616065</v>
      </c>
      <c r="I72" s="102">
        <f>SUM(I69:I71)</f>
        <v>156948340.8332468</v>
      </c>
      <c r="J72" s="103">
        <f>IF($E72=0,0,ROUND(I72/$E72*1000,2))</f>
        <v>65.63</v>
      </c>
      <c r="K72" s="89">
        <f>H72/F72</f>
        <v>0.10762595011186213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12078859.237033963</v>
      </c>
      <c r="I74" s="102">
        <f>F74+H74</f>
        <v>166833723.74676955</v>
      </c>
      <c r="J74" s="103">
        <f>IF($E74=0,0,ROUND(I74/$E74*1000,2))</f>
        <v>87.92</v>
      </c>
      <c r="K74" s="89">
        <f>H74/F74</f>
        <v>7.8051564164395529E-2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12078859.237033963</v>
      </c>
      <c r="I76" s="102">
        <f>SUM(I74:I75)</f>
        <v>166833723.74676955</v>
      </c>
      <c r="J76" s="103">
        <f>IF($E76=0,0,ROUND(I76/$E76*1000,2))</f>
        <v>87.92</v>
      </c>
      <c r="K76" s="89">
        <f>H76/F76</f>
        <v>7.8051564164395529E-2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8" priority="6">
      <formula>IF(A17=A16,1,0)</formula>
    </cfRule>
  </conditionalFormatting>
  <conditionalFormatting sqref="A76:A87">
    <cfRule type="expression" dxfId="7" priority="5">
      <formula>IF(A76=#REF!,1,0)</formula>
    </cfRule>
  </conditionalFormatting>
  <conditionalFormatting sqref="A38">
    <cfRule type="expression" dxfId="6" priority="4">
      <formula>IF(A38=#REF!,1,0)</formula>
    </cfRule>
  </conditionalFormatting>
  <conditionalFormatting sqref="A38">
    <cfRule type="expression" dxfId="5" priority="7">
      <formula>IF(A38=#REF!,1,0)</formula>
    </cfRule>
  </conditionalFormatting>
  <conditionalFormatting sqref="A39">
    <cfRule type="expression" dxfId="4" priority="8">
      <formula>IF(A39=#REF!,1,0)</formula>
    </cfRule>
  </conditionalFormatting>
  <conditionalFormatting sqref="L35 A35">
    <cfRule type="expression" dxfId="3" priority="3">
      <formula>IF(A35=A34,1,0)</formula>
    </cfRule>
  </conditionalFormatting>
  <conditionalFormatting sqref="N35:Q35">
    <cfRule type="expression" dxfId="2" priority="2">
      <formula>IF(N35=N34,1,0)</formula>
    </cfRule>
  </conditionalFormatting>
  <conditionalFormatting sqref="A33">
    <cfRule type="expression" dxfId="1" priority="1">
      <formula>IF(A33=A32,1,0)</formula>
    </cfRule>
  </conditionalFormatting>
  <conditionalFormatting sqref="A79">
    <cfRule type="expression" dxfId="0" priority="12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4445-B88C-4591-A462-390FCCC761F3}">
  <sheetPr codeName="Sheet1">
    <pageSetUpPr fitToPage="1"/>
  </sheetPr>
  <dimension ref="A1:L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</cols>
  <sheetData>
    <row r="1" spans="1:12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2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2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</row>
    <row r="4" spans="1:12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</row>
    <row r="5" spans="1:12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</row>
    <row r="6" spans="1:12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</row>
    <row r="7" spans="1:12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</row>
    <row r="8" spans="1:12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</row>
    <row r="9" spans="1:12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</row>
    <row r="10" spans="1:12" x14ac:dyDescent="0.25">
      <c r="A10" s="5"/>
      <c r="E10" s="24"/>
      <c r="G10" s="16"/>
      <c r="H10" s="16"/>
      <c r="I10" s="16"/>
      <c r="J10" s="17"/>
      <c r="K10" s="18"/>
    </row>
    <row r="11" spans="1:12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</row>
    <row r="12" spans="1:12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</row>
    <row r="13" spans="1:12" x14ac:dyDescent="0.25">
      <c r="A13" s="5"/>
      <c r="B13" s="14" t="s">
        <v>113</v>
      </c>
      <c r="E13" s="24"/>
      <c r="G13" s="16"/>
      <c r="H13" s="16"/>
      <c r="J13" s="18"/>
      <c r="K13" s="18"/>
    </row>
    <row r="14" spans="1:12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2" ht="15.75" thickBot="1" x14ac:dyDescent="0.3"/>
    <row r="16" spans="1:12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2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2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2" x14ac:dyDescent="0.25">
      <c r="A19" s="5"/>
      <c r="B19" s="37"/>
      <c r="E19" s="23"/>
      <c r="J19" s="8"/>
      <c r="K19" s="17"/>
    </row>
    <row r="20" spans="1:12" x14ac:dyDescent="0.25">
      <c r="A20" s="5" t="s">
        <v>130</v>
      </c>
      <c r="B20" s="39">
        <f>E18-B18</f>
        <v>78732188.963125795</v>
      </c>
      <c r="E20" s="23"/>
      <c r="H20" s="14"/>
      <c r="J20" s="8"/>
    </row>
    <row r="21" spans="1:12" x14ac:dyDescent="0.25">
      <c r="A21" s="5"/>
      <c r="B21" s="37"/>
      <c r="E21" s="23"/>
      <c r="G21" s="12"/>
      <c r="H21" s="40" t="s">
        <v>131</v>
      </c>
      <c r="I21" s="12"/>
      <c r="J21" s="26"/>
      <c r="K21" s="17"/>
    </row>
    <row r="22" spans="1:12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</row>
    <row r="23" spans="1:12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</row>
    <row r="24" spans="1:12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</row>
    <row r="25" spans="1:12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</row>
    <row r="26" spans="1:12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2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2" x14ac:dyDescent="0.25">
      <c r="A28" s="5"/>
      <c r="B28" s="37"/>
      <c r="E28" s="23"/>
      <c r="H28" s="49"/>
      <c r="I28" s="135"/>
      <c r="J28" s="135"/>
    </row>
    <row r="29" spans="1:12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2" x14ac:dyDescent="0.25">
      <c r="A30" s="5"/>
      <c r="B30" s="37"/>
      <c r="E30" s="23"/>
    </row>
    <row r="31" spans="1:12" x14ac:dyDescent="0.25">
      <c r="A31" s="5"/>
      <c r="B31" s="14" t="s">
        <v>113</v>
      </c>
      <c r="E31" s="23"/>
      <c r="J31" s="26"/>
    </row>
    <row r="32" spans="1:12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0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0" ht="15.75" thickBot="1" x14ac:dyDescent="0.3">
      <c r="A34" s="53"/>
      <c r="B34" s="22"/>
      <c r="D34" s="53"/>
      <c r="E34" s="22"/>
    </row>
    <row r="35" spans="1:10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0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0" ht="15.75" thickBot="1" x14ac:dyDescent="0.3">
      <c r="A37" s="62"/>
      <c r="B37" s="63"/>
      <c r="E37" s="37" t="s">
        <v>137</v>
      </c>
    </row>
    <row r="38" spans="1:10" x14ac:dyDescent="0.25">
      <c r="A38" s="62"/>
      <c r="B38" s="63"/>
      <c r="D38" s="56" t="s">
        <v>113</v>
      </c>
      <c r="E38" s="64"/>
    </row>
    <row r="39" spans="1:10" ht="15.75" thickBot="1" x14ac:dyDescent="0.3">
      <c r="A39" t="s">
        <v>6</v>
      </c>
      <c r="B39" s="65">
        <v>38669525.546000049</v>
      </c>
      <c r="D39" s="66">
        <f>ROUND((B39/B45)/10,4)</f>
        <v>0.25790000000000002</v>
      </c>
      <c r="E39" s="61">
        <f>D39/100</f>
        <v>2.5790000000000001E-3</v>
      </c>
    </row>
    <row r="40" spans="1:10" ht="15.75" thickBot="1" x14ac:dyDescent="0.3">
      <c r="A40" t="s">
        <v>13</v>
      </c>
      <c r="B40" s="67">
        <v>568771</v>
      </c>
      <c r="E40" s="22"/>
    </row>
    <row r="41" spans="1:10" x14ac:dyDescent="0.25">
      <c r="D41" s="56" t="s">
        <v>113</v>
      </c>
      <c r="E41" s="22"/>
    </row>
    <row r="42" spans="1:10" ht="15.75" thickBot="1" x14ac:dyDescent="0.3">
      <c r="A42" s="62" t="s">
        <v>7</v>
      </c>
      <c r="B42" s="26"/>
      <c r="D42" s="68">
        <f>ROUND(D36+D39,4)</f>
        <v>1.3939999999999999</v>
      </c>
      <c r="E42" s="22"/>
    </row>
    <row r="43" spans="1:10" ht="15.75" thickBot="1" x14ac:dyDescent="0.3">
      <c r="B43" s="8"/>
      <c r="E43" s="63"/>
    </row>
    <row r="44" spans="1:10" x14ac:dyDescent="0.25">
      <c r="A44" s="62" t="s">
        <v>138</v>
      </c>
      <c r="B44" s="69">
        <v>15690545.721432254</v>
      </c>
      <c r="D44" s="70" t="s">
        <v>139</v>
      </c>
    </row>
    <row r="45" spans="1:10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0" x14ac:dyDescent="0.25">
      <c r="J46" s="16"/>
    </row>
    <row r="47" spans="1:10" x14ac:dyDescent="0.25">
      <c r="B47" s="72"/>
      <c r="H47" s="16"/>
    </row>
    <row r="48" spans="1:10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FD5F-BFAC-4990-826C-C7C1E42853CF}">
  <sheetPr codeName="Sheet2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38966917.135999948</v>
      </c>
      <c r="D39" s="66">
        <f>ROUND((B39/B45)/10,4)</f>
        <v>0.25990000000000002</v>
      </c>
      <c r="E39" s="61">
        <f>D39/100</f>
        <v>2.5990000000000002E-3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1.3959999999999999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7588-65D8-44E4-A9D1-6A27AB95EE29}">
  <sheetPr codeName="Sheet3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39127775.355999991</v>
      </c>
      <c r="D39" s="66">
        <f>ROUND((B39/B45)/10,4)</f>
        <v>0.26100000000000001</v>
      </c>
      <c r="E39" s="61">
        <f>D39/100</f>
        <v>2.6099999999999999E-3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1.3971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6E35-9E66-416B-8528-4041B08B1101}">
  <sheetPr codeName="Sheet4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39087233.836000018</v>
      </c>
      <c r="D39" s="66">
        <f>ROUND((B39/B45)/10,4)</f>
        <v>0.26069999999999999</v>
      </c>
      <c r="E39" s="61">
        <f>D39/100</f>
        <v>2.6069999999999999E-3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1.3968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E31A-84FA-4EF5-9CEE-B21F91D53558}">
  <sheetPr codeName="Sheet5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39063304.645999983</v>
      </c>
      <c r="D39" s="66">
        <f>ROUND((B39/B45)/10,4)</f>
        <v>0.2606</v>
      </c>
      <c r="E39" s="61">
        <f>D39/100</f>
        <v>2.6059999999999998E-3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1.3967000000000001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99C0-AC1A-4F32-A8E3-B927ECE55DBE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140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34511657.94864884</v>
      </c>
      <c r="I17" s="102">
        <f>F17+H17</f>
        <v>608337558.0029366</v>
      </c>
      <c r="J17" s="103">
        <f t="shared" ref="J17:J31" si="1">IF($E17=0,0,ROUND(I17/$E17*1000,2))</f>
        <v>111.44</v>
      </c>
      <c r="K17" s="89">
        <f>H17/F17</f>
        <v>6.0143081630480266E-2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28599.052929932048</v>
      </c>
      <c r="I18" s="102">
        <f t="shared" ref="I18:I30" si="4">F18+H18</f>
        <v>482628.92903493205</v>
      </c>
      <c r="J18" s="103">
        <f t="shared" si="1"/>
        <v>106.73</v>
      </c>
      <c r="K18" s="89">
        <f>H18/F18</f>
        <v>6.2989363553067515E-2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111697.46647331378</v>
      </c>
      <c r="I20" s="102">
        <f t="shared" si="4"/>
        <v>1900034.4822527356</v>
      </c>
      <c r="J20" s="103">
        <f t="shared" si="1"/>
        <v>107.58</v>
      </c>
      <c r="K20" s="89">
        <f>IF(F20=0,"N/A",H20/F20)</f>
        <v>6.245884611667113E-2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416592.82836387964</v>
      </c>
      <c r="I21" s="102">
        <f t="shared" si="4"/>
        <v>7758779.2352156406</v>
      </c>
      <c r="J21" s="103">
        <f t="shared" si="1"/>
        <v>117.74</v>
      </c>
      <c r="K21" s="89">
        <f>IF(F21=0,"N/A",H21/F21)</f>
        <v>5.6739614779476776E-2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866902.23038946185</v>
      </c>
      <c r="I22" s="102">
        <f>F22+H22</f>
        <v>18878367.346180212</v>
      </c>
      <c r="J22" s="103">
        <f t="shared" si="1"/>
        <v>137.4</v>
      </c>
      <c r="K22" s="89">
        <f t="shared" ref="K22:K31" si="5">H22/F22</f>
        <v>4.8130578207624203E-2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1201.4918601506317</v>
      </c>
      <c r="I23" s="102">
        <f>F23+H23</f>
        <v>28486.548565734811</v>
      </c>
      <c r="J23" s="103">
        <f t="shared" si="1"/>
        <v>149.59</v>
      </c>
      <c r="K23" s="89">
        <f t="shared" si="5"/>
        <v>4.4034794324057006E-2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24708578.978892028</v>
      </c>
      <c r="I24" s="102">
        <f>F24+H24</f>
        <v>314857445.39743382</v>
      </c>
      <c r="J24" s="103">
        <f t="shared" si="1"/>
        <v>80.72</v>
      </c>
      <c r="K24" s="89">
        <f t="shared" si="5"/>
        <v>8.5158281967056618E-2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32905.685574852221</v>
      </c>
      <c r="I25" s="102">
        <f>F25+H25</f>
        <v>1311711.918367852</v>
      </c>
      <c r="J25" s="103">
        <f>IF($E25=0,0,ROUND(I25/$E25*1000,2))</f>
        <v>249.02</v>
      </c>
      <c r="K25" s="89">
        <f t="shared" si="5"/>
        <v>2.573156490094982E-2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15166679.164456068</v>
      </c>
      <c r="I26" s="102">
        <f>F26+H26</f>
        <v>156864642.10708681</v>
      </c>
      <c r="J26" s="103">
        <f t="shared" si="1"/>
        <v>65.599999999999994</v>
      </c>
      <c r="K26" s="89">
        <f t="shared" si="5"/>
        <v>0.10703526606516285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12012446.312868964</v>
      </c>
      <c r="I27" s="102">
        <f t="shared" si="4"/>
        <v>166767310.82260454</v>
      </c>
      <c r="J27" s="103">
        <f t="shared" si="1"/>
        <v>87.89</v>
      </c>
      <c r="K27" s="89">
        <f t="shared" si="5"/>
        <v>7.7622414978194526E-2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88107.208068820852</v>
      </c>
      <c r="I28" s="102">
        <f t="shared" si="4"/>
        <v>1317739.3815698209</v>
      </c>
      <c r="J28" s="103">
        <f t="shared" si="1"/>
        <v>94.63</v>
      </c>
      <c r="K28" s="89">
        <f t="shared" si="5"/>
        <v>7.165330410797778E-2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149559.19164658239</v>
      </c>
      <c r="I29" s="102">
        <f t="shared" si="4"/>
        <v>3739147.263550627</v>
      </c>
      <c r="J29" s="103">
        <f t="shared" si="1"/>
        <v>157.37</v>
      </c>
      <c r="K29" s="89">
        <f t="shared" si="5"/>
        <v>4.1664722706539106E-2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18054.282131457865</v>
      </c>
      <c r="I30" s="106">
        <f t="shared" si="4"/>
        <v>202320.20679245787</v>
      </c>
      <c r="J30" s="107">
        <f t="shared" si="1"/>
        <v>71.040000000000006</v>
      </c>
      <c r="K30" s="108">
        <f t="shared" si="5"/>
        <v>9.7979494389279595E-2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88112981.842304349</v>
      </c>
      <c r="I31" s="102">
        <f>SUM(I17:I30)</f>
        <v>1282446171.6415918</v>
      </c>
      <c r="J31" s="103">
        <f t="shared" si="1"/>
        <v>92.13</v>
      </c>
      <c r="K31" s="89">
        <f t="shared" si="5"/>
        <v>7.3775879792063806E-2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6802590.248956657</v>
      </c>
      <c r="I33" s="102">
        <f>F33+H33</f>
        <v>62769349.905410655</v>
      </c>
      <c r="J33" s="103">
        <f>IF($E33=0,0,ROUND(I33/$E33*1000,2))</f>
        <v>58.55</v>
      </c>
      <c r="K33" s="89">
        <f>H33/F33</f>
        <v>0.12154697343054402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94915572.091260999</v>
      </c>
      <c r="I35" s="115">
        <f>I31+I33</f>
        <v>1345215521.5470026</v>
      </c>
      <c r="J35" s="116">
        <f>IF($E35=0,0,ROUND(I35/$E35*1000,2))</f>
        <v>89.73</v>
      </c>
      <c r="K35" s="117">
        <f>H35/F35</f>
        <v>7.591424132471411E-2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Power Cost Adjustment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20927597.827554598</v>
      </c>
      <c r="I64" s="102">
        <f>F64+H64</f>
        <v>270972584.49434781</v>
      </c>
      <c r="J64" s="103">
        <f>IF($E64=0,0,ROUND(I64/$E64*1000,2))</f>
        <v>82.01</v>
      </c>
      <c r="K64" s="89">
        <f>H64/F64</f>
        <v>8.3695330614416391E-2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3758450.2797570461</v>
      </c>
      <c r="I65" s="102">
        <f>F65+H65</f>
        <v>43595199.332845464</v>
      </c>
      <c r="J65" s="103">
        <f>IF($E65=0,0,ROUND(I65/$E65*1000,2))</f>
        <v>73.52</v>
      </c>
      <c r="K65" s="89">
        <f>H65/F65</f>
        <v>9.4346310105484499E-2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22530.871580380994</v>
      </c>
      <c r="I66" s="106">
        <f>F66+H66</f>
        <v>289661.57024050254</v>
      </c>
      <c r="J66" s="107">
        <f>IF($E66=0,0,ROUND(I66/$E66*1000,2))</f>
        <v>81.430000000000007</v>
      </c>
      <c r="K66" s="108">
        <f>H66/F66</f>
        <v>8.4343999747657994E-2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24708578.978892025</v>
      </c>
      <c r="I67" s="102">
        <f>SUM(I64:I66)</f>
        <v>314857445.39743376</v>
      </c>
      <c r="J67" s="103">
        <f>IF($E67=0,0,ROUND(I67/$E67*1000,2))</f>
        <v>80.72</v>
      </c>
      <c r="K67" s="89">
        <f>H67/F67</f>
        <v>8.5158281967056604E-2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14958010.20376958</v>
      </c>
      <c r="I70" s="102">
        <f>F70+H70</f>
        <v>154805436.22054708</v>
      </c>
      <c r="J70" s="103">
        <f>IF($E70=0,0,ROUND(I70/$E70*1000,2))</f>
        <v>65.64</v>
      </c>
      <c r="K70" s="89">
        <f>H70/F70</f>
        <v>0.10695949600084212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208668.96068648837</v>
      </c>
      <c r="I71" s="106">
        <f>F71+H71</f>
        <v>2059205.8865397186</v>
      </c>
      <c r="J71" s="107">
        <f>IF($E71=0,0,ROUND(I71/$E71*1000,2))</f>
        <v>62.6</v>
      </c>
      <c r="K71" s="108">
        <f>H71/F71</f>
        <v>0.11276130606811696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15166679.164456068</v>
      </c>
      <c r="I72" s="102">
        <f>SUM(I69:I71)</f>
        <v>156864642.10708681</v>
      </c>
      <c r="J72" s="103">
        <f>IF($E72=0,0,ROUND(I72/$E72*1000,2))</f>
        <v>65.599999999999994</v>
      </c>
      <c r="K72" s="89">
        <f>H72/F72</f>
        <v>0.10703526606516285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12012446.312868964</v>
      </c>
      <c r="I74" s="102">
        <f>F74+H74</f>
        <v>166767310.82260454</v>
      </c>
      <c r="J74" s="103">
        <f>IF($E74=0,0,ROUND(I74/$E74*1000,2))</f>
        <v>87.89</v>
      </c>
      <c r="K74" s="89">
        <f>H74/F74</f>
        <v>7.7622414978194526E-2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12012446.312868964</v>
      </c>
      <c r="I76" s="102">
        <f>SUM(I74:I75)</f>
        <v>166767310.82260454</v>
      </c>
      <c r="J76" s="103">
        <f>IF($E76=0,0,ROUND(I76/$E76*1000,2))</f>
        <v>87.89</v>
      </c>
      <c r="K76" s="89">
        <f>H76/F76</f>
        <v>7.7622414978194526E-2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  <mergeCell ref="A6:K6"/>
    <mergeCell ref="A1:K1"/>
    <mergeCell ref="A2:K2"/>
    <mergeCell ref="A3:K3"/>
    <mergeCell ref="A4:K4"/>
    <mergeCell ref="A5:K5"/>
  </mergeCells>
  <conditionalFormatting sqref="A64:A72 A83:A87 A17:A32 A34:A40 A74:A77 A80:A81">
    <cfRule type="expression" dxfId="116" priority="6">
      <formula>IF(A17=A16,1,0)</formula>
    </cfRule>
  </conditionalFormatting>
  <conditionalFormatting sqref="A76:A87">
    <cfRule type="expression" dxfId="115" priority="5">
      <formula>IF(A76=#REF!,1,0)</formula>
    </cfRule>
  </conditionalFormatting>
  <conditionalFormatting sqref="A38">
    <cfRule type="expression" dxfId="114" priority="4">
      <formula>IF(A38=#REF!,1,0)</formula>
    </cfRule>
  </conditionalFormatting>
  <conditionalFormatting sqref="A38">
    <cfRule type="expression" dxfId="113" priority="7">
      <formula>IF(A38=#REF!,1,0)</formula>
    </cfRule>
  </conditionalFormatting>
  <conditionalFormatting sqref="A39">
    <cfRule type="expression" dxfId="112" priority="8">
      <formula>IF(A39=#REF!,1,0)</formula>
    </cfRule>
  </conditionalFormatting>
  <conditionalFormatting sqref="L35 A35">
    <cfRule type="expression" dxfId="111" priority="3">
      <formula>IF(A35=A34,1,0)</formula>
    </cfRule>
  </conditionalFormatting>
  <conditionalFormatting sqref="N35:Q35">
    <cfRule type="expression" dxfId="110" priority="2">
      <formula>IF(N35=N34,1,0)</formula>
    </cfRule>
  </conditionalFormatting>
  <conditionalFormatting sqref="A33">
    <cfRule type="expression" dxfId="109" priority="1">
      <formula>IF(A33=A32,1,0)</formula>
    </cfRule>
  </conditionalFormatting>
  <conditionalFormatting sqref="A79">
    <cfRule type="expression" dxfId="108" priority="10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1341-C87C-4E2B-88EA-C69E50777C2B}">
  <sheetPr codeName="Sheet7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39236533.666000009</v>
      </c>
      <c r="D39" s="66">
        <f>ROUND((B39/B45)/10,4)</f>
        <v>0.26169999999999999</v>
      </c>
      <c r="E39" s="61">
        <f>D39/100</f>
        <v>2.617E-3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1.3977999999999999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0722-1AD7-46C9-ACDE-5E45406B7775}">
  <sheetPr codeName="Sheet8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39202028.676000029</v>
      </c>
      <c r="D39" s="66">
        <f>ROUND((B39/B45)/10,4)</f>
        <v>0.26150000000000001</v>
      </c>
      <c r="E39" s="61">
        <f>D39/100</f>
        <v>2.6150000000000001E-3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1.3976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6727-D3C9-4B8D-8CE0-88125CDAFAFA}">
  <sheetPr codeName="Sheet9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38981818.846000001</v>
      </c>
      <c r="D39" s="66">
        <f>ROUND((B39/B45)/10,4)</f>
        <v>0.26</v>
      </c>
      <c r="E39" s="61">
        <f>D39/100</f>
        <v>2.5999999999999999E-3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1.3960999999999999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0224-8C83-4145-A148-9F69B1CE9CA3}">
  <sheetPr codeName="Sheet10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39143064.386000022</v>
      </c>
      <c r="D39" s="66">
        <f>ROUND((B39/B45)/10,4)</f>
        <v>0.2611</v>
      </c>
      <c r="E39" s="61">
        <f>D39/100</f>
        <v>2.611E-3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1.3972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A657-B3D9-4CBE-9D78-7D1B39FB9FC7}">
  <sheetPr codeName="Sheet11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39104124.19600001</v>
      </c>
      <c r="D39" s="66">
        <f>ROUND((B39/B45)/10,4)</f>
        <v>0.26079999999999998</v>
      </c>
      <c r="E39" s="61">
        <f>D39/100</f>
        <v>2.6079999999999996E-3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1.3969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F44F-6CEA-491C-89B0-D6386227ECA3}">
  <sheetPr codeName="Sheet12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39053825.335999988</v>
      </c>
      <c r="D39" s="66">
        <f>ROUND((B39/B45)/10,4)</f>
        <v>0.26050000000000001</v>
      </c>
      <c r="E39" s="61">
        <f>D39/100</f>
        <v>2.6050000000000001E-3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1.3966000000000001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ED53-39EB-40BB-A388-89E43ED6B352}">
  <sheetPr codeName="Sheet13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39226759.035999991</v>
      </c>
      <c r="D39" s="66">
        <f>ROUND((B39/B45)/10,4)</f>
        <v>0.26169999999999999</v>
      </c>
      <c r="E39" s="61">
        <f>D39/100</f>
        <v>2.617E-3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1.3977999999999999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65A7-B001-482D-8AE8-E833C8BD5ECB}">
  <sheetPr codeName="Sheet14">
    <pageSetUpPr fitToPage="1"/>
  </sheetPr>
  <dimension ref="A1:P50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2" customWidth="1"/>
    <col min="3" max="3" width="3.5703125" customWidth="1"/>
    <col min="4" max="4" width="24.85546875" customWidth="1"/>
    <col min="5" max="5" width="21.140625" customWidth="1"/>
    <col min="6" max="6" width="3.140625" customWidth="1"/>
    <col min="7" max="7" width="11.140625" customWidth="1"/>
    <col min="8" max="8" width="18.5703125" customWidth="1"/>
    <col min="9" max="9" width="15.140625" customWidth="1"/>
    <col min="10" max="10" width="14.140625" customWidth="1"/>
    <col min="11" max="11" width="14.42578125" customWidth="1"/>
    <col min="12" max="12" width="9" bestFit="1" customWidth="1"/>
    <col min="13" max="13" width="13.42578125" customWidth="1"/>
    <col min="14" max="14" width="15.140625" bestFit="1" customWidth="1"/>
    <col min="15" max="15" width="14.85546875" bestFit="1" customWidth="1"/>
    <col min="16" max="16" width="13.85546875" bestFit="1" customWidth="1"/>
  </cols>
  <sheetData>
    <row r="1" spans="1:16" ht="15.75" thickBot="1" x14ac:dyDescent="0.3">
      <c r="A1" s="141" t="s">
        <v>107</v>
      </c>
      <c r="B1" s="141"/>
      <c r="C1" s="141"/>
      <c r="D1" s="141"/>
      <c r="E1" s="141"/>
      <c r="I1" s="1" t="s">
        <v>108</v>
      </c>
      <c r="J1" s="2"/>
      <c r="K1" s="3"/>
    </row>
    <row r="2" spans="1:16" x14ac:dyDescent="0.25">
      <c r="A2" s="137" t="s">
        <v>109</v>
      </c>
      <c r="B2" s="138"/>
      <c r="C2" s="4"/>
      <c r="D2" s="138" t="s">
        <v>110</v>
      </c>
      <c r="E2" s="139"/>
      <c r="G2" s="142" t="s">
        <v>111</v>
      </c>
      <c r="H2" s="142"/>
    </row>
    <row r="3" spans="1:16" x14ac:dyDescent="0.25">
      <c r="A3" s="5" t="s">
        <v>112</v>
      </c>
      <c r="B3" s="6">
        <v>108503179.783159</v>
      </c>
      <c r="D3" t="s">
        <v>112</v>
      </c>
      <c r="E3" s="7">
        <v>151179160.44203904</v>
      </c>
      <c r="G3" s="142" t="s">
        <v>113</v>
      </c>
      <c r="H3" s="142"/>
      <c r="N3" s="8"/>
      <c r="O3" s="9"/>
      <c r="P3" s="9"/>
    </row>
    <row r="4" spans="1:16" x14ac:dyDescent="0.25">
      <c r="A4" s="5" t="s">
        <v>114</v>
      </c>
      <c r="B4" s="10">
        <v>2380597</v>
      </c>
      <c r="D4" t="s">
        <v>114</v>
      </c>
      <c r="E4" s="11">
        <v>1E-3</v>
      </c>
      <c r="G4" s="140" t="s">
        <v>115</v>
      </c>
      <c r="H4" s="140"/>
      <c r="I4" s="12" t="s">
        <v>116</v>
      </c>
      <c r="J4" s="13" t="s">
        <v>117</v>
      </c>
      <c r="K4" s="14"/>
      <c r="N4" s="9"/>
      <c r="O4" s="9"/>
      <c r="P4" s="9"/>
    </row>
    <row r="5" spans="1:16" x14ac:dyDescent="0.25">
      <c r="A5" s="5" t="s">
        <v>118</v>
      </c>
      <c r="B5" s="10">
        <v>33367562.8153941</v>
      </c>
      <c r="D5" t="s">
        <v>118</v>
      </c>
      <c r="E5" s="11">
        <v>79067982.366373301</v>
      </c>
      <c r="G5" t="s">
        <v>119</v>
      </c>
      <c r="H5" t="s">
        <v>110</v>
      </c>
      <c r="N5" s="9"/>
      <c r="O5" s="9"/>
      <c r="P5" s="9"/>
    </row>
    <row r="6" spans="1:16" x14ac:dyDescent="0.25">
      <c r="A6" s="5" t="s">
        <v>120</v>
      </c>
      <c r="B6" s="10">
        <v>62606592.595715098</v>
      </c>
      <c r="D6" t="s">
        <v>120</v>
      </c>
      <c r="E6" s="11">
        <v>98482808.007388219</v>
      </c>
      <c r="G6" s="15">
        <f>ROUND((B9/B44)/10,6)</f>
        <v>1.0234110000000001</v>
      </c>
      <c r="H6" s="15">
        <f>ROUND((E9/B44)/10,6)</f>
        <v>1.7130909999999999</v>
      </c>
      <c r="I6" s="16">
        <f>ROUND(H6-G6,6)</f>
        <v>0.68967999999999996</v>
      </c>
      <c r="J6" s="16">
        <f>ROUND(I6*0.95,6)</f>
        <v>0.655196</v>
      </c>
      <c r="K6" s="16"/>
      <c r="N6" s="9"/>
      <c r="O6" s="9"/>
      <c r="P6" s="9"/>
    </row>
    <row r="7" spans="1:16" x14ac:dyDescent="0.25">
      <c r="A7" s="5" t="s">
        <v>121</v>
      </c>
      <c r="B7" s="10">
        <v>5455955</v>
      </c>
      <c r="D7" t="s">
        <v>121</v>
      </c>
      <c r="E7" s="11">
        <v>5149239.4204595974</v>
      </c>
      <c r="G7" s="16"/>
      <c r="H7" s="16"/>
      <c r="I7" s="16"/>
      <c r="J7" s="17"/>
      <c r="K7" s="18"/>
      <c r="N7" s="9"/>
      <c r="O7" s="9"/>
      <c r="P7" s="9"/>
    </row>
    <row r="8" spans="1:16" x14ac:dyDescent="0.25">
      <c r="A8" s="19" t="s">
        <v>122</v>
      </c>
      <c r="B8" s="20">
        <v>-51735152.599395402</v>
      </c>
      <c r="D8" s="12" t="s">
        <v>122</v>
      </c>
      <c r="E8" s="21">
        <v>-65085847.74636507</v>
      </c>
      <c r="G8" s="136" t="s">
        <v>123</v>
      </c>
      <c r="H8" s="136"/>
      <c r="I8" s="16"/>
      <c r="J8" s="17"/>
      <c r="K8" s="18"/>
      <c r="N8" s="9"/>
      <c r="O8" s="9"/>
      <c r="P8" s="9"/>
    </row>
    <row r="9" spans="1:16" x14ac:dyDescent="0.25">
      <c r="A9" s="5" t="s">
        <v>124</v>
      </c>
      <c r="B9" s="22">
        <f>ROUND(SUM(B3:B8),0)</f>
        <v>160578735</v>
      </c>
      <c r="D9" t="s">
        <v>124</v>
      </c>
      <c r="E9" s="23">
        <f>ROUND(SUM(E3:E8),0)</f>
        <v>268793342</v>
      </c>
      <c r="G9" s="15">
        <f>ROUND((B18/B44)/10,6)</f>
        <v>0.85308600000000001</v>
      </c>
      <c r="H9" s="15">
        <f>ROUND((E18/B44)/10,6)</f>
        <v>1.354867</v>
      </c>
      <c r="I9" s="16">
        <f>ROUND(H9-G9,6)</f>
        <v>0.50178100000000003</v>
      </c>
      <c r="J9" s="16">
        <f>I9</f>
        <v>0.50178100000000003</v>
      </c>
      <c r="K9" s="16"/>
      <c r="L9" s="17"/>
      <c r="N9" s="9"/>
      <c r="O9" s="9"/>
      <c r="P9" s="9"/>
    </row>
    <row r="10" spans="1:16" x14ac:dyDescent="0.25">
      <c r="A10" s="5"/>
      <c r="E10" s="24"/>
      <c r="G10" s="16"/>
      <c r="H10" s="16"/>
      <c r="I10" s="16"/>
      <c r="J10" s="17"/>
      <c r="K10" s="18"/>
      <c r="N10" s="9"/>
    </row>
    <row r="11" spans="1:16" x14ac:dyDescent="0.25">
      <c r="A11" s="5" t="s">
        <v>125</v>
      </c>
      <c r="B11" s="25">
        <f>E9-B9</f>
        <v>108214607</v>
      </c>
      <c r="E11" s="24"/>
      <c r="G11" s="136" t="s">
        <v>126</v>
      </c>
      <c r="H11" s="136"/>
      <c r="I11" s="16"/>
      <c r="J11" s="17"/>
      <c r="K11" s="18"/>
      <c r="N11" s="9"/>
    </row>
    <row r="12" spans="1:16" x14ac:dyDescent="0.25">
      <c r="A12" s="5"/>
      <c r="B12" s="26"/>
      <c r="E12" s="24"/>
      <c r="G12" s="15">
        <f>ROUND((B27/B45)/10,6)</f>
        <v>7.5054999999999997E-2</v>
      </c>
      <c r="H12" s="15">
        <f>ROUND((E27/B45)/10,6)</f>
        <v>5.4135000000000003E-2</v>
      </c>
      <c r="I12" s="16">
        <f>ROUND(H12-G12,6)</f>
        <v>-2.0920000000000001E-2</v>
      </c>
      <c r="J12" s="16">
        <f>I12</f>
        <v>-2.0920000000000001E-2</v>
      </c>
      <c r="K12" s="16"/>
      <c r="L12" s="17"/>
      <c r="N12" s="9"/>
    </row>
    <row r="13" spans="1:16" x14ac:dyDescent="0.25">
      <c r="A13" s="5"/>
      <c r="B13" s="14" t="s">
        <v>113</v>
      </c>
      <c r="E13" s="24"/>
      <c r="G13" s="16"/>
      <c r="H13" s="16"/>
      <c r="J13" s="18"/>
      <c r="K13" s="18"/>
    </row>
    <row r="14" spans="1:16" ht="15.75" thickBot="1" x14ac:dyDescent="0.3">
      <c r="A14" s="27" t="s">
        <v>127</v>
      </c>
      <c r="B14" s="28">
        <f>((B11*0.95)/B44)/10</f>
        <v>0.65519631040988369</v>
      </c>
      <c r="C14" s="29"/>
      <c r="D14" s="29"/>
      <c r="E14" s="30"/>
      <c r="G14" s="31">
        <f>G6+G9+G12</f>
        <v>1.9515520000000002</v>
      </c>
      <c r="H14" s="31">
        <f>H6+H9+H12</f>
        <v>3.122093</v>
      </c>
      <c r="I14" s="31">
        <f>H14-G14</f>
        <v>1.1705409999999998</v>
      </c>
      <c r="J14" s="32">
        <f>SUM(J6:J12)</f>
        <v>1.1360569999999999</v>
      </c>
      <c r="K14" s="18"/>
      <c r="L14" s="16"/>
    </row>
    <row r="15" spans="1:16" ht="15.75" thickBot="1" x14ac:dyDescent="0.3"/>
    <row r="16" spans="1:16" x14ac:dyDescent="0.25">
      <c r="A16" s="137" t="s">
        <v>109</v>
      </c>
      <c r="B16" s="138"/>
      <c r="C16" s="4"/>
      <c r="D16" s="138" t="s">
        <v>110</v>
      </c>
      <c r="E16" s="139"/>
      <c r="J16" s="16"/>
      <c r="K16" s="18"/>
    </row>
    <row r="17" spans="1:14" x14ac:dyDescent="0.25">
      <c r="A17" s="33" t="s">
        <v>128</v>
      </c>
      <c r="B17" s="34">
        <v>133853869</v>
      </c>
      <c r="D17" s="35" t="s">
        <v>128</v>
      </c>
      <c r="E17" s="36">
        <v>212586057.9631258</v>
      </c>
      <c r="J17" s="16"/>
    </row>
    <row r="18" spans="1:14" x14ac:dyDescent="0.25">
      <c r="A18" s="5" t="s">
        <v>129</v>
      </c>
      <c r="B18" s="37">
        <f>SUM(B17:B17)</f>
        <v>133853869</v>
      </c>
      <c r="D18" t="s">
        <v>129</v>
      </c>
      <c r="E18" s="23">
        <f>SUM(E17:E17)</f>
        <v>212586057.9631258</v>
      </c>
      <c r="K18" s="17"/>
      <c r="L18" s="38"/>
    </row>
    <row r="19" spans="1:14" x14ac:dyDescent="0.25">
      <c r="A19" s="5"/>
      <c r="B19" s="37"/>
      <c r="E19" s="23"/>
      <c r="J19" s="8"/>
      <c r="K19" s="17"/>
    </row>
    <row r="20" spans="1:14" x14ac:dyDescent="0.25">
      <c r="A20" s="5" t="s">
        <v>130</v>
      </c>
      <c r="B20" s="39">
        <f>E18-B18</f>
        <v>78732188.963125795</v>
      </c>
      <c r="E20" s="23"/>
      <c r="H20" s="14"/>
      <c r="J20" s="8"/>
      <c r="N20" s="8"/>
    </row>
    <row r="21" spans="1:14" x14ac:dyDescent="0.25">
      <c r="A21" s="5"/>
      <c r="B21" s="37"/>
      <c r="E21" s="23"/>
      <c r="G21" s="12"/>
      <c r="H21" s="40" t="s">
        <v>131</v>
      </c>
      <c r="I21" s="12"/>
      <c r="J21" s="26"/>
      <c r="K21" s="17"/>
      <c r="N21" s="8"/>
    </row>
    <row r="22" spans="1:14" x14ac:dyDescent="0.25">
      <c r="A22" s="5"/>
      <c r="B22" s="14" t="s">
        <v>113</v>
      </c>
      <c r="E22" s="23"/>
      <c r="H22" s="41">
        <f>(B11*0.95)*D45</f>
        <v>98227334.425036401</v>
      </c>
      <c r="I22" s="26" t="s">
        <v>132</v>
      </c>
      <c r="J22" s="26"/>
      <c r="K22" s="26"/>
      <c r="N22" s="8"/>
    </row>
    <row r="23" spans="1:14" ht="15.75" thickBot="1" x14ac:dyDescent="0.3">
      <c r="A23" s="27" t="s">
        <v>133</v>
      </c>
      <c r="B23" s="28">
        <f>(B20/B44)/10</f>
        <v>0.50178107480087708</v>
      </c>
      <c r="C23" s="29"/>
      <c r="D23" s="29"/>
      <c r="E23" s="42"/>
      <c r="H23" s="43">
        <f>B20*D45</f>
        <v>75227251.22152403</v>
      </c>
      <c r="I23" s="44" t="s">
        <v>128</v>
      </c>
      <c r="K23" s="26"/>
      <c r="N23" s="8"/>
    </row>
    <row r="24" spans="1:14" ht="15.75" thickBot="1" x14ac:dyDescent="0.3">
      <c r="B24" s="16"/>
      <c r="E24" s="8"/>
      <c r="H24" s="45">
        <f>B29</f>
        <v>-3136364.9999999953</v>
      </c>
      <c r="I24" s="44" t="s">
        <v>134</v>
      </c>
      <c r="K24" s="26"/>
      <c r="N24" s="8"/>
    </row>
    <row r="25" spans="1:14" x14ac:dyDescent="0.25">
      <c r="A25" s="137" t="s">
        <v>109</v>
      </c>
      <c r="B25" s="138"/>
      <c r="C25" s="4"/>
      <c r="D25" s="138" t="s">
        <v>110</v>
      </c>
      <c r="E25" s="139"/>
      <c r="H25" s="46">
        <f>SUM(H22:H24)</f>
        <v>170318220.64656043</v>
      </c>
      <c r="N25" s="8"/>
    </row>
    <row r="26" spans="1:14" x14ac:dyDescent="0.25">
      <c r="A26" s="33" t="s">
        <v>135</v>
      </c>
      <c r="B26" s="34">
        <v>11252265</v>
      </c>
      <c r="D26" s="35" t="s">
        <v>135</v>
      </c>
      <c r="E26" s="36">
        <v>8115900.0000000047</v>
      </c>
      <c r="H26" s="47"/>
    </row>
    <row r="27" spans="1:14" x14ac:dyDescent="0.25">
      <c r="A27" s="5" t="s">
        <v>129</v>
      </c>
      <c r="B27" s="37">
        <f>SUM(B26:B26)</f>
        <v>11252265</v>
      </c>
      <c r="D27" t="s">
        <v>129</v>
      </c>
      <c r="E27" s="23">
        <f>SUM(E26:E26)</f>
        <v>8115900.0000000047</v>
      </c>
      <c r="H27" s="48">
        <f>(D36/100)*(B45*1000)</f>
        <v>170324638.38276282</v>
      </c>
      <c r="I27" s="135"/>
      <c r="J27" s="135"/>
    </row>
    <row r="28" spans="1:14" x14ac:dyDescent="0.25">
      <c r="A28" s="5"/>
      <c r="B28" s="37"/>
      <c r="E28" s="23"/>
      <c r="H28" s="49"/>
      <c r="I28" s="135"/>
      <c r="J28" s="135"/>
    </row>
    <row r="29" spans="1:14" x14ac:dyDescent="0.25">
      <c r="A29" s="5" t="s">
        <v>130</v>
      </c>
      <c r="B29" s="39">
        <f>E27-B27</f>
        <v>-3136364.9999999953</v>
      </c>
      <c r="E29" s="23"/>
      <c r="H29" s="50">
        <f>(H27*100)/(B45*1000)</f>
        <v>1.1361000000000001</v>
      </c>
    </row>
    <row r="30" spans="1:14" x14ac:dyDescent="0.25">
      <c r="A30" s="5"/>
      <c r="B30" s="37"/>
      <c r="E30" s="23"/>
    </row>
    <row r="31" spans="1:14" x14ac:dyDescent="0.25">
      <c r="A31" s="5"/>
      <c r="B31" s="14" t="s">
        <v>113</v>
      </c>
      <c r="E31" s="23"/>
      <c r="J31" s="26"/>
    </row>
    <row r="32" spans="1:14" ht="15.75" thickBot="1" x14ac:dyDescent="0.3">
      <c r="A32" s="27" t="s">
        <v>133</v>
      </c>
      <c r="B32" s="28">
        <f>(B29/B45)/10</f>
        <v>-2.0920192817274755E-2</v>
      </c>
      <c r="C32" s="29"/>
      <c r="D32" s="29"/>
      <c r="E32" s="42"/>
      <c r="H32" s="16"/>
    </row>
    <row r="33" spans="1:15" x14ac:dyDescent="0.25">
      <c r="A33" s="51" t="s">
        <v>136</v>
      </c>
      <c r="B33" s="52">
        <f>+B27+B18+B9</f>
        <v>305684869</v>
      </c>
      <c r="D33" s="51" t="s">
        <v>136</v>
      </c>
      <c r="E33" s="52">
        <f>+E27+E18+E9</f>
        <v>489495299.96312582</v>
      </c>
      <c r="H33" s="26"/>
    </row>
    <row r="34" spans="1:15" ht="15.75" thickBot="1" x14ac:dyDescent="0.3">
      <c r="A34" s="53"/>
      <c r="B34" s="22"/>
      <c r="D34" s="53"/>
      <c r="E34" s="22"/>
    </row>
    <row r="35" spans="1:15" x14ac:dyDescent="0.25">
      <c r="A35" s="54"/>
      <c r="B35" s="4"/>
      <c r="C35" s="55"/>
      <c r="D35" s="56" t="s">
        <v>113</v>
      </c>
      <c r="E35" s="37"/>
      <c r="H35" s="57"/>
      <c r="I35" s="57"/>
      <c r="J35" s="58"/>
    </row>
    <row r="36" spans="1:15" ht="15.75" thickBot="1" x14ac:dyDescent="0.3">
      <c r="A36" s="59" t="s">
        <v>5</v>
      </c>
      <c r="B36" s="29"/>
      <c r="C36" s="30"/>
      <c r="D36" s="60">
        <f>ROUND((B14+B23+B32),4)</f>
        <v>1.1361000000000001</v>
      </c>
      <c r="E36" s="61">
        <f>D36/100</f>
        <v>1.1361000000000001E-2</v>
      </c>
    </row>
    <row r="37" spans="1:15" ht="15.75" thickBot="1" x14ac:dyDescent="0.3">
      <c r="A37" s="62"/>
      <c r="B37" s="63"/>
      <c r="E37" s="37" t="s">
        <v>137</v>
      </c>
    </row>
    <row r="38" spans="1:15" x14ac:dyDescent="0.25">
      <c r="A38" s="62"/>
      <c r="B38" s="63"/>
      <c r="D38" s="56" t="s">
        <v>113</v>
      </c>
      <c r="E38" s="64"/>
    </row>
    <row r="39" spans="1:15" ht="15.75" thickBot="1" x14ac:dyDescent="0.3">
      <c r="A39" t="s">
        <v>6</v>
      </c>
      <c r="B39" s="65">
        <v>39191397.706000037</v>
      </c>
      <c r="D39" s="66">
        <f>ROUND((B39/B45)/10,4)</f>
        <v>0.26140000000000002</v>
      </c>
      <c r="E39" s="61">
        <f>D39/100</f>
        <v>2.614E-3</v>
      </c>
    </row>
    <row r="40" spans="1:15" ht="15.75" thickBot="1" x14ac:dyDescent="0.3">
      <c r="A40" t="s">
        <v>13</v>
      </c>
      <c r="B40" s="67">
        <v>568771</v>
      </c>
      <c r="E40" s="22"/>
    </row>
    <row r="41" spans="1:15" x14ac:dyDescent="0.25">
      <c r="D41" s="56" t="s">
        <v>113</v>
      </c>
      <c r="E41" s="22"/>
    </row>
    <row r="42" spans="1:15" ht="15.75" thickBot="1" x14ac:dyDescent="0.3">
      <c r="A42" s="62" t="s">
        <v>7</v>
      </c>
      <c r="B42" s="26"/>
      <c r="D42" s="68">
        <f>ROUND(D36+D39,4)</f>
        <v>1.3975</v>
      </c>
      <c r="E42" s="22"/>
    </row>
    <row r="43" spans="1:15" ht="15.75" thickBot="1" x14ac:dyDescent="0.3">
      <c r="B43" s="8"/>
      <c r="E43" s="63"/>
    </row>
    <row r="44" spans="1:15" x14ac:dyDescent="0.25">
      <c r="A44" s="62" t="s">
        <v>138</v>
      </c>
      <c r="B44" s="69">
        <v>15690545.721432254</v>
      </c>
      <c r="D44" s="70" t="s">
        <v>139</v>
      </c>
    </row>
    <row r="45" spans="1:15" ht="15.75" thickBot="1" x14ac:dyDescent="0.3">
      <c r="A45" s="62" t="s">
        <v>32</v>
      </c>
      <c r="B45" s="69">
        <v>14992046.332432251</v>
      </c>
      <c r="D45" s="71">
        <f>B45/B44</f>
        <v>0.95548278553206101</v>
      </c>
      <c r="H45" s="16"/>
      <c r="J45" s="26"/>
    </row>
    <row r="46" spans="1:15" x14ac:dyDescent="0.25">
      <c r="J46" s="16"/>
    </row>
    <row r="47" spans="1:15" x14ac:dyDescent="0.25">
      <c r="B47" s="72"/>
      <c r="H47" s="16"/>
      <c r="N47" s="16"/>
      <c r="O47" s="16"/>
    </row>
    <row r="48" spans="1:15" x14ac:dyDescent="0.25">
      <c r="B48" s="44"/>
    </row>
    <row r="49" spans="2:2" x14ac:dyDescent="0.25">
      <c r="B49" s="72"/>
    </row>
    <row r="50" spans="2:2" x14ac:dyDescent="0.25">
      <c r="B50" s="44"/>
    </row>
  </sheetData>
  <mergeCells count="13">
    <mergeCell ref="G4:H4"/>
    <mergeCell ref="A1:E1"/>
    <mergeCell ref="A2:B2"/>
    <mergeCell ref="D2:E2"/>
    <mergeCell ref="G2:H2"/>
    <mergeCell ref="G3:H3"/>
    <mergeCell ref="I27:J28"/>
    <mergeCell ref="G8:H8"/>
    <mergeCell ref="G11:H11"/>
    <mergeCell ref="A16:B16"/>
    <mergeCell ref="D16:E16"/>
    <mergeCell ref="A25:B25"/>
    <mergeCell ref="D25:E25"/>
  </mergeCells>
  <pageMargins left="0.7" right="0.7" top="0.75" bottom="0.75" header="0.3" footer="0.3"/>
  <pageSetup scale="75" orientation="landscape" r:id="rId1"/>
  <headerFooter scaleWithDoc="0">
    <oddHeader>&amp;L&amp;"-,Bold"Appendix 8.3
&amp;"-,Regular"2022 PCA Revenue Impact with ECRs</oddHead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8EB8-6F84-46AA-9213-C32F18FE9FBD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34659050.19464685</v>
      </c>
      <c r="I17" s="102">
        <f>F17+H17</f>
        <v>608484950.24893463</v>
      </c>
      <c r="J17" s="103">
        <f t="shared" ref="J17:J31" si="1">IF($E17=0,0,ROUND(I17/$E17*1000,2))</f>
        <v>111.47</v>
      </c>
      <c r="K17" s="89">
        <f>H17/F17</f>
        <v>6.0399940454705633E-2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28721.145714932049</v>
      </c>
      <c r="I18" s="102">
        <f t="shared" ref="I18:I30" si="4">F18+H18</f>
        <v>482751.02181993204</v>
      </c>
      <c r="J18" s="103">
        <f t="shared" si="1"/>
        <v>106.76</v>
      </c>
      <c r="K18" s="89">
        <f>H18/F18</f>
        <v>6.3258272696332288E-2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112174.34942198478</v>
      </c>
      <c r="I20" s="102">
        <f t="shared" si="4"/>
        <v>1900511.3652014066</v>
      </c>
      <c r="J20" s="103">
        <f t="shared" si="1"/>
        <v>107.6</v>
      </c>
      <c r="K20" s="89">
        <f>IF(F20=0,"N/A",H20/F20)</f>
        <v>6.2725508912588906E-2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418372.01129187964</v>
      </c>
      <c r="I21" s="102">
        <f t="shared" si="4"/>
        <v>7760558.4181436403</v>
      </c>
      <c r="J21" s="103">
        <f t="shared" si="1"/>
        <v>117.77</v>
      </c>
      <c r="K21" s="89">
        <f>IF(F21=0,"N/A",H21/F21)</f>
        <v>5.6981938091554447E-2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870611.91523446189</v>
      </c>
      <c r="I22" s="102">
        <f>F22+H22</f>
        <v>18882077.031025212</v>
      </c>
      <c r="J22" s="103">
        <f t="shared" si="1"/>
        <v>137.43</v>
      </c>
      <c r="K22" s="89">
        <f t="shared" ref="K22:K31" si="5">H22/F22</f>
        <v>4.8336540622183566E-2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1206.6333351506316</v>
      </c>
      <c r="I23" s="102">
        <f>F23+H23</f>
        <v>28491.690040734811</v>
      </c>
      <c r="J23" s="103">
        <f t="shared" si="1"/>
        <v>149.62</v>
      </c>
      <c r="K23" s="89">
        <f t="shared" si="5"/>
        <v>4.4223229886257896E-2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24813898.648149036</v>
      </c>
      <c r="I24" s="102">
        <f>F24+H24</f>
        <v>314962765.0666908</v>
      </c>
      <c r="J24" s="103">
        <f t="shared" si="1"/>
        <v>80.739999999999995</v>
      </c>
      <c r="K24" s="89">
        <f t="shared" si="5"/>
        <v>8.5521266908397328E-2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33047.905995852227</v>
      </c>
      <c r="I25" s="102">
        <f>F25+H25</f>
        <v>1311854.1387888521</v>
      </c>
      <c r="J25" s="103">
        <f>IF($E25=0,0,ROUND(I25/$E25*1000,2))</f>
        <v>249.05</v>
      </c>
      <c r="K25" s="89">
        <f t="shared" si="5"/>
        <v>2.5842778325902708E-2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15231246.753208069</v>
      </c>
      <c r="I26" s="102">
        <f>F26+H26</f>
        <v>156929209.69583881</v>
      </c>
      <c r="J26" s="103">
        <f t="shared" si="1"/>
        <v>65.62</v>
      </c>
      <c r="K26" s="89">
        <f t="shared" si="5"/>
        <v>0.10749093661547375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12063679.140081964</v>
      </c>
      <c r="I27" s="102">
        <f t="shared" si="4"/>
        <v>166818543.64981756</v>
      </c>
      <c r="J27" s="103">
        <f t="shared" si="1"/>
        <v>87.91</v>
      </c>
      <c r="K27" s="89">
        <f t="shared" si="5"/>
        <v>7.7953472921835312E-2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88483.191195820837</v>
      </c>
      <c r="I28" s="102">
        <f t="shared" si="4"/>
        <v>1318115.364696821</v>
      </c>
      <c r="J28" s="103">
        <f t="shared" si="1"/>
        <v>94.66</v>
      </c>
      <c r="K28" s="89">
        <f t="shared" si="5"/>
        <v>7.1959072885911982E-2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150200.71202458238</v>
      </c>
      <c r="I29" s="102">
        <f t="shared" si="4"/>
        <v>3739788.7839286271</v>
      </c>
      <c r="J29" s="103">
        <f t="shared" si="1"/>
        <v>157.4</v>
      </c>
      <c r="K29" s="89">
        <f t="shared" si="5"/>
        <v>4.1843439697221471E-2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18131.177078457866</v>
      </c>
      <c r="I30" s="106">
        <f t="shared" si="4"/>
        <v>202397.10173945787</v>
      </c>
      <c r="J30" s="107">
        <f t="shared" si="1"/>
        <v>71.069999999999993</v>
      </c>
      <c r="K30" s="108">
        <f t="shared" si="5"/>
        <v>9.8396798604052163E-2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88488823.777379021</v>
      </c>
      <c r="I31" s="102">
        <f>SUM(I17:I30)</f>
        <v>1282822013.5766661</v>
      </c>
      <c r="J31" s="103">
        <f t="shared" si="1"/>
        <v>92.16</v>
      </c>
      <c r="K31" s="89">
        <f t="shared" si="5"/>
        <v>7.4090567467399893E-2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6831533.5648576561</v>
      </c>
      <c r="I33" s="102">
        <f>F33+H33</f>
        <v>62798293.221311651</v>
      </c>
      <c r="J33" s="103">
        <f>IF($E33=0,0,ROUND(I33/$E33*1000,2))</f>
        <v>58.58</v>
      </c>
      <c r="K33" s="89">
        <f>H33/F33</f>
        <v>0.12206412532711021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95320357.342236996</v>
      </c>
      <c r="I35" s="115">
        <f>I31+I33</f>
        <v>1345620306.7979777</v>
      </c>
      <c r="J35" s="116">
        <f>IF($E35=0,0,ROUND(I35/$E35*1000,2))</f>
        <v>89.76</v>
      </c>
      <c r="K35" s="117">
        <f>H35/F35</f>
        <v>7.6237991838462582E-2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21016810.602234602</v>
      </c>
      <c r="I64" s="102">
        <f>F64+H64</f>
        <v>271061797.26902783</v>
      </c>
      <c r="J64" s="103">
        <f>IF($E64=0,0,ROUND(I64/$E64*1000,2))</f>
        <v>82.04</v>
      </c>
      <c r="K64" s="89">
        <f>H64/F64</f>
        <v>8.4052117510523564E-2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3774461.1314730467</v>
      </c>
      <c r="I65" s="102">
        <f>F65+H65</f>
        <v>43611210.184561469</v>
      </c>
      <c r="J65" s="103">
        <f>IF($E65=0,0,ROUND(I65/$E65*1000,2))</f>
        <v>73.540000000000006</v>
      </c>
      <c r="K65" s="89">
        <f>H65/F65</f>
        <v>9.4748221709633318E-2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22626.914441380995</v>
      </c>
      <c r="I66" s="106">
        <f>F66+H66</f>
        <v>289757.61310150253</v>
      </c>
      <c r="J66" s="107">
        <f>IF($E66=0,0,ROUND(I66/$E66*1000,2))</f>
        <v>81.459999999999994</v>
      </c>
      <c r="K66" s="108">
        <f>H66/F66</f>
        <v>8.4703534842208092E-2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24813898.648149028</v>
      </c>
      <c r="I67" s="102">
        <f>SUM(I64:I66)</f>
        <v>314962765.0666908</v>
      </c>
      <c r="J67" s="103">
        <f>IF($E67=0,0,ROUND(I67/$E67*1000,2))</f>
        <v>80.739999999999995</v>
      </c>
      <c r="K67" s="89">
        <f>H67/F67</f>
        <v>8.55212669083973E-2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15021689.66451158</v>
      </c>
      <c r="I70" s="102">
        <f>F70+H70</f>
        <v>154869115.68128911</v>
      </c>
      <c r="J70" s="103">
        <f>IF($E70=0,0,ROUND(I70/$E70*1000,2))</f>
        <v>65.66</v>
      </c>
      <c r="K70" s="89">
        <f>H70/F70</f>
        <v>0.10741484553823269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209557.08869648835</v>
      </c>
      <c r="I71" s="106">
        <f>F71+H71</f>
        <v>2060094.0145497187</v>
      </c>
      <c r="J71" s="107">
        <f>IF($E71=0,0,ROUND(I71/$E71*1000,2))</f>
        <v>62.63</v>
      </c>
      <c r="K71" s="108">
        <f>H71/F71</f>
        <v>0.11324123597256375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15231246.753208069</v>
      </c>
      <c r="I72" s="102">
        <f>SUM(I69:I71)</f>
        <v>156929209.69583884</v>
      </c>
      <c r="J72" s="103">
        <f>IF($E72=0,0,ROUND(I72/$E72*1000,2))</f>
        <v>65.62</v>
      </c>
      <c r="K72" s="89">
        <f>H72/F72</f>
        <v>0.10749093661547375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12063679.140081964</v>
      </c>
      <c r="I74" s="102">
        <f>F74+H74</f>
        <v>166818543.64981756</v>
      </c>
      <c r="J74" s="103">
        <f>IF($E74=0,0,ROUND(I74/$E74*1000,2))</f>
        <v>87.91</v>
      </c>
      <c r="K74" s="89">
        <f>H74/F74</f>
        <v>7.7953472921835312E-2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12063679.140081964</v>
      </c>
      <c r="I76" s="102">
        <f>SUM(I74:I75)</f>
        <v>166818543.64981756</v>
      </c>
      <c r="J76" s="103">
        <f>IF($E76=0,0,ROUND(I76/$E76*1000,2))</f>
        <v>87.91</v>
      </c>
      <c r="K76" s="89">
        <f>H76/F76</f>
        <v>7.7953472921835312E-2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107" priority="6">
      <formula>IF(A17=A16,1,0)</formula>
    </cfRule>
  </conditionalFormatting>
  <conditionalFormatting sqref="A76:A87">
    <cfRule type="expression" dxfId="106" priority="5">
      <formula>IF(A76=#REF!,1,0)</formula>
    </cfRule>
  </conditionalFormatting>
  <conditionalFormatting sqref="A38">
    <cfRule type="expression" dxfId="105" priority="4">
      <formula>IF(A38=#REF!,1,0)</formula>
    </cfRule>
  </conditionalFormatting>
  <conditionalFormatting sqref="A38">
    <cfRule type="expression" dxfId="104" priority="7">
      <formula>IF(A38=#REF!,1,0)</formula>
    </cfRule>
  </conditionalFormatting>
  <conditionalFormatting sqref="A39">
    <cfRule type="expression" dxfId="103" priority="8">
      <formula>IF(A39=#REF!,1,0)</formula>
    </cfRule>
  </conditionalFormatting>
  <conditionalFormatting sqref="L35 A35">
    <cfRule type="expression" dxfId="102" priority="3">
      <formula>IF(A35=A34,1,0)</formula>
    </cfRule>
  </conditionalFormatting>
  <conditionalFormatting sqref="N35:Q35">
    <cfRule type="expression" dxfId="101" priority="2">
      <formula>IF(N35=N34,1,0)</formula>
    </cfRule>
  </conditionalFormatting>
  <conditionalFormatting sqref="A33">
    <cfRule type="expression" dxfId="100" priority="1">
      <formula>IF(A33=A32,1,0)</formula>
    </cfRule>
  </conditionalFormatting>
  <conditionalFormatting sqref="A79">
    <cfRule type="expression" dxfId="99" priority="34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2E1-1FB0-470C-9DEB-186E1451FC9B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34680886.082942843</v>
      </c>
      <c r="I17" s="102">
        <f>F17+H17</f>
        <v>608506786.13723063</v>
      </c>
      <c r="J17" s="103">
        <f t="shared" ref="J17:J31" si="1">IF($E17=0,0,ROUND(I17/$E17*1000,2))</f>
        <v>111.47</v>
      </c>
      <c r="K17" s="89">
        <f>H17/F17</f>
        <v>6.0437993613850119E-2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28739.233534932049</v>
      </c>
      <c r="I18" s="102">
        <f t="shared" ref="I18:I30" si="4">F18+H18</f>
        <v>482769.10963993205</v>
      </c>
      <c r="J18" s="103">
        <f t="shared" si="1"/>
        <v>106.76</v>
      </c>
      <c r="K18" s="89">
        <f>H18/F18</f>
        <v>6.3298111087927059E-2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112244.99874771378</v>
      </c>
      <c r="I20" s="102">
        <f t="shared" si="4"/>
        <v>1900582.0145271358</v>
      </c>
      <c r="J20" s="103">
        <f t="shared" si="1"/>
        <v>107.61</v>
      </c>
      <c r="K20" s="89">
        <f>IF(F20=0,"N/A",H20/F20)</f>
        <v>6.2765014511984116E-2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418635.59394787956</v>
      </c>
      <c r="I21" s="102">
        <f t="shared" si="4"/>
        <v>7760822.000799641</v>
      </c>
      <c r="J21" s="103">
        <f t="shared" si="1"/>
        <v>117.77</v>
      </c>
      <c r="K21" s="89">
        <f>IF(F21=0,"N/A",H21/F21)</f>
        <v>5.7017837841491871E-2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871161.49817446177</v>
      </c>
      <c r="I22" s="102">
        <f>F22+H22</f>
        <v>18882626.613965213</v>
      </c>
      <c r="J22" s="103">
        <f t="shared" si="1"/>
        <v>137.43</v>
      </c>
      <c r="K22" s="89">
        <f t="shared" ref="K22:K31" si="5">H22/F22</f>
        <v>4.8367053572488654E-2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1207.3950351506317</v>
      </c>
      <c r="I23" s="102">
        <f>F23+H23</f>
        <v>28492.45174073481</v>
      </c>
      <c r="J23" s="103">
        <f t="shared" si="1"/>
        <v>149.63</v>
      </c>
      <c r="K23" s="89">
        <f t="shared" si="5"/>
        <v>4.4251146265843214E-2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24829501.562113032</v>
      </c>
      <c r="I24" s="102">
        <f>F24+H24</f>
        <v>314978367.98065484</v>
      </c>
      <c r="J24" s="103">
        <f t="shared" si="1"/>
        <v>80.75</v>
      </c>
      <c r="K24" s="89">
        <f t="shared" si="5"/>
        <v>8.5575042455262609E-2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33068.975687852231</v>
      </c>
      <c r="I25" s="102">
        <f>F25+H25</f>
        <v>1311875.208480852</v>
      </c>
      <c r="J25" s="103">
        <f>IF($E25=0,0,ROUND(I25/$E25*1000,2))</f>
        <v>249.05</v>
      </c>
      <c r="K25" s="89">
        <f t="shared" si="5"/>
        <v>2.5859254388858693E-2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15240812.321912067</v>
      </c>
      <c r="I26" s="102">
        <f>F26+H26</f>
        <v>156938775.26454282</v>
      </c>
      <c r="J26" s="103">
        <f t="shared" si="1"/>
        <v>65.63</v>
      </c>
      <c r="K26" s="89">
        <f t="shared" si="5"/>
        <v>0.10755844336366795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12071269.188557964</v>
      </c>
      <c r="I27" s="102">
        <f t="shared" si="4"/>
        <v>166826133.69829354</v>
      </c>
      <c r="J27" s="103">
        <f t="shared" si="1"/>
        <v>87.92</v>
      </c>
      <c r="K27" s="89">
        <f t="shared" si="5"/>
        <v>7.8002518543115421E-2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88538.892399820848</v>
      </c>
      <c r="I28" s="102">
        <f t="shared" si="4"/>
        <v>1318171.0659008208</v>
      </c>
      <c r="J28" s="103">
        <f t="shared" si="1"/>
        <v>94.66</v>
      </c>
      <c r="K28" s="89">
        <f t="shared" si="5"/>
        <v>7.2004371964124472E-2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150295.75208058237</v>
      </c>
      <c r="I29" s="102">
        <f t="shared" si="4"/>
        <v>3739883.8239846271</v>
      </c>
      <c r="J29" s="103">
        <f t="shared" si="1"/>
        <v>157.4</v>
      </c>
      <c r="K29" s="89">
        <f t="shared" si="5"/>
        <v>4.1869916288433673E-2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18142.568922457864</v>
      </c>
      <c r="I30" s="106">
        <f t="shared" si="4"/>
        <v>202408.49358345786</v>
      </c>
      <c r="J30" s="107">
        <f t="shared" si="1"/>
        <v>71.069999999999993</v>
      </c>
      <c r="K30" s="108">
        <f t="shared" si="5"/>
        <v>9.8458621450685124E-2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88544504.064056769</v>
      </c>
      <c r="I31" s="102">
        <f>SUM(I17:I30)</f>
        <v>1282877693.8633442</v>
      </c>
      <c r="J31" s="103">
        <f t="shared" si="1"/>
        <v>92.16</v>
      </c>
      <c r="K31" s="89">
        <f t="shared" si="5"/>
        <v>7.4137187863745999E-2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6835821.4635096565</v>
      </c>
      <c r="I33" s="102">
        <f>F33+H33</f>
        <v>62802581.119963653</v>
      </c>
      <c r="J33" s="103">
        <f>IF($E33=0,0,ROUND(I33/$E33*1000,2))</f>
        <v>58.59</v>
      </c>
      <c r="K33" s="89">
        <f>H33/F33</f>
        <v>0.1221407404228978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95380325.527566001</v>
      </c>
      <c r="I35" s="115">
        <f>I31+I33</f>
        <v>1345680274.9833078</v>
      </c>
      <c r="J35" s="116">
        <f>IF($E35=0,0,ROUND(I35/$E35*1000,2))</f>
        <v>89.76</v>
      </c>
      <c r="K35" s="117">
        <f>H35/F35</f>
        <v>7.6285954877535811E-2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21030027.309594601</v>
      </c>
      <c r="I64" s="102">
        <f>F64+H64</f>
        <v>271075013.97638786</v>
      </c>
      <c r="J64" s="103">
        <f>IF($E64=0,0,ROUND(I64/$E64*1000,2))</f>
        <v>82.04</v>
      </c>
      <c r="K64" s="89">
        <f>H64/F64</f>
        <v>8.4104974828465365E-2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3776833.1095050462</v>
      </c>
      <c r="I65" s="102">
        <f>F65+H65</f>
        <v>43613582.162593469</v>
      </c>
      <c r="J65" s="103">
        <f>IF($E65=0,0,ROUND(I65/$E65*1000,2))</f>
        <v>73.55</v>
      </c>
      <c r="K65" s="89">
        <f>H65/F65</f>
        <v>9.4807764169507203E-2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22641.143013380995</v>
      </c>
      <c r="I66" s="106">
        <f>F66+H66</f>
        <v>289771.84167350252</v>
      </c>
      <c r="J66" s="107">
        <f>IF($E66=0,0,ROUND(I66/$E66*1000,2))</f>
        <v>81.459999999999994</v>
      </c>
      <c r="K66" s="108">
        <f>H66/F66</f>
        <v>8.4756799300659963E-2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24829501.562113028</v>
      </c>
      <c r="I67" s="102">
        <f>SUM(I64:I66)</f>
        <v>314978367.98065484</v>
      </c>
      <c r="J67" s="103">
        <f>IF($E67=0,0,ROUND(I67/$E67*1000,2))</f>
        <v>80.75</v>
      </c>
      <c r="K67" s="89">
        <f>H67/F67</f>
        <v>8.5575042455262595E-2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15031123.658695579</v>
      </c>
      <c r="I70" s="102">
        <f>F70+H70</f>
        <v>154878549.67547309</v>
      </c>
      <c r="J70" s="103">
        <f>IF($E70=0,0,ROUND(I70/$E70*1000,2))</f>
        <v>65.67</v>
      </c>
      <c r="K70" s="89">
        <f>H70/F70</f>
        <v>0.1074823047289572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209688.66321648838</v>
      </c>
      <c r="I71" s="106">
        <f>F71+H71</f>
        <v>2060225.5890697187</v>
      </c>
      <c r="J71" s="107">
        <f>IF($E71=0,0,ROUND(I71/$E71*1000,2))</f>
        <v>62.63</v>
      </c>
      <c r="K71" s="108">
        <f>H71/F71</f>
        <v>0.11331233669914847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15240812.321912067</v>
      </c>
      <c r="I72" s="102">
        <f>SUM(I69:I71)</f>
        <v>156938775.26454282</v>
      </c>
      <c r="J72" s="103">
        <f>IF($E72=0,0,ROUND(I72/$E72*1000,2))</f>
        <v>65.63</v>
      </c>
      <c r="K72" s="89">
        <f>H72/F72</f>
        <v>0.10755844336366795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12071269.188557964</v>
      </c>
      <c r="I74" s="102">
        <f>F74+H74</f>
        <v>166826133.69829354</v>
      </c>
      <c r="J74" s="103">
        <f>IF($E74=0,0,ROUND(I74/$E74*1000,2))</f>
        <v>87.92</v>
      </c>
      <c r="K74" s="89">
        <f>H74/F74</f>
        <v>7.8002518543115421E-2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12071269.188557964</v>
      </c>
      <c r="I76" s="102">
        <f>SUM(I74:I75)</f>
        <v>166826133.69829354</v>
      </c>
      <c r="J76" s="103">
        <f>IF($E76=0,0,ROUND(I76/$E76*1000,2))</f>
        <v>87.92</v>
      </c>
      <c r="K76" s="89">
        <f>H76/F76</f>
        <v>7.8002518543115421E-2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98" priority="6">
      <formula>IF(A17=A16,1,0)</formula>
    </cfRule>
  </conditionalFormatting>
  <conditionalFormatting sqref="A76:A87">
    <cfRule type="expression" dxfId="97" priority="5">
      <formula>IF(A76=#REF!,1,0)</formula>
    </cfRule>
  </conditionalFormatting>
  <conditionalFormatting sqref="A38">
    <cfRule type="expression" dxfId="96" priority="4">
      <formula>IF(A38=#REF!,1,0)</formula>
    </cfRule>
  </conditionalFormatting>
  <conditionalFormatting sqref="A38">
    <cfRule type="expression" dxfId="95" priority="7">
      <formula>IF(A38=#REF!,1,0)</formula>
    </cfRule>
  </conditionalFormatting>
  <conditionalFormatting sqref="A39">
    <cfRule type="expression" dxfId="94" priority="8">
      <formula>IF(A39=#REF!,1,0)</formula>
    </cfRule>
  </conditionalFormatting>
  <conditionalFormatting sqref="L35 A35">
    <cfRule type="expression" dxfId="93" priority="3">
      <formula>IF(A35=A34,1,0)</formula>
    </cfRule>
  </conditionalFormatting>
  <conditionalFormatting sqref="N35:Q35">
    <cfRule type="expression" dxfId="92" priority="2">
      <formula>IF(N35=N34,1,0)</formula>
    </cfRule>
  </conditionalFormatting>
  <conditionalFormatting sqref="A33">
    <cfRule type="expression" dxfId="91" priority="1">
      <formula>IF(A33=A32,1,0)</formula>
    </cfRule>
  </conditionalFormatting>
  <conditionalFormatting sqref="A79">
    <cfRule type="expression" dxfId="90" priority="32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6DD-31A6-44A3-98A2-DE2301769222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34664509.166720837</v>
      </c>
      <c r="I17" s="102">
        <f>F17+H17</f>
        <v>608490409.22100866</v>
      </c>
      <c r="J17" s="103">
        <f t="shared" ref="J17:J31" si="1">IF($E17=0,0,ROUND(I17/$E17*1000,2))</f>
        <v>111.47</v>
      </c>
      <c r="K17" s="89">
        <f>H17/F17</f>
        <v>6.0409453744491741E-2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28725.667669932045</v>
      </c>
      <c r="I18" s="102">
        <f t="shared" ref="I18:I30" si="4">F18+H18</f>
        <v>482755.54377493204</v>
      </c>
      <c r="J18" s="103">
        <f t="shared" si="1"/>
        <v>106.76</v>
      </c>
      <c r="K18" s="89">
        <f>H18/F18</f>
        <v>6.3268232294230967E-2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112192.01175341677</v>
      </c>
      <c r="I20" s="102">
        <f t="shared" si="4"/>
        <v>1900529.0275328388</v>
      </c>
      <c r="J20" s="103">
        <f t="shared" si="1"/>
        <v>107.6</v>
      </c>
      <c r="K20" s="89">
        <f>IF(F20=0,"N/A",H20/F20)</f>
        <v>6.2735385312437567E-2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418437.90695587959</v>
      </c>
      <c r="I21" s="102">
        <f t="shared" si="4"/>
        <v>7760624.3138076402</v>
      </c>
      <c r="J21" s="103">
        <f t="shared" si="1"/>
        <v>117.77</v>
      </c>
      <c r="K21" s="89">
        <f>IF(F21=0,"N/A",H21/F21)</f>
        <v>5.6990913029038796E-2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870749.31096946192</v>
      </c>
      <c r="I22" s="102">
        <f>F22+H22</f>
        <v>18882214.426760212</v>
      </c>
      <c r="J22" s="103">
        <f t="shared" si="1"/>
        <v>137.43</v>
      </c>
      <c r="K22" s="89">
        <f t="shared" ref="K22:K31" si="5">H22/F22</f>
        <v>4.834416885975984E-2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1206.8237601506319</v>
      </c>
      <c r="I23" s="102">
        <f>F23+H23</f>
        <v>28491.880465734812</v>
      </c>
      <c r="J23" s="103">
        <f t="shared" si="1"/>
        <v>149.62</v>
      </c>
      <c r="K23" s="89">
        <f t="shared" si="5"/>
        <v>4.4230208981154234E-2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24817799.376640029</v>
      </c>
      <c r="I24" s="102">
        <f>F24+H24</f>
        <v>314966665.79518181</v>
      </c>
      <c r="J24" s="103">
        <f t="shared" si="1"/>
        <v>80.75</v>
      </c>
      <c r="K24" s="89">
        <f t="shared" si="5"/>
        <v>8.5534710795113628E-2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33053.173418852224</v>
      </c>
      <c r="I25" s="102">
        <f>F25+H25</f>
        <v>1311859.4062118521</v>
      </c>
      <c r="J25" s="103">
        <f>IF($E25=0,0,ROUND(I25/$E25*1000,2))</f>
        <v>249.05</v>
      </c>
      <c r="K25" s="89">
        <f t="shared" si="5"/>
        <v>2.5846897341641702E-2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15233638.145384068</v>
      </c>
      <c r="I26" s="102">
        <f>F26+H26</f>
        <v>156931601.08801481</v>
      </c>
      <c r="J26" s="103">
        <f t="shared" si="1"/>
        <v>65.62</v>
      </c>
      <c r="K26" s="89">
        <f t="shared" si="5"/>
        <v>0.10750781330252229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12065576.652200963</v>
      </c>
      <c r="I27" s="102">
        <f t="shared" si="4"/>
        <v>166820441.16193655</v>
      </c>
      <c r="J27" s="103">
        <f t="shared" si="1"/>
        <v>87.92</v>
      </c>
      <c r="K27" s="89">
        <f t="shared" si="5"/>
        <v>7.7965734327155325E-2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88497.116496820847</v>
      </c>
      <c r="I28" s="102">
        <f t="shared" si="4"/>
        <v>1318129.289997821</v>
      </c>
      <c r="J28" s="103">
        <f t="shared" si="1"/>
        <v>94.66</v>
      </c>
      <c r="K28" s="89">
        <f t="shared" si="5"/>
        <v>7.1970397655465118E-2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150224.47203858237</v>
      </c>
      <c r="I29" s="102">
        <f t="shared" si="4"/>
        <v>3739812.543942627</v>
      </c>
      <c r="J29" s="103">
        <f t="shared" si="1"/>
        <v>157.4</v>
      </c>
      <c r="K29" s="89">
        <f t="shared" si="5"/>
        <v>4.1850058845024518E-2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18134.025039457865</v>
      </c>
      <c r="I30" s="106">
        <f t="shared" si="4"/>
        <v>202399.94970045786</v>
      </c>
      <c r="J30" s="107">
        <f t="shared" si="1"/>
        <v>71.069999999999993</v>
      </c>
      <c r="K30" s="108">
        <f t="shared" si="5"/>
        <v>9.8412254315710407E-2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88502743.849048465</v>
      </c>
      <c r="I31" s="102">
        <f>SUM(I17:I30)</f>
        <v>1282835933.6483359</v>
      </c>
      <c r="J31" s="103">
        <f t="shared" si="1"/>
        <v>92.16</v>
      </c>
      <c r="K31" s="89">
        <f t="shared" si="5"/>
        <v>7.4102222566486423E-2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6832605.5395206567</v>
      </c>
      <c r="I33" s="102">
        <f>F33+H33</f>
        <v>62799365.195974655</v>
      </c>
      <c r="J33" s="103">
        <f>IF($E33=0,0,ROUND(I33/$E33*1000,2))</f>
        <v>58.58</v>
      </c>
      <c r="K33" s="89">
        <f>H33/F33</f>
        <v>0.12208327910105711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95335349.388568997</v>
      </c>
      <c r="I35" s="115">
        <f>I31+I33</f>
        <v>1345635298.8443105</v>
      </c>
      <c r="J35" s="116">
        <f>IF($E35=0,0,ROUND(I35/$E35*1000,2))</f>
        <v>89.76</v>
      </c>
      <c r="K35" s="117">
        <f>H35/F35</f>
        <v>7.6249982598230695E-2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21020114.779074602</v>
      </c>
      <c r="I64" s="102">
        <f>F64+H64</f>
        <v>271065101.44586784</v>
      </c>
      <c r="J64" s="103">
        <f>IF($E64=0,0,ROUND(I64/$E64*1000,2))</f>
        <v>82.04</v>
      </c>
      <c r="K64" s="89">
        <f>H64/F64</f>
        <v>8.4065331840009014E-2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3775054.1259810459</v>
      </c>
      <c r="I65" s="102">
        <f>F65+H65</f>
        <v>43611803.179069467</v>
      </c>
      <c r="J65" s="103">
        <f>IF($E65=0,0,ROUND(I65/$E65*1000,2))</f>
        <v>73.55</v>
      </c>
      <c r="K65" s="89">
        <f>H65/F65</f>
        <v>9.4763107324601775E-2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22630.471584380994</v>
      </c>
      <c r="I66" s="106">
        <f>F66+H66</f>
        <v>289761.17024450254</v>
      </c>
      <c r="J66" s="107">
        <f>IF($E66=0,0,ROUND(I66/$E66*1000,2))</f>
        <v>81.459999999999994</v>
      </c>
      <c r="K66" s="108">
        <f>H66/F66</f>
        <v>8.4716850956821049E-2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24817799.376640029</v>
      </c>
      <c r="I67" s="102">
        <f>SUM(I64:I66)</f>
        <v>314966665.79518181</v>
      </c>
      <c r="J67" s="103">
        <f>IF($E67=0,0,ROUND(I67/$E67*1000,2))</f>
        <v>80.75</v>
      </c>
      <c r="K67" s="89">
        <f>H67/F67</f>
        <v>8.5534710795113628E-2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15024048.163057581</v>
      </c>
      <c r="I70" s="102">
        <f>F70+H70</f>
        <v>154871474.17983508</v>
      </c>
      <c r="J70" s="103">
        <f>IF($E70=0,0,ROUND(I70/$E70*1000,2))</f>
        <v>65.67</v>
      </c>
      <c r="K70" s="89">
        <f>H70/F70</f>
        <v>0.10743171033591382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209589.98232648836</v>
      </c>
      <c r="I71" s="106">
        <f>F71+H71</f>
        <v>2060126.9081797185</v>
      </c>
      <c r="J71" s="107">
        <f>IF($E71=0,0,ROUND(I71/$E71*1000,2))</f>
        <v>62.63</v>
      </c>
      <c r="K71" s="108">
        <f>H71/F71</f>
        <v>0.11325901115420993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15233638.14538407</v>
      </c>
      <c r="I72" s="102">
        <f>SUM(I69:I71)</f>
        <v>156931601.08801481</v>
      </c>
      <c r="J72" s="103">
        <f>IF($E72=0,0,ROUND(I72/$E72*1000,2))</f>
        <v>65.62</v>
      </c>
      <c r="K72" s="89">
        <f>H72/F72</f>
        <v>0.10750781330252231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12065576.652200963</v>
      </c>
      <c r="I74" s="102">
        <f>F74+H74</f>
        <v>166820441.16193655</v>
      </c>
      <c r="J74" s="103">
        <f>IF($E74=0,0,ROUND(I74/$E74*1000,2))</f>
        <v>87.92</v>
      </c>
      <c r="K74" s="89">
        <f>H74/F74</f>
        <v>7.7965734327155325E-2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12065576.652200963</v>
      </c>
      <c r="I76" s="102">
        <f>SUM(I74:I75)</f>
        <v>166820441.16193655</v>
      </c>
      <c r="J76" s="103">
        <f>IF($E76=0,0,ROUND(I76/$E76*1000,2))</f>
        <v>87.92</v>
      </c>
      <c r="K76" s="89">
        <f>H76/F76</f>
        <v>7.7965734327155325E-2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89" priority="6">
      <formula>IF(A17=A16,1,0)</formula>
    </cfRule>
  </conditionalFormatting>
  <conditionalFormatting sqref="A76:A87">
    <cfRule type="expression" dxfId="88" priority="5">
      <formula>IF(A76=#REF!,1,0)</formula>
    </cfRule>
  </conditionalFormatting>
  <conditionalFormatting sqref="A38">
    <cfRule type="expression" dxfId="87" priority="4">
      <formula>IF(A38=#REF!,1,0)</formula>
    </cfRule>
  </conditionalFormatting>
  <conditionalFormatting sqref="A38">
    <cfRule type="expression" dxfId="86" priority="7">
      <formula>IF(A38=#REF!,1,0)</formula>
    </cfRule>
  </conditionalFormatting>
  <conditionalFormatting sqref="A39">
    <cfRule type="expression" dxfId="85" priority="8">
      <formula>IF(A39=#REF!,1,0)</formula>
    </cfRule>
  </conditionalFormatting>
  <conditionalFormatting sqref="L35 A35">
    <cfRule type="expression" dxfId="84" priority="3">
      <formula>IF(A35=A34,1,0)</formula>
    </cfRule>
  </conditionalFormatting>
  <conditionalFormatting sqref="N35:Q35">
    <cfRule type="expression" dxfId="83" priority="2">
      <formula>IF(N35=N34,1,0)</formula>
    </cfRule>
  </conditionalFormatting>
  <conditionalFormatting sqref="A33">
    <cfRule type="expression" dxfId="82" priority="1">
      <formula>IF(A33=A32,1,0)</formula>
    </cfRule>
  </conditionalFormatting>
  <conditionalFormatting sqref="A79">
    <cfRule type="expression" dxfId="81" priority="30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AE71-18FD-47E1-BD87-B4C7483C3020}">
  <sheetPr>
    <tabColor theme="8" tint="0.59999389629810485"/>
  </sheetPr>
  <dimension ref="A1:AB89"/>
  <sheetViews>
    <sheetView zoomScaleNormal="100" zoomScaleSheetLayoutView="85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34659050.19464685</v>
      </c>
      <c r="I17" s="102">
        <f>F17+H17</f>
        <v>608484950.24893463</v>
      </c>
      <c r="J17" s="103">
        <f t="shared" ref="J17:J31" si="1">IF($E17=0,0,ROUND(I17/$E17*1000,2))</f>
        <v>111.47</v>
      </c>
      <c r="K17" s="89">
        <f>H17/F17</f>
        <v>6.0399940454705633E-2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28721.145714932049</v>
      </c>
      <c r="I18" s="102">
        <f t="shared" ref="I18:I30" si="4">F18+H18</f>
        <v>482751.02181993204</v>
      </c>
      <c r="J18" s="103">
        <f t="shared" si="1"/>
        <v>106.76</v>
      </c>
      <c r="K18" s="89">
        <f>H18/F18</f>
        <v>6.3258272696332288E-2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112174.34942198478</v>
      </c>
      <c r="I20" s="102">
        <f t="shared" si="4"/>
        <v>1900511.3652014066</v>
      </c>
      <c r="J20" s="103">
        <f t="shared" si="1"/>
        <v>107.6</v>
      </c>
      <c r="K20" s="89">
        <f>IF(F20=0,"N/A",H20/F20)</f>
        <v>6.2725508912588906E-2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418372.01129187964</v>
      </c>
      <c r="I21" s="102">
        <f t="shared" si="4"/>
        <v>7760558.4181436403</v>
      </c>
      <c r="J21" s="103">
        <f t="shared" si="1"/>
        <v>117.77</v>
      </c>
      <c r="K21" s="89">
        <f>IF(F21=0,"N/A",H21/F21)</f>
        <v>5.6981938091554447E-2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870611.91523446189</v>
      </c>
      <c r="I22" s="102">
        <f>F22+H22</f>
        <v>18882077.031025212</v>
      </c>
      <c r="J22" s="103">
        <f t="shared" si="1"/>
        <v>137.43</v>
      </c>
      <c r="K22" s="89">
        <f t="shared" ref="K22:K31" si="5">H22/F22</f>
        <v>4.8336540622183566E-2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1206.6333351506316</v>
      </c>
      <c r="I23" s="102">
        <f>F23+H23</f>
        <v>28491.690040734811</v>
      </c>
      <c r="J23" s="103">
        <f t="shared" si="1"/>
        <v>149.62</v>
      </c>
      <c r="K23" s="89">
        <f t="shared" si="5"/>
        <v>4.4223229886257896E-2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24813898.648149036</v>
      </c>
      <c r="I24" s="102">
        <f>F24+H24</f>
        <v>314962765.0666908</v>
      </c>
      <c r="J24" s="103">
        <f t="shared" si="1"/>
        <v>80.739999999999995</v>
      </c>
      <c r="K24" s="89">
        <f t="shared" si="5"/>
        <v>8.5521266908397328E-2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33047.905995852227</v>
      </c>
      <c r="I25" s="102">
        <f>F25+H25</f>
        <v>1311854.1387888521</v>
      </c>
      <c r="J25" s="103">
        <f>IF($E25=0,0,ROUND(I25/$E25*1000,2))</f>
        <v>249.05</v>
      </c>
      <c r="K25" s="89">
        <f t="shared" si="5"/>
        <v>2.5842778325902708E-2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15231246.753208069</v>
      </c>
      <c r="I26" s="102">
        <f>F26+H26</f>
        <v>156929209.69583881</v>
      </c>
      <c r="J26" s="103">
        <f t="shared" si="1"/>
        <v>65.62</v>
      </c>
      <c r="K26" s="89">
        <f t="shared" si="5"/>
        <v>0.10749093661547375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12063679.140081964</v>
      </c>
      <c r="I27" s="102">
        <f t="shared" si="4"/>
        <v>166818543.64981756</v>
      </c>
      <c r="J27" s="103">
        <f t="shared" si="1"/>
        <v>87.91</v>
      </c>
      <c r="K27" s="89">
        <f t="shared" si="5"/>
        <v>7.7953472921835312E-2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88483.191195820837</v>
      </c>
      <c r="I28" s="102">
        <f t="shared" si="4"/>
        <v>1318115.364696821</v>
      </c>
      <c r="J28" s="103">
        <f t="shared" si="1"/>
        <v>94.66</v>
      </c>
      <c r="K28" s="89">
        <f t="shared" si="5"/>
        <v>7.1959072885911982E-2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150200.71202458238</v>
      </c>
      <c r="I29" s="102">
        <f t="shared" si="4"/>
        <v>3739788.7839286271</v>
      </c>
      <c r="J29" s="103">
        <f t="shared" si="1"/>
        <v>157.4</v>
      </c>
      <c r="K29" s="89">
        <f t="shared" si="5"/>
        <v>4.1843439697221471E-2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18131.177078457866</v>
      </c>
      <c r="I30" s="106">
        <f t="shared" si="4"/>
        <v>202397.10173945787</v>
      </c>
      <c r="J30" s="107">
        <f t="shared" si="1"/>
        <v>71.069999999999993</v>
      </c>
      <c r="K30" s="108">
        <f t="shared" si="5"/>
        <v>9.8396798604052163E-2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88488823.777379021</v>
      </c>
      <c r="I31" s="102">
        <f>SUM(I17:I30)</f>
        <v>1282822013.5766661</v>
      </c>
      <c r="J31" s="103">
        <f t="shared" si="1"/>
        <v>92.16</v>
      </c>
      <c r="K31" s="89">
        <f t="shared" si="5"/>
        <v>7.4090567467399893E-2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6831533.5648576561</v>
      </c>
      <c r="I33" s="102">
        <f>F33+H33</f>
        <v>62798293.221311651</v>
      </c>
      <c r="J33" s="103">
        <f>IF($E33=0,0,ROUND(I33/$E33*1000,2))</f>
        <v>58.58</v>
      </c>
      <c r="K33" s="89">
        <f>H33/F33</f>
        <v>0.12206412532711021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95320357.342236996</v>
      </c>
      <c r="I35" s="115">
        <f>I31+I33</f>
        <v>1345620306.7979777</v>
      </c>
      <c r="J35" s="116">
        <f>IF($E35=0,0,ROUND(I35/$E35*1000,2))</f>
        <v>89.76</v>
      </c>
      <c r="K35" s="117">
        <f>H35/F35</f>
        <v>7.6237991838462582E-2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21016810.602234602</v>
      </c>
      <c r="I64" s="102">
        <f>F64+H64</f>
        <v>271061797.26902783</v>
      </c>
      <c r="J64" s="103">
        <f>IF($E64=0,0,ROUND(I64/$E64*1000,2))</f>
        <v>82.04</v>
      </c>
      <c r="K64" s="89">
        <f>H64/F64</f>
        <v>8.4052117510523564E-2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3774461.1314730467</v>
      </c>
      <c r="I65" s="102">
        <f>F65+H65</f>
        <v>43611210.184561469</v>
      </c>
      <c r="J65" s="103">
        <f>IF($E65=0,0,ROUND(I65/$E65*1000,2))</f>
        <v>73.540000000000006</v>
      </c>
      <c r="K65" s="89">
        <f>H65/F65</f>
        <v>9.4748221709633318E-2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22626.914441380995</v>
      </c>
      <c r="I66" s="106">
        <f>F66+H66</f>
        <v>289757.61310150253</v>
      </c>
      <c r="J66" s="107">
        <f>IF($E66=0,0,ROUND(I66/$E66*1000,2))</f>
        <v>81.459999999999994</v>
      </c>
      <c r="K66" s="108">
        <f>H66/F66</f>
        <v>8.4703534842208092E-2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24813898.648149028</v>
      </c>
      <c r="I67" s="102">
        <f>SUM(I64:I66)</f>
        <v>314962765.0666908</v>
      </c>
      <c r="J67" s="103">
        <f>IF($E67=0,0,ROUND(I67/$E67*1000,2))</f>
        <v>80.739999999999995</v>
      </c>
      <c r="K67" s="89">
        <f>H67/F67</f>
        <v>8.55212669083973E-2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15021689.66451158</v>
      </c>
      <c r="I70" s="102">
        <f>F70+H70</f>
        <v>154869115.68128911</v>
      </c>
      <c r="J70" s="103">
        <f>IF($E70=0,0,ROUND(I70/$E70*1000,2))</f>
        <v>65.66</v>
      </c>
      <c r="K70" s="89">
        <f>H70/F70</f>
        <v>0.10741484553823269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209557.08869648835</v>
      </c>
      <c r="I71" s="106">
        <f>F71+H71</f>
        <v>2060094.0145497187</v>
      </c>
      <c r="J71" s="107">
        <f>IF($E71=0,0,ROUND(I71/$E71*1000,2))</f>
        <v>62.63</v>
      </c>
      <c r="K71" s="108">
        <f>H71/F71</f>
        <v>0.11324123597256375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15231246.753208069</v>
      </c>
      <c r="I72" s="102">
        <f>SUM(I69:I71)</f>
        <v>156929209.69583884</v>
      </c>
      <c r="J72" s="103">
        <f>IF($E72=0,0,ROUND(I72/$E72*1000,2))</f>
        <v>65.62</v>
      </c>
      <c r="K72" s="89">
        <f>H72/F72</f>
        <v>0.10749093661547375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12063679.140081964</v>
      </c>
      <c r="I74" s="102">
        <f>F74+H74</f>
        <v>166818543.64981756</v>
      </c>
      <c r="J74" s="103">
        <f>IF($E74=0,0,ROUND(I74/$E74*1000,2))</f>
        <v>87.91</v>
      </c>
      <c r="K74" s="89">
        <f>H74/F74</f>
        <v>7.7953472921835312E-2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12063679.140081964</v>
      </c>
      <c r="I76" s="102">
        <f>SUM(I74:I75)</f>
        <v>166818543.64981756</v>
      </c>
      <c r="J76" s="103">
        <f>IF($E76=0,0,ROUND(I76/$E76*1000,2))</f>
        <v>87.91</v>
      </c>
      <c r="K76" s="89">
        <f>H76/F76</f>
        <v>7.7953472921835312E-2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80" priority="6">
      <formula>IF(A17=A16,1,0)</formula>
    </cfRule>
  </conditionalFormatting>
  <conditionalFormatting sqref="A76:A87">
    <cfRule type="expression" dxfId="79" priority="5">
      <formula>IF(A76=#REF!,1,0)</formula>
    </cfRule>
  </conditionalFormatting>
  <conditionalFormatting sqref="A38">
    <cfRule type="expression" dxfId="78" priority="4">
      <formula>IF(A38=#REF!,1,0)</formula>
    </cfRule>
  </conditionalFormatting>
  <conditionalFormatting sqref="A38">
    <cfRule type="expression" dxfId="77" priority="7">
      <formula>IF(A38=#REF!,1,0)</formula>
    </cfRule>
  </conditionalFormatting>
  <conditionalFormatting sqref="A39">
    <cfRule type="expression" dxfId="76" priority="8">
      <formula>IF(A39=#REF!,1,0)</formula>
    </cfRule>
  </conditionalFormatting>
  <conditionalFormatting sqref="L35 A35">
    <cfRule type="expression" dxfId="75" priority="3">
      <formula>IF(A35=A34,1,0)</formula>
    </cfRule>
  </conditionalFormatting>
  <conditionalFormatting sqref="N35:Q35">
    <cfRule type="expression" dxfId="74" priority="2">
      <formula>IF(N35=N34,1,0)</formula>
    </cfRule>
  </conditionalFormatting>
  <conditionalFormatting sqref="A33">
    <cfRule type="expression" dxfId="73" priority="1">
      <formula>IF(A33=A32,1,0)</formula>
    </cfRule>
  </conditionalFormatting>
  <conditionalFormatting sqref="A79">
    <cfRule type="expression" dxfId="72" priority="28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7EF8-E7A9-4BEB-AD8E-D9D26B739923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34719098.887460843</v>
      </c>
      <c r="I17" s="102">
        <f>F17+H17</f>
        <v>608544998.94174862</v>
      </c>
      <c r="J17" s="103">
        <f t="shared" ref="J17:J31" si="1">IF($E17=0,0,ROUND(I17/$E17*1000,2))</f>
        <v>111.48</v>
      </c>
      <c r="K17" s="89">
        <f>H17/F17</f>
        <v>6.0504586642352989E-2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28770.887219932047</v>
      </c>
      <c r="I18" s="102">
        <f t="shared" ref="I18:I30" si="4">F18+H18</f>
        <v>482800.76332493202</v>
      </c>
      <c r="J18" s="103">
        <f t="shared" si="1"/>
        <v>106.77</v>
      </c>
      <c r="K18" s="89">
        <f>H18/F18</f>
        <v>6.3367828273217922E-2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112368.63506773877</v>
      </c>
      <c r="I20" s="102">
        <f t="shared" si="4"/>
        <v>1900705.6508471607</v>
      </c>
      <c r="J20" s="103">
        <f t="shared" si="1"/>
        <v>107.61</v>
      </c>
      <c r="K20" s="89">
        <f>IF(F20=0,"N/A",H20/F20)</f>
        <v>6.2834149310925305E-2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419096.86359587958</v>
      </c>
      <c r="I21" s="102">
        <f t="shared" si="4"/>
        <v>7761283.2704476407</v>
      </c>
      <c r="J21" s="103">
        <f t="shared" si="1"/>
        <v>117.78</v>
      </c>
      <c r="K21" s="89">
        <f>IF(F21=0,"N/A",H21/F21)</f>
        <v>5.7080662403882383E-2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872123.26831946173</v>
      </c>
      <c r="I22" s="102">
        <f>F22+H22</f>
        <v>18883588.384110212</v>
      </c>
      <c r="J22" s="103">
        <f t="shared" si="1"/>
        <v>137.44</v>
      </c>
      <c r="K22" s="89">
        <f t="shared" ref="K22:K31" si="5">H22/F22</f>
        <v>4.8420451235522556E-2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1208.7280101506319</v>
      </c>
      <c r="I23" s="102">
        <f>F23+H23</f>
        <v>28493.784715734811</v>
      </c>
      <c r="J23" s="103">
        <f t="shared" si="1"/>
        <v>149.63</v>
      </c>
      <c r="K23" s="89">
        <f t="shared" si="5"/>
        <v>4.4299999930117531E-2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24856806.66155003</v>
      </c>
      <c r="I24" s="102">
        <f>F24+H24</f>
        <v>315005673.08009183</v>
      </c>
      <c r="J24" s="103">
        <f t="shared" si="1"/>
        <v>80.760000000000005</v>
      </c>
      <c r="K24" s="89">
        <f t="shared" si="5"/>
        <v>8.5669149662276844E-2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33105.847648852228</v>
      </c>
      <c r="I25" s="102">
        <f>F25+H25</f>
        <v>1311912.0804418521</v>
      </c>
      <c r="J25" s="103">
        <f>IF($E25=0,0,ROUND(I25/$E25*1000,2))</f>
        <v>249.06</v>
      </c>
      <c r="K25" s="89">
        <f t="shared" si="5"/>
        <v>2.588808749903166E-2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15257552.067144068</v>
      </c>
      <c r="I26" s="102">
        <f>F26+H26</f>
        <v>156955515.0097748</v>
      </c>
      <c r="J26" s="103">
        <f t="shared" si="1"/>
        <v>65.63</v>
      </c>
      <c r="K26" s="89">
        <f t="shared" si="5"/>
        <v>0.10767658017300781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12084551.773390964</v>
      </c>
      <c r="I27" s="102">
        <f t="shared" si="4"/>
        <v>166839416.28312653</v>
      </c>
      <c r="J27" s="103">
        <f t="shared" si="1"/>
        <v>87.93</v>
      </c>
      <c r="K27" s="89">
        <f t="shared" si="5"/>
        <v>7.8088348380355624E-2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88636.369506820833</v>
      </c>
      <c r="I28" s="102">
        <f t="shared" si="4"/>
        <v>1318268.5430078208</v>
      </c>
      <c r="J28" s="103">
        <f t="shared" si="1"/>
        <v>94.67</v>
      </c>
      <c r="K28" s="89">
        <f t="shared" si="5"/>
        <v>7.2083645350996289E-2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150462.07217858237</v>
      </c>
      <c r="I29" s="102">
        <f t="shared" si="4"/>
        <v>3740050.1440826268</v>
      </c>
      <c r="J29" s="103">
        <f t="shared" si="1"/>
        <v>157.41</v>
      </c>
      <c r="K29" s="89">
        <f t="shared" si="5"/>
        <v>4.1916250323055022E-2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18162.504649457867</v>
      </c>
      <c r="I30" s="106">
        <f t="shared" si="4"/>
        <v>202428.42931045787</v>
      </c>
      <c r="J30" s="107">
        <f t="shared" si="1"/>
        <v>71.08</v>
      </c>
      <c r="K30" s="108">
        <f t="shared" si="5"/>
        <v>9.8566811432292845E-2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88641944.565742791</v>
      </c>
      <c r="I31" s="102">
        <f>SUM(I17:I30)</f>
        <v>1282975134.3650303</v>
      </c>
      <c r="J31" s="103">
        <f t="shared" si="1"/>
        <v>92.17</v>
      </c>
      <c r="K31" s="89">
        <f t="shared" si="5"/>
        <v>7.4218773557351653E-2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6843325.2861506566</v>
      </c>
      <c r="I33" s="102">
        <f>F33+H33</f>
        <v>62810084.942604654</v>
      </c>
      <c r="J33" s="103">
        <f>IF($E33=0,0,ROUND(I33/$E33*1000,2))</f>
        <v>58.59</v>
      </c>
      <c r="K33" s="89">
        <f>H33/F33</f>
        <v>0.12227481684052607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95485269.851894006</v>
      </c>
      <c r="I35" s="115">
        <f>I31+I33</f>
        <v>1345785219.3076348</v>
      </c>
      <c r="J35" s="116">
        <f>IF($E35=0,0,ROUND(I35/$E35*1000,2))</f>
        <v>89.77</v>
      </c>
      <c r="K35" s="117">
        <f>H35/F35</f>
        <v>7.6369890195915766E-2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21053156.5474746</v>
      </c>
      <c r="I64" s="102">
        <f>F64+H64</f>
        <v>271098143.21426785</v>
      </c>
      <c r="J64" s="103">
        <f>IF($E64=0,0,ROUND(I64/$E64*1000,2))</f>
        <v>82.05</v>
      </c>
      <c r="K64" s="89">
        <f>H64/F64</f>
        <v>8.4197475134863503E-2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3780984.0710610459</v>
      </c>
      <c r="I65" s="102">
        <f>F65+H65</f>
        <v>43617733.124149464</v>
      </c>
      <c r="J65" s="103">
        <f>IF($E65=0,0,ROUND(I65/$E65*1000,2))</f>
        <v>73.56</v>
      </c>
      <c r="K65" s="89">
        <f>H65/F65</f>
        <v>9.4911963474286515E-2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22666.04301438099</v>
      </c>
      <c r="I66" s="106">
        <f>F66+H66</f>
        <v>289796.7416745025</v>
      </c>
      <c r="J66" s="107">
        <f>IF($E66=0,0,ROUND(I66/$E66*1000,2))</f>
        <v>81.47</v>
      </c>
      <c r="K66" s="108">
        <f>H66/F66</f>
        <v>8.4850012102950706E-2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24856806.661550026</v>
      </c>
      <c r="I67" s="102">
        <f>SUM(I64:I66)</f>
        <v>315005673.08009177</v>
      </c>
      <c r="J67" s="103">
        <f>IF($E67=0,0,ROUND(I67/$E67*1000,2))</f>
        <v>80.760000000000005</v>
      </c>
      <c r="K67" s="89">
        <f>H67/F67</f>
        <v>8.5669149662276831E-2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15047633.148517579</v>
      </c>
      <c r="I70" s="102">
        <f>F70+H70</f>
        <v>154895059.16529509</v>
      </c>
      <c r="J70" s="103">
        <f>IF($E70=0,0,ROUND(I70/$E70*1000,2))</f>
        <v>65.680000000000007</v>
      </c>
      <c r="K70" s="89">
        <f>H70/F70</f>
        <v>0.10760035831272513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209918.91862648836</v>
      </c>
      <c r="I71" s="106">
        <f>F71+H71</f>
        <v>2060455.8444797187</v>
      </c>
      <c r="J71" s="107">
        <f>IF($E71=0,0,ROUND(I71/$E71*1000,2))</f>
        <v>62.64</v>
      </c>
      <c r="K71" s="108">
        <f>H71/F71</f>
        <v>0.11343676297067171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15257552.067144068</v>
      </c>
      <c r="I72" s="102">
        <f>SUM(I69:I71)</f>
        <v>156955515.0097748</v>
      </c>
      <c r="J72" s="103">
        <f>IF($E72=0,0,ROUND(I72/$E72*1000,2))</f>
        <v>65.63</v>
      </c>
      <c r="K72" s="89">
        <f>H72/F72</f>
        <v>0.10767658017300781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12084551.773390964</v>
      </c>
      <c r="I74" s="102">
        <f>F74+H74</f>
        <v>166839416.28312653</v>
      </c>
      <c r="J74" s="103">
        <f>IF($E74=0,0,ROUND(I74/$E74*1000,2))</f>
        <v>87.93</v>
      </c>
      <c r="K74" s="89">
        <f>H74/F74</f>
        <v>7.8088348380355624E-2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12084551.773390964</v>
      </c>
      <c r="I76" s="102">
        <f>SUM(I74:I75)</f>
        <v>166839416.28312653</v>
      </c>
      <c r="J76" s="103">
        <f>IF($E76=0,0,ROUND(I76/$E76*1000,2))</f>
        <v>87.93</v>
      </c>
      <c r="K76" s="89">
        <f>H76/F76</f>
        <v>7.8088348380355624E-2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71" priority="6">
      <formula>IF(A17=A16,1,0)</formula>
    </cfRule>
  </conditionalFormatting>
  <conditionalFormatting sqref="A76:A87">
    <cfRule type="expression" dxfId="70" priority="5">
      <formula>IF(A76=#REF!,1,0)</formula>
    </cfRule>
  </conditionalFormatting>
  <conditionalFormatting sqref="A38">
    <cfRule type="expression" dxfId="69" priority="4">
      <formula>IF(A38=#REF!,1,0)</formula>
    </cfRule>
  </conditionalFormatting>
  <conditionalFormatting sqref="A38">
    <cfRule type="expression" dxfId="68" priority="7">
      <formula>IF(A38=#REF!,1,0)</formula>
    </cfRule>
  </conditionalFormatting>
  <conditionalFormatting sqref="A39">
    <cfRule type="expression" dxfId="67" priority="8">
      <formula>IF(A39=#REF!,1,0)</formula>
    </cfRule>
  </conditionalFormatting>
  <conditionalFormatting sqref="L35 A35">
    <cfRule type="expression" dxfId="66" priority="3">
      <formula>IF(A35=A34,1,0)</formula>
    </cfRule>
  </conditionalFormatting>
  <conditionalFormatting sqref="N35:Q35">
    <cfRule type="expression" dxfId="65" priority="2">
      <formula>IF(N35=N34,1,0)</formula>
    </cfRule>
  </conditionalFormatting>
  <conditionalFormatting sqref="A33">
    <cfRule type="expression" dxfId="64" priority="1">
      <formula>IF(A33=A32,1,0)</formula>
    </cfRule>
  </conditionalFormatting>
  <conditionalFormatting sqref="A79">
    <cfRule type="expression" dxfId="63" priority="26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CC81-FD2F-49D4-B423-BDF16F2E359D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34708180.943312839</v>
      </c>
      <c r="I17" s="102">
        <f>F17+H17</f>
        <v>608534080.99760067</v>
      </c>
      <c r="J17" s="103">
        <f t="shared" ref="J17:J31" si="1">IF($E17=0,0,ROUND(I17/$E17*1000,2))</f>
        <v>111.47</v>
      </c>
      <c r="K17" s="89">
        <f>H17/F17</f>
        <v>6.0485560062780733E-2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28761.843309932046</v>
      </c>
      <c r="I18" s="102">
        <f t="shared" ref="I18:I30" si="4">F18+H18</f>
        <v>482791.71941493201</v>
      </c>
      <c r="J18" s="103">
        <f t="shared" si="1"/>
        <v>106.77</v>
      </c>
      <c r="K18" s="89">
        <f>H18/F18</f>
        <v>6.3347909077420536E-2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112333.31040487476</v>
      </c>
      <c r="I20" s="102">
        <f t="shared" si="4"/>
        <v>1900670.3261842967</v>
      </c>
      <c r="J20" s="103">
        <f t="shared" si="1"/>
        <v>107.61</v>
      </c>
      <c r="K20" s="89">
        <f>IF(F20=0,"N/A",H20/F20)</f>
        <v>6.2814396511227971E-2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418965.07226787956</v>
      </c>
      <c r="I21" s="102">
        <f t="shared" si="4"/>
        <v>7761151.4791196408</v>
      </c>
      <c r="J21" s="103">
        <f t="shared" si="1"/>
        <v>117.78</v>
      </c>
      <c r="K21" s="89">
        <f>IF(F21=0,"N/A",H21/F21)</f>
        <v>5.7062712528913657E-2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871848.47684946191</v>
      </c>
      <c r="I22" s="102">
        <f>F22+H22</f>
        <v>18883313.592640214</v>
      </c>
      <c r="J22" s="103">
        <f t="shared" si="1"/>
        <v>137.44</v>
      </c>
      <c r="K22" s="89">
        <f t="shared" ref="K22:K31" si="5">H22/F22</f>
        <v>4.8405194760370022E-2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1208.3471601506319</v>
      </c>
      <c r="I23" s="102">
        <f>F23+H23</f>
        <v>28493.40386573481</v>
      </c>
      <c r="J23" s="103">
        <f t="shared" si="1"/>
        <v>149.63</v>
      </c>
      <c r="K23" s="89">
        <f t="shared" si="5"/>
        <v>4.4286041740324869E-2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24849005.204568028</v>
      </c>
      <c r="I24" s="102">
        <f>F24+H24</f>
        <v>314997871.62310982</v>
      </c>
      <c r="J24" s="103">
        <f t="shared" si="1"/>
        <v>80.75</v>
      </c>
      <c r="K24" s="89">
        <f t="shared" si="5"/>
        <v>8.5642261888844204E-2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33095.312802852219</v>
      </c>
      <c r="I25" s="102">
        <f>F25+H25</f>
        <v>1311901.545595852</v>
      </c>
      <c r="J25" s="103">
        <f>IF($E25=0,0,ROUND(I25/$E25*1000,2))</f>
        <v>249.06</v>
      </c>
      <c r="K25" s="89">
        <f t="shared" si="5"/>
        <v>2.5879849467553659E-2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15252769.282792067</v>
      </c>
      <c r="I26" s="102">
        <f>F26+H26</f>
        <v>156950732.2254228</v>
      </c>
      <c r="J26" s="103">
        <f t="shared" si="1"/>
        <v>65.63</v>
      </c>
      <c r="K26" s="89">
        <f t="shared" si="5"/>
        <v>0.1076428267989107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12080756.749152966</v>
      </c>
      <c r="I27" s="102">
        <f t="shared" si="4"/>
        <v>166835621.25888854</v>
      </c>
      <c r="J27" s="103">
        <f t="shared" si="1"/>
        <v>87.92</v>
      </c>
      <c r="K27" s="89">
        <f t="shared" si="5"/>
        <v>7.806382556971557E-2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88608.518904820841</v>
      </c>
      <c r="I28" s="102">
        <f t="shared" si="4"/>
        <v>1318240.6924058208</v>
      </c>
      <c r="J28" s="103">
        <f t="shared" si="1"/>
        <v>94.67</v>
      </c>
      <c r="K28" s="89">
        <f t="shared" si="5"/>
        <v>7.2060995811890058E-2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150414.55215058237</v>
      </c>
      <c r="I29" s="102">
        <f t="shared" si="4"/>
        <v>3740002.624054627</v>
      </c>
      <c r="J29" s="103">
        <f t="shared" si="1"/>
        <v>157.41</v>
      </c>
      <c r="K29" s="89">
        <f t="shared" si="5"/>
        <v>4.1903012027448922E-2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18156.808727457868</v>
      </c>
      <c r="I30" s="106">
        <f t="shared" si="4"/>
        <v>202422.73338845785</v>
      </c>
      <c r="J30" s="107">
        <f t="shared" si="1"/>
        <v>71.08</v>
      </c>
      <c r="K30" s="108">
        <f t="shared" si="5"/>
        <v>9.8535900008976371E-2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88614104.422403902</v>
      </c>
      <c r="I31" s="102">
        <f>SUM(I17:I30)</f>
        <v>1282947294.2216914</v>
      </c>
      <c r="J31" s="103">
        <f t="shared" si="1"/>
        <v>92.17</v>
      </c>
      <c r="K31" s="89">
        <f t="shared" si="5"/>
        <v>7.4195463359178579E-2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6841181.3368246565</v>
      </c>
      <c r="I33" s="102">
        <f>F33+H33</f>
        <v>62807940.993278652</v>
      </c>
      <c r="J33" s="103">
        <f>IF($E33=0,0,ROUND(I33/$E33*1000,2))</f>
        <v>58.59</v>
      </c>
      <c r="K33" s="89">
        <f>H33/F33</f>
        <v>0.12223650929263229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95455285.759229004</v>
      </c>
      <c r="I35" s="115">
        <f>I31+I33</f>
        <v>1345755235.2149701</v>
      </c>
      <c r="J35" s="116">
        <f>IF($E35=0,0,ROUND(I35/$E35*1000,2))</f>
        <v>89.76</v>
      </c>
      <c r="K35" s="117">
        <f>H35/F35</f>
        <v>7.6345908676378749E-2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21046548.193794601</v>
      </c>
      <c r="I64" s="102">
        <f>F64+H64</f>
        <v>271091534.86058784</v>
      </c>
      <c r="J64" s="103">
        <f>IF($E64=0,0,ROUND(I64/$E64*1000,2))</f>
        <v>82.05</v>
      </c>
      <c r="K64" s="89">
        <f>H64/F64</f>
        <v>8.4171046475892616E-2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3779798.0820450466</v>
      </c>
      <c r="I65" s="102">
        <f>F65+H65</f>
        <v>43616547.135133468</v>
      </c>
      <c r="J65" s="103">
        <f>IF($E65=0,0,ROUND(I65/$E65*1000,2))</f>
        <v>73.55</v>
      </c>
      <c r="K65" s="89">
        <f>H65/F65</f>
        <v>9.4882192244349586E-2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22658.928728380994</v>
      </c>
      <c r="I66" s="106">
        <f>F66+H66</f>
        <v>289789.62738850253</v>
      </c>
      <c r="J66" s="107">
        <f>IF($E66=0,0,ROUND(I66/$E66*1000,2))</f>
        <v>81.47</v>
      </c>
      <c r="K66" s="108">
        <f>H66/F66</f>
        <v>8.4823379873724791E-2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24849005.204568028</v>
      </c>
      <c r="I67" s="102">
        <f>SUM(I64:I66)</f>
        <v>314997871.62310976</v>
      </c>
      <c r="J67" s="103">
        <f>IF($E67=0,0,ROUND(I67/$E67*1000,2))</f>
        <v>80.75</v>
      </c>
      <c r="K67" s="89">
        <f>H67/F67</f>
        <v>8.5642261888844204E-2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15042916.151425578</v>
      </c>
      <c r="I70" s="102">
        <f>F70+H70</f>
        <v>154890342.16820309</v>
      </c>
      <c r="J70" s="103">
        <f>IF($E70=0,0,ROUND(I70/$E70*1000,2))</f>
        <v>65.67</v>
      </c>
      <c r="K70" s="89">
        <f>H70/F70</f>
        <v>0.10756662871736286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209853.13136648835</v>
      </c>
      <c r="I71" s="106">
        <f>F71+H71</f>
        <v>2060390.0572197186</v>
      </c>
      <c r="J71" s="107">
        <f>IF($E71=0,0,ROUND(I71/$E71*1000,2))</f>
        <v>62.64</v>
      </c>
      <c r="K71" s="108">
        <f>H71/F71</f>
        <v>0.11340121260737934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15252769.282792065</v>
      </c>
      <c r="I72" s="102">
        <f>SUM(I69:I71)</f>
        <v>156950732.2254228</v>
      </c>
      <c r="J72" s="103">
        <f>IF($E72=0,0,ROUND(I72/$E72*1000,2))</f>
        <v>65.63</v>
      </c>
      <c r="K72" s="89">
        <f>H72/F72</f>
        <v>0.10764282679891068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12080756.749152966</v>
      </c>
      <c r="I74" s="102">
        <f>F74+H74</f>
        <v>166835621.25888854</v>
      </c>
      <c r="J74" s="103">
        <f>IF($E74=0,0,ROUND(I74/$E74*1000,2))</f>
        <v>87.92</v>
      </c>
      <c r="K74" s="89">
        <f>H74/F74</f>
        <v>7.806382556971557E-2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12080756.749152966</v>
      </c>
      <c r="I76" s="102">
        <f>SUM(I74:I75)</f>
        <v>166835621.25888854</v>
      </c>
      <c r="J76" s="103">
        <f>IF($E76=0,0,ROUND(I76/$E76*1000,2))</f>
        <v>87.92</v>
      </c>
      <c r="K76" s="89">
        <f>H76/F76</f>
        <v>7.806382556971557E-2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62" priority="6">
      <formula>IF(A17=A16,1,0)</formula>
    </cfRule>
  </conditionalFormatting>
  <conditionalFormatting sqref="A76:A87">
    <cfRule type="expression" dxfId="61" priority="5">
      <formula>IF(A76=#REF!,1,0)</formula>
    </cfRule>
  </conditionalFormatting>
  <conditionalFormatting sqref="A38">
    <cfRule type="expression" dxfId="60" priority="4">
      <formula>IF(A38=#REF!,1,0)</formula>
    </cfRule>
  </conditionalFormatting>
  <conditionalFormatting sqref="A38">
    <cfRule type="expression" dxfId="59" priority="7">
      <formula>IF(A38=#REF!,1,0)</formula>
    </cfRule>
  </conditionalFormatting>
  <conditionalFormatting sqref="A39">
    <cfRule type="expression" dxfId="58" priority="8">
      <formula>IF(A39=#REF!,1,0)</formula>
    </cfRule>
  </conditionalFormatting>
  <conditionalFormatting sqref="L35 A35">
    <cfRule type="expression" dxfId="57" priority="3">
      <formula>IF(A35=A34,1,0)</formula>
    </cfRule>
  </conditionalFormatting>
  <conditionalFormatting sqref="N35:Q35">
    <cfRule type="expression" dxfId="56" priority="2">
      <formula>IF(N35=N34,1,0)</formula>
    </cfRule>
  </conditionalFormatting>
  <conditionalFormatting sqref="A33">
    <cfRule type="expression" dxfId="55" priority="1">
      <formula>IF(A33=A32,1,0)</formula>
    </cfRule>
  </conditionalFormatting>
  <conditionalFormatting sqref="A79">
    <cfRule type="expression" dxfId="54" priority="24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2E6F-8A57-4248-BF74-4363AFC46A96}">
  <sheetPr>
    <tabColor theme="8" tint="0.59999389629810485"/>
  </sheetPr>
  <dimension ref="A1:AB89"/>
  <sheetViews>
    <sheetView zoomScaleNormal="100" workbookViewId="0">
      <selection sqref="A1:E1"/>
    </sheetView>
  </sheetViews>
  <sheetFormatPr defaultRowHeight="15" x14ac:dyDescent="0.25"/>
  <cols>
    <col min="1" max="1" width="5.7109375" customWidth="1"/>
    <col min="2" max="2" width="36.28515625" customWidth="1"/>
    <col min="3" max="3" width="5.140625" customWidth="1"/>
    <col min="4" max="4" width="15.7109375" customWidth="1"/>
    <col min="5" max="5" width="16.5703125" customWidth="1"/>
    <col min="6" max="11" width="15.7109375" customWidth="1"/>
    <col min="12" max="12" width="9.5703125" customWidth="1"/>
    <col min="13" max="13" width="17.28515625" bestFit="1" customWidth="1"/>
    <col min="14" max="17" width="9.5703125" customWidth="1"/>
    <col min="28" max="28" width="9.140625" hidden="1" customWidth="1"/>
  </cols>
  <sheetData>
    <row r="1" spans="1:28" x14ac:dyDescent="0.2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83"/>
      <c r="M1" s="83"/>
      <c r="N1" s="83"/>
      <c r="O1" s="83"/>
      <c r="P1" s="83"/>
      <c r="Q1" s="83"/>
      <c r="AB1" s="84"/>
    </row>
    <row r="2" spans="1:28" x14ac:dyDescent="0.25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3"/>
      <c r="M2" s="83"/>
      <c r="N2" s="83"/>
      <c r="O2" s="83"/>
      <c r="P2" s="83"/>
      <c r="Q2" s="83"/>
      <c r="AB2" s="84"/>
    </row>
    <row r="3" spans="1:28" x14ac:dyDescent="0.25">
      <c r="A3" s="134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3"/>
      <c r="M3" s="83"/>
      <c r="N3" s="83"/>
      <c r="O3" s="83"/>
      <c r="P3" s="83"/>
      <c r="Q3" s="83"/>
      <c r="AB3" s="84"/>
    </row>
    <row r="4" spans="1:28" x14ac:dyDescent="0.25">
      <c r="A4" s="134" t="s">
        <v>142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83"/>
      <c r="M4" s="83"/>
      <c r="N4" s="83"/>
      <c r="O4" s="83"/>
      <c r="P4" s="83"/>
      <c r="Q4" s="83"/>
      <c r="AB4" s="84"/>
    </row>
    <row r="5" spans="1:28" x14ac:dyDescent="0.2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3"/>
      <c r="M5" s="83"/>
      <c r="N5" s="83"/>
      <c r="O5" s="83"/>
      <c r="P5" s="83"/>
      <c r="Q5" s="83"/>
      <c r="AB5" s="84"/>
    </row>
    <row r="6" spans="1:28" x14ac:dyDescent="0.2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83"/>
      <c r="M6" s="83"/>
      <c r="N6" s="83"/>
      <c r="O6" s="83"/>
      <c r="P6" s="83"/>
      <c r="Q6" s="83"/>
      <c r="AB6" s="84"/>
    </row>
    <row r="7" spans="1:28" x14ac:dyDescent="0.25">
      <c r="A7" s="134" t="s">
        <v>39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3"/>
      <c r="M7" s="83"/>
      <c r="N7" s="83"/>
      <c r="O7" s="83"/>
      <c r="P7" s="83"/>
      <c r="Q7" s="83"/>
      <c r="AB7" s="84"/>
    </row>
    <row r="8" spans="1:28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85"/>
      <c r="M8" s="85"/>
      <c r="N8" s="85"/>
      <c r="O8" s="85"/>
      <c r="P8" s="85"/>
      <c r="Q8" s="85"/>
      <c r="AB8" s="84"/>
    </row>
    <row r="9" spans="1:28" x14ac:dyDescent="0.25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3"/>
      <c r="G9" s="83"/>
      <c r="H9" s="83"/>
      <c r="I9" s="83"/>
      <c r="J9" s="83"/>
      <c r="K9" s="83"/>
      <c r="L9" s="86"/>
      <c r="M9" s="86"/>
      <c r="N9" s="86"/>
      <c r="O9" s="86"/>
      <c r="P9" s="86"/>
      <c r="Q9" s="86"/>
      <c r="AB9" s="84"/>
    </row>
    <row r="10" spans="1:28" x14ac:dyDescent="0.25">
      <c r="A10" s="87" t="s">
        <v>38</v>
      </c>
      <c r="B10" s="87" t="s">
        <v>38</v>
      </c>
      <c r="C10" s="86" t="s">
        <v>38</v>
      </c>
      <c r="D10" s="86" t="s">
        <v>38</v>
      </c>
      <c r="E10" s="86" t="s">
        <v>38</v>
      </c>
      <c r="F10" s="86"/>
      <c r="G10" s="86"/>
      <c r="H10" s="88" t="s">
        <v>41</v>
      </c>
      <c r="I10" s="88"/>
      <c r="J10" s="86"/>
      <c r="K10" s="89" t="s">
        <v>42</v>
      </c>
      <c r="L10" s="90"/>
      <c r="M10" s="90"/>
      <c r="N10" s="90"/>
      <c r="O10" s="90"/>
      <c r="P10" s="90"/>
      <c r="Q10" s="90"/>
      <c r="AB10" s="84"/>
    </row>
    <row r="11" spans="1:28" x14ac:dyDescent="0.25">
      <c r="A11" s="87" t="s">
        <v>38</v>
      </c>
      <c r="B11" s="87" t="s">
        <v>38</v>
      </c>
      <c r="C11" s="91" t="s">
        <v>43</v>
      </c>
      <c r="D11" s="86" t="s">
        <v>44</v>
      </c>
      <c r="E11" s="86" t="s">
        <v>45</v>
      </c>
      <c r="F11" s="88" t="s">
        <v>46</v>
      </c>
      <c r="G11" s="86"/>
      <c r="H11" s="88" t="s">
        <v>47</v>
      </c>
      <c r="I11" s="88" t="s">
        <v>48</v>
      </c>
      <c r="J11" s="86"/>
      <c r="K11" s="89" t="s">
        <v>49</v>
      </c>
      <c r="L11" s="90"/>
      <c r="M11" s="90"/>
      <c r="N11" s="90"/>
      <c r="O11" s="90"/>
      <c r="P11" s="90"/>
      <c r="Q11" s="90"/>
      <c r="AB11" s="84"/>
    </row>
    <row r="12" spans="1:28" x14ac:dyDescent="0.25">
      <c r="A12" s="91" t="s">
        <v>50</v>
      </c>
      <c r="B12" s="87" t="s">
        <v>38</v>
      </c>
      <c r="C12" s="91" t="s">
        <v>51</v>
      </c>
      <c r="D12" s="86" t="s">
        <v>52</v>
      </c>
      <c r="E12" s="86" t="s">
        <v>53</v>
      </c>
      <c r="F12" s="88" t="s">
        <v>54</v>
      </c>
      <c r="G12" s="86" t="s">
        <v>55</v>
      </c>
      <c r="H12" s="88" t="s">
        <v>56</v>
      </c>
      <c r="I12" s="88" t="s">
        <v>57</v>
      </c>
      <c r="J12" s="86" t="s">
        <v>55</v>
      </c>
      <c r="K12" s="89" t="s">
        <v>58</v>
      </c>
      <c r="L12" s="92"/>
      <c r="M12" s="92"/>
      <c r="N12" s="92"/>
      <c r="O12" s="92"/>
      <c r="P12" s="92"/>
      <c r="Q12" s="92"/>
      <c r="AB12" s="84"/>
    </row>
    <row r="13" spans="1:28" x14ac:dyDescent="0.25">
      <c r="A13" s="93" t="s">
        <v>59</v>
      </c>
      <c r="B13" s="93" t="s">
        <v>60</v>
      </c>
      <c r="C13" s="93" t="s">
        <v>61</v>
      </c>
      <c r="D13" s="94" t="s">
        <v>62</v>
      </c>
      <c r="E13" s="94" t="s">
        <v>63</v>
      </c>
      <c r="F13" s="94" t="s">
        <v>64</v>
      </c>
      <c r="G13" s="94" t="s">
        <v>65</v>
      </c>
      <c r="H13" s="94" t="s">
        <v>64</v>
      </c>
      <c r="I13" s="94" t="s">
        <v>64</v>
      </c>
      <c r="J13" s="94" t="s">
        <v>65</v>
      </c>
      <c r="K13" s="95" t="s">
        <v>64</v>
      </c>
      <c r="L13" s="87"/>
      <c r="M13" s="87"/>
      <c r="N13" s="87"/>
      <c r="O13" s="87"/>
      <c r="P13" s="87"/>
      <c r="Q13" s="87"/>
      <c r="AB13" s="87"/>
    </row>
    <row r="14" spans="1:28" x14ac:dyDescent="0.25">
      <c r="A14" s="87" t="s">
        <v>38</v>
      </c>
      <c r="B14" s="87" t="s">
        <v>38</v>
      </c>
      <c r="C14" s="87" t="s">
        <v>38</v>
      </c>
      <c r="D14" s="87" t="s">
        <v>38</v>
      </c>
      <c r="E14" s="87" t="s">
        <v>38</v>
      </c>
      <c r="F14" s="87"/>
      <c r="G14" s="87"/>
      <c r="H14" s="87"/>
      <c r="I14" s="87"/>
      <c r="J14" s="87"/>
      <c r="K14" s="87"/>
      <c r="L14" s="96"/>
      <c r="M14" s="96"/>
      <c r="N14" s="96"/>
      <c r="O14" s="96"/>
      <c r="P14" s="96"/>
      <c r="Q14" s="96"/>
      <c r="AB14" s="84"/>
    </row>
    <row r="15" spans="1:28" x14ac:dyDescent="0.25">
      <c r="A15" s="87" t="s">
        <v>38</v>
      </c>
      <c r="B15" s="97" t="s">
        <v>66</v>
      </c>
      <c r="C15" s="87" t="s">
        <v>38</v>
      </c>
      <c r="D15" s="87" t="s">
        <v>38</v>
      </c>
      <c r="E15" s="87" t="s">
        <v>38</v>
      </c>
      <c r="F15" s="87"/>
      <c r="G15" s="87"/>
      <c r="H15" s="87"/>
      <c r="I15" s="87"/>
      <c r="J15" s="87"/>
      <c r="K15" s="87"/>
      <c r="L15" s="96"/>
      <c r="M15" s="96"/>
      <c r="N15" s="96"/>
      <c r="O15" s="96"/>
      <c r="P15" s="96"/>
      <c r="Q15" s="96"/>
      <c r="AB15" s="84"/>
    </row>
    <row r="16" spans="1:28" x14ac:dyDescent="0.25">
      <c r="A16" s="87" t="s">
        <v>38</v>
      </c>
      <c r="B16" s="84" t="s">
        <v>38</v>
      </c>
      <c r="C16" s="87" t="s">
        <v>38</v>
      </c>
      <c r="D16" s="87" t="s">
        <v>38</v>
      </c>
      <c r="E16" s="87" t="s">
        <v>38</v>
      </c>
      <c r="F16" s="87"/>
      <c r="G16" s="87"/>
      <c r="H16" s="87"/>
      <c r="I16" s="87"/>
      <c r="J16" s="87"/>
      <c r="K16" s="87"/>
      <c r="L16" s="98"/>
      <c r="M16" s="96"/>
      <c r="N16" s="98"/>
      <c r="O16" s="98"/>
      <c r="P16" s="98"/>
      <c r="Q16" s="98"/>
      <c r="AB16" s="99">
        <v>0</v>
      </c>
    </row>
    <row r="17" spans="1:28" x14ac:dyDescent="0.25">
      <c r="A17" s="91">
        <f t="shared" ref="A17:A40" si="0">IF(B17="","",AB16+1)</f>
        <v>1</v>
      </c>
      <c r="B17" s="100" t="s">
        <v>67</v>
      </c>
      <c r="C17" s="91">
        <v>1</v>
      </c>
      <c r="D17" s="101">
        <v>490293</v>
      </c>
      <c r="E17" s="101">
        <v>5458972074.000001</v>
      </c>
      <c r="F17" s="102">
        <v>573825900.05428779</v>
      </c>
      <c r="G17" s="103">
        <f>IF(E17=0,0,F17/E17*1000)</f>
        <v>105.11610835807468</v>
      </c>
      <c r="H17" s="102">
        <v>34626296.362202838</v>
      </c>
      <c r="I17" s="102">
        <f>F17+H17</f>
        <v>608452196.41649067</v>
      </c>
      <c r="J17" s="103">
        <f t="shared" ref="J17:J31" si="1">IF($E17=0,0,ROUND(I17/$E17*1000,2))</f>
        <v>111.46</v>
      </c>
      <c r="K17" s="89">
        <f>H17/F17</f>
        <v>6.0342860715988871E-2</v>
      </c>
      <c r="L17" s="98"/>
      <c r="M17" s="96"/>
      <c r="N17" s="98"/>
      <c r="O17" s="98"/>
      <c r="P17" s="98"/>
      <c r="Q17" s="98"/>
      <c r="AB17" s="99">
        <f t="shared" ref="AB17:AB45" si="2">IF(B18="",AB16,AB16+1)</f>
        <v>1</v>
      </c>
    </row>
    <row r="18" spans="1:28" x14ac:dyDescent="0.25">
      <c r="A18" s="91">
        <f t="shared" si="0"/>
        <v>2</v>
      </c>
      <c r="B18" s="104" t="s">
        <v>68</v>
      </c>
      <c r="C18" s="91">
        <v>3</v>
      </c>
      <c r="D18" s="101">
        <v>21</v>
      </c>
      <c r="E18" s="101">
        <v>4521955</v>
      </c>
      <c r="F18" s="102">
        <v>454029.87610499997</v>
      </c>
      <c r="G18" s="103">
        <f t="shared" ref="G18:G30" si="3">IF(E18=0,0,F18/E18*1000)</f>
        <v>100.40565996455072</v>
      </c>
      <c r="H18" s="102">
        <v>28694.013984932048</v>
      </c>
      <c r="I18" s="102">
        <f t="shared" ref="I18:I30" si="4">F18+H18</f>
        <v>482723.89008993201</v>
      </c>
      <c r="J18" s="103">
        <f t="shared" si="1"/>
        <v>106.75</v>
      </c>
      <c r="K18" s="89">
        <f>H18/F18</f>
        <v>6.3198515108940118E-2</v>
      </c>
      <c r="L18" s="98"/>
      <c r="M18" s="96"/>
      <c r="N18" s="98"/>
      <c r="O18" s="98"/>
      <c r="P18" s="98"/>
      <c r="Q18" s="98"/>
      <c r="AB18" s="99">
        <f t="shared" si="2"/>
        <v>2</v>
      </c>
    </row>
    <row r="19" spans="1:28" x14ac:dyDescent="0.25">
      <c r="A19" s="91">
        <f t="shared" si="0"/>
        <v>3</v>
      </c>
      <c r="B19" s="100" t="s">
        <v>69</v>
      </c>
      <c r="C19" s="91">
        <v>4</v>
      </c>
      <c r="D19" s="101">
        <v>0</v>
      </c>
      <c r="E19" s="101">
        <v>0</v>
      </c>
      <c r="F19" s="102">
        <v>0</v>
      </c>
      <c r="G19" s="103">
        <f t="shared" si="3"/>
        <v>0</v>
      </c>
      <c r="H19" s="102">
        <v>0</v>
      </c>
      <c r="I19" s="102">
        <f t="shared" si="4"/>
        <v>0</v>
      </c>
      <c r="J19" s="103">
        <f t="shared" si="1"/>
        <v>0</v>
      </c>
      <c r="K19" s="89" t="str">
        <f>IF(F19=0,"N/A",H19/F19)</f>
        <v>N/A</v>
      </c>
      <c r="L19" s="98"/>
      <c r="M19" s="96"/>
      <c r="N19" s="98"/>
      <c r="O19" s="98"/>
      <c r="P19" s="98"/>
      <c r="Q19" s="98"/>
      <c r="AB19" s="99">
        <f t="shared" si="2"/>
        <v>3</v>
      </c>
    </row>
    <row r="20" spans="1:28" x14ac:dyDescent="0.25">
      <c r="A20" s="91">
        <f t="shared" si="0"/>
        <v>4</v>
      </c>
      <c r="B20" s="100" t="s">
        <v>70</v>
      </c>
      <c r="C20" s="91">
        <v>5</v>
      </c>
      <c r="D20" s="101">
        <v>988</v>
      </c>
      <c r="E20" s="101">
        <v>17662331.432252061</v>
      </c>
      <c r="F20" s="102">
        <v>1788337.0157794219</v>
      </c>
      <c r="G20" s="103">
        <f t="shared" si="3"/>
        <v>101.2514696963422</v>
      </c>
      <c r="H20" s="102">
        <v>112068.37543339076</v>
      </c>
      <c r="I20" s="102">
        <f t="shared" si="4"/>
        <v>1900405.3912128126</v>
      </c>
      <c r="J20" s="103">
        <f t="shared" si="1"/>
        <v>107.6</v>
      </c>
      <c r="K20" s="89">
        <f>IF(F20=0,"N/A",H20/F20)</f>
        <v>6.2666250513495808E-2</v>
      </c>
      <c r="L20" s="98"/>
      <c r="M20" s="96"/>
      <c r="N20" s="98"/>
      <c r="O20" s="98"/>
      <c r="P20" s="98"/>
      <c r="Q20" s="98"/>
      <c r="AB20" s="99">
        <f t="shared" si="2"/>
        <v>4</v>
      </c>
    </row>
    <row r="21" spans="1:28" x14ac:dyDescent="0.25">
      <c r="A21" s="91">
        <f t="shared" si="0"/>
        <v>5</v>
      </c>
      <c r="B21" s="100" t="s">
        <v>71</v>
      </c>
      <c r="C21" s="91">
        <v>6</v>
      </c>
      <c r="D21" s="101">
        <v>12024</v>
      </c>
      <c r="E21" s="101">
        <v>65895664</v>
      </c>
      <c r="F21" s="102">
        <v>7342186.406851761</v>
      </c>
      <c r="G21" s="103">
        <f t="shared" si="3"/>
        <v>111.42138892252093</v>
      </c>
      <c r="H21" s="102">
        <v>417976.63730787957</v>
      </c>
      <c r="I21" s="102">
        <f t="shared" si="4"/>
        <v>7760163.0441596406</v>
      </c>
      <c r="J21" s="103">
        <f t="shared" si="1"/>
        <v>117.76</v>
      </c>
      <c r="K21" s="89">
        <f>IF(F21=0,"N/A",H21/F21)</f>
        <v>5.6928088466648291E-2</v>
      </c>
      <c r="L21" s="98"/>
      <c r="M21" s="96"/>
      <c r="N21" s="98"/>
      <c r="O21" s="98"/>
      <c r="P21" s="98"/>
      <c r="Q21" s="98"/>
      <c r="AB21" s="99">
        <f t="shared" si="2"/>
        <v>5</v>
      </c>
    </row>
    <row r="22" spans="1:28" x14ac:dyDescent="0.25">
      <c r="A22" s="91">
        <f t="shared" si="0"/>
        <v>6</v>
      </c>
      <c r="B22" s="100" t="s">
        <v>72</v>
      </c>
      <c r="C22" s="91">
        <v>7</v>
      </c>
      <c r="D22" s="101">
        <v>30348</v>
      </c>
      <c r="E22" s="101">
        <v>137395735</v>
      </c>
      <c r="F22" s="102">
        <v>18011465.115790751</v>
      </c>
      <c r="G22" s="103">
        <f t="shared" si="3"/>
        <v>131.09187934975384</v>
      </c>
      <c r="H22" s="102">
        <v>869787.54082446173</v>
      </c>
      <c r="I22" s="102">
        <f>F22+H22</f>
        <v>18881252.656615213</v>
      </c>
      <c r="J22" s="103">
        <f t="shared" si="1"/>
        <v>137.41999999999999</v>
      </c>
      <c r="K22" s="89">
        <f t="shared" ref="K22:K31" si="5">H22/F22</f>
        <v>4.8290771196725923E-2</v>
      </c>
      <c r="L22" s="98"/>
      <c r="M22" s="96"/>
      <c r="N22" s="98"/>
      <c r="O22" s="98"/>
      <c r="P22" s="98"/>
      <c r="Q22" s="98"/>
      <c r="AB22" s="99">
        <f t="shared" si="2"/>
        <v>6</v>
      </c>
    </row>
    <row r="23" spans="1:28" x14ac:dyDescent="0.25">
      <c r="A23" s="91">
        <f t="shared" si="0"/>
        <v>7</v>
      </c>
      <c r="B23" s="100" t="s">
        <v>73</v>
      </c>
      <c r="C23" s="91">
        <v>8</v>
      </c>
      <c r="D23" s="101">
        <v>80</v>
      </c>
      <c r="E23" s="101">
        <v>190425.00000000003</v>
      </c>
      <c r="F23" s="102">
        <v>27285.056705584178</v>
      </c>
      <c r="G23" s="103">
        <f t="shared" si="3"/>
        <v>143.28505556299947</v>
      </c>
      <c r="H23" s="102">
        <v>1205.4907851506316</v>
      </c>
      <c r="I23" s="102">
        <f>F23+H23</f>
        <v>28490.547490734811</v>
      </c>
      <c r="J23" s="103">
        <f t="shared" si="1"/>
        <v>149.62</v>
      </c>
      <c r="K23" s="89">
        <f t="shared" si="5"/>
        <v>4.4181355316879917E-2</v>
      </c>
      <c r="L23" s="98"/>
      <c r="M23" s="96"/>
      <c r="N23" s="98"/>
      <c r="O23" s="98"/>
      <c r="P23" s="98"/>
      <c r="Q23" s="98"/>
      <c r="AB23" s="99">
        <f t="shared" si="2"/>
        <v>7</v>
      </c>
    </row>
    <row r="24" spans="1:28" x14ac:dyDescent="0.25">
      <c r="A24" s="91">
        <f t="shared" si="0"/>
        <v>8</v>
      </c>
      <c r="B24" s="100" t="s">
        <v>74</v>
      </c>
      <c r="C24" s="91">
        <v>9</v>
      </c>
      <c r="D24" s="101">
        <v>37919</v>
      </c>
      <c r="E24" s="101">
        <v>3900728491</v>
      </c>
      <c r="F24" s="102">
        <v>290148866.41854179</v>
      </c>
      <c r="G24" s="103">
        <f t="shared" si="3"/>
        <v>74.383250997343453</v>
      </c>
      <c r="H24" s="102">
        <v>24790494.277203031</v>
      </c>
      <c r="I24" s="102">
        <f>F24+H24</f>
        <v>314939360.69574481</v>
      </c>
      <c r="J24" s="103">
        <f t="shared" si="1"/>
        <v>80.739999999999995</v>
      </c>
      <c r="K24" s="89">
        <f t="shared" si="5"/>
        <v>8.5440603588099379E-2</v>
      </c>
      <c r="L24" s="98"/>
      <c r="M24" s="96"/>
      <c r="N24" s="98"/>
      <c r="O24" s="98"/>
      <c r="P24" s="98"/>
      <c r="Q24" s="98"/>
      <c r="AB24" s="99">
        <f t="shared" si="2"/>
        <v>8</v>
      </c>
    </row>
    <row r="25" spans="1:28" x14ac:dyDescent="0.25">
      <c r="A25" s="91">
        <f t="shared" si="0"/>
        <v>9</v>
      </c>
      <c r="B25" s="100" t="s">
        <v>75</v>
      </c>
      <c r="C25" s="91">
        <v>15</v>
      </c>
      <c r="D25" s="101">
        <v>0</v>
      </c>
      <c r="E25" s="101">
        <v>5267423</v>
      </c>
      <c r="F25" s="102">
        <v>1278806.2327929998</v>
      </c>
      <c r="G25" s="103">
        <f t="shared" si="3"/>
        <v>242.77644548254429</v>
      </c>
      <c r="H25" s="102">
        <v>33016.301457852227</v>
      </c>
      <c r="I25" s="102">
        <f>F25+H25</f>
        <v>1311822.534250852</v>
      </c>
      <c r="J25" s="103">
        <f>IF($E25=0,0,ROUND(I25/$E25*1000,2))</f>
        <v>249.04</v>
      </c>
      <c r="K25" s="89">
        <f t="shared" si="5"/>
        <v>2.5818064231468735E-2</v>
      </c>
      <c r="L25" s="98"/>
      <c r="M25" s="96"/>
      <c r="N25" s="98"/>
      <c r="O25" s="98"/>
      <c r="P25" s="98"/>
      <c r="Q25" s="98"/>
      <c r="AB25" s="99">
        <f t="shared" si="2"/>
        <v>9</v>
      </c>
    </row>
    <row r="26" spans="1:28" x14ac:dyDescent="0.25">
      <c r="A26" s="91">
        <f t="shared" si="0"/>
        <v>10</v>
      </c>
      <c r="B26" s="100" t="s">
        <v>76</v>
      </c>
      <c r="C26" s="91">
        <v>19</v>
      </c>
      <c r="D26" s="101">
        <v>116</v>
      </c>
      <c r="E26" s="101">
        <v>2391392176</v>
      </c>
      <c r="F26" s="102">
        <v>141697962.94263074</v>
      </c>
      <c r="G26" s="103">
        <f t="shared" si="3"/>
        <v>59.253335510883907</v>
      </c>
      <c r="H26" s="102">
        <v>15216898.40015207</v>
      </c>
      <c r="I26" s="102">
        <f>F26+H26</f>
        <v>156914861.3427828</v>
      </c>
      <c r="J26" s="103">
        <f t="shared" si="1"/>
        <v>65.62</v>
      </c>
      <c r="K26" s="89">
        <f t="shared" si="5"/>
        <v>0.10738967649318246</v>
      </c>
      <c r="L26" s="98"/>
      <c r="M26" s="96"/>
      <c r="N26" s="98"/>
      <c r="O26" s="98"/>
      <c r="P26" s="98"/>
      <c r="Q26" s="98"/>
      <c r="AB26" s="99">
        <f t="shared" si="2"/>
        <v>10</v>
      </c>
    </row>
    <row r="27" spans="1:28" x14ac:dyDescent="0.25">
      <c r="A27" s="91">
        <f t="shared" si="0"/>
        <v>11</v>
      </c>
      <c r="B27" s="100" t="s">
        <v>77</v>
      </c>
      <c r="C27" s="91">
        <v>24</v>
      </c>
      <c r="D27" s="101">
        <v>19120</v>
      </c>
      <c r="E27" s="101">
        <v>1897512119</v>
      </c>
      <c r="F27" s="102">
        <v>154754864.50973558</v>
      </c>
      <c r="G27" s="103">
        <f t="shared" si="3"/>
        <v>81.556719959866342</v>
      </c>
      <c r="H27" s="102">
        <v>12052294.067367963</v>
      </c>
      <c r="I27" s="102">
        <f t="shared" si="4"/>
        <v>166807158.57710356</v>
      </c>
      <c r="J27" s="103">
        <f t="shared" si="1"/>
        <v>87.91</v>
      </c>
      <c r="K27" s="89">
        <f t="shared" si="5"/>
        <v>7.7879904489915122E-2</v>
      </c>
      <c r="L27" s="98"/>
      <c r="M27" s="96"/>
      <c r="N27" s="98"/>
      <c r="O27" s="98"/>
      <c r="P27" s="98"/>
      <c r="Q27" s="98"/>
      <c r="AB27" s="99">
        <f t="shared" si="2"/>
        <v>11</v>
      </c>
    </row>
    <row r="28" spans="1:28" x14ac:dyDescent="0.25">
      <c r="A28" s="91">
        <f t="shared" si="0"/>
        <v>12</v>
      </c>
      <c r="B28" s="100" t="s">
        <v>78</v>
      </c>
      <c r="C28" s="91">
        <v>40</v>
      </c>
      <c r="D28" s="101">
        <v>1663</v>
      </c>
      <c r="E28" s="101">
        <v>13925301</v>
      </c>
      <c r="F28" s="102">
        <v>1229632.173501</v>
      </c>
      <c r="G28" s="103">
        <f t="shared" si="3"/>
        <v>88.302017565078131</v>
      </c>
      <c r="H28" s="102">
        <v>88399.639389820833</v>
      </c>
      <c r="I28" s="102">
        <f t="shared" si="4"/>
        <v>1318031.8128908209</v>
      </c>
      <c r="J28" s="103">
        <f t="shared" si="1"/>
        <v>94.65</v>
      </c>
      <c r="K28" s="89">
        <f t="shared" si="5"/>
        <v>7.1891124268593273E-2</v>
      </c>
      <c r="L28" s="98"/>
      <c r="M28" s="96"/>
      <c r="N28" s="98"/>
      <c r="O28" s="98"/>
      <c r="P28" s="98"/>
      <c r="Q28" s="98"/>
      <c r="AB28" s="99">
        <f t="shared" si="2"/>
        <v>12</v>
      </c>
    </row>
    <row r="29" spans="1:28" x14ac:dyDescent="0.25">
      <c r="A29" s="91">
        <f t="shared" si="0"/>
        <v>13</v>
      </c>
      <c r="B29" s="100" t="s">
        <v>79</v>
      </c>
      <c r="C29" s="91">
        <v>41</v>
      </c>
      <c r="D29" s="101">
        <v>2980</v>
      </c>
      <c r="E29" s="101">
        <v>23760014</v>
      </c>
      <c r="F29" s="102">
        <v>3589588.0719040446</v>
      </c>
      <c r="G29" s="103">
        <f t="shared" si="3"/>
        <v>151.07685003485454</v>
      </c>
      <c r="H29" s="102">
        <v>150058.15194058238</v>
      </c>
      <c r="I29" s="102">
        <f t="shared" si="4"/>
        <v>3739646.2238446269</v>
      </c>
      <c r="J29" s="103">
        <f t="shared" si="1"/>
        <v>157.38999999999999</v>
      </c>
      <c r="K29" s="89">
        <f t="shared" si="5"/>
        <v>4.1803724810403169E-2</v>
      </c>
      <c r="L29" s="98"/>
      <c r="M29" s="96"/>
      <c r="N29" s="98"/>
      <c r="O29" s="98"/>
      <c r="P29" s="98"/>
      <c r="Q29" s="98"/>
      <c r="AB29" s="99">
        <f t="shared" si="2"/>
        <v>13</v>
      </c>
    </row>
    <row r="30" spans="1:28" x14ac:dyDescent="0.25">
      <c r="A30" s="91">
        <f t="shared" si="0"/>
        <v>14</v>
      </c>
      <c r="B30" s="100" t="s">
        <v>80</v>
      </c>
      <c r="C30" s="91">
        <v>42</v>
      </c>
      <c r="D30" s="105">
        <v>766</v>
      </c>
      <c r="E30" s="105">
        <v>2847961</v>
      </c>
      <c r="F30" s="106">
        <v>184265.924661</v>
      </c>
      <c r="G30" s="107">
        <f t="shared" si="3"/>
        <v>64.700999999999993</v>
      </c>
      <c r="H30" s="106">
        <v>18114.089312457869</v>
      </c>
      <c r="I30" s="106">
        <f t="shared" si="4"/>
        <v>202380.01397345786</v>
      </c>
      <c r="J30" s="107">
        <f t="shared" si="1"/>
        <v>71.06</v>
      </c>
      <c r="K30" s="108">
        <f t="shared" si="5"/>
        <v>9.8304064334102714E-2</v>
      </c>
      <c r="L30" s="98"/>
      <c r="M30" s="96"/>
      <c r="N30" s="98"/>
      <c r="O30" s="98"/>
      <c r="P30" s="98"/>
      <c r="Q30" s="98"/>
      <c r="AB30" s="99">
        <f t="shared" si="2"/>
        <v>14</v>
      </c>
    </row>
    <row r="31" spans="1:28" x14ac:dyDescent="0.25">
      <c r="A31" s="91">
        <f t="shared" si="0"/>
        <v>15</v>
      </c>
      <c r="B31" s="100" t="s">
        <v>81</v>
      </c>
      <c r="C31" s="109" t="s">
        <v>38</v>
      </c>
      <c r="D31" s="101">
        <f>SUM(D17:D30)</f>
        <v>596318</v>
      </c>
      <c r="E31" s="101">
        <f>SUM(E17:E30)</f>
        <v>13920071669.432253</v>
      </c>
      <c r="F31" s="102">
        <f>SUM(F17:F30)</f>
        <v>1194333189.7992873</v>
      </c>
      <c r="G31" s="103">
        <f>IF($E31=0,0,ROUND(F31/$E31*1000,2))</f>
        <v>85.8</v>
      </c>
      <c r="H31" s="102">
        <f>SUM(H17:H30)</f>
        <v>88405303.347362444</v>
      </c>
      <c r="I31" s="102">
        <f>SUM(I17:I30)</f>
        <v>1282738493.1466501</v>
      </c>
      <c r="J31" s="103">
        <f t="shared" si="1"/>
        <v>92.15</v>
      </c>
      <c r="K31" s="89">
        <f t="shared" si="5"/>
        <v>7.4020636872880782E-2</v>
      </c>
      <c r="L31" s="96"/>
      <c r="M31" s="96"/>
      <c r="N31" s="96"/>
      <c r="O31" s="96"/>
      <c r="P31" s="96"/>
      <c r="Q31" s="96"/>
      <c r="AB31" s="99">
        <f t="shared" si="2"/>
        <v>14</v>
      </c>
    </row>
    <row r="32" spans="1:28" x14ac:dyDescent="0.25">
      <c r="A32" s="91" t="str">
        <f t="shared" si="0"/>
        <v/>
      </c>
      <c r="B32" s="84"/>
      <c r="C32" s="109" t="s">
        <v>38</v>
      </c>
      <c r="D32" s="110" t="s">
        <v>38</v>
      </c>
      <c r="E32" s="110" t="s">
        <v>38</v>
      </c>
      <c r="F32" s="101"/>
      <c r="G32" s="103"/>
      <c r="H32" s="101"/>
      <c r="I32" s="101"/>
      <c r="J32" s="111"/>
      <c r="K32" s="111"/>
      <c r="L32" s="96"/>
      <c r="M32" s="96"/>
      <c r="N32" s="96"/>
      <c r="O32" s="96"/>
      <c r="P32" s="96"/>
      <c r="Q32" s="96"/>
      <c r="AB32" s="99">
        <f t="shared" si="2"/>
        <v>15</v>
      </c>
    </row>
    <row r="33" spans="1:28" x14ac:dyDescent="0.25">
      <c r="A33" s="91">
        <f t="shared" si="0"/>
        <v>16</v>
      </c>
      <c r="B33" s="100" t="s">
        <v>82</v>
      </c>
      <c r="C33" s="109" t="s">
        <v>38</v>
      </c>
      <c r="D33" s="101">
        <v>3</v>
      </c>
      <c r="E33" s="101">
        <v>1071974663</v>
      </c>
      <c r="F33" s="102">
        <v>55966759.656453997</v>
      </c>
      <c r="G33" s="103">
        <f>IF($E33=0,0,ROUND(F33/$E33*1000,2))</f>
        <v>52.21</v>
      </c>
      <c r="H33" s="102">
        <v>6825101.7168796565</v>
      </c>
      <c r="I33" s="102">
        <f>F33+H33</f>
        <v>62791861.373333655</v>
      </c>
      <c r="J33" s="103">
        <f>IF($E33=0,0,ROUND(I33/$E33*1000,2))</f>
        <v>58.58</v>
      </c>
      <c r="K33" s="89">
        <f>H33/F33</f>
        <v>0.12194920268342883</v>
      </c>
      <c r="L33" s="96"/>
      <c r="M33" s="96"/>
      <c r="N33" s="96"/>
      <c r="O33" s="96"/>
      <c r="P33" s="96"/>
      <c r="Q33" s="96"/>
      <c r="AB33" s="99">
        <f t="shared" si="2"/>
        <v>15</v>
      </c>
    </row>
    <row r="34" spans="1:28" x14ac:dyDescent="0.25">
      <c r="A34" s="91" t="str">
        <f t="shared" si="0"/>
        <v/>
      </c>
      <c r="B34" s="84"/>
      <c r="C34" s="109" t="s">
        <v>38</v>
      </c>
      <c r="D34" s="110" t="s">
        <v>38</v>
      </c>
      <c r="E34" s="110" t="s">
        <v>38</v>
      </c>
      <c r="F34" s="101"/>
      <c r="G34" s="103"/>
      <c r="H34" s="101"/>
      <c r="I34" s="101"/>
      <c r="J34" s="103"/>
      <c r="K34" s="103"/>
      <c r="L34" s="98"/>
      <c r="M34" s="96"/>
      <c r="N34" s="98"/>
      <c r="O34" s="98"/>
      <c r="P34" s="98"/>
      <c r="Q34" s="98"/>
      <c r="AB34" s="99">
        <f t="shared" si="2"/>
        <v>16</v>
      </c>
    </row>
    <row r="35" spans="1:28" s="62" customFormat="1" ht="15.75" thickBot="1" x14ac:dyDescent="0.3">
      <c r="A35" s="91">
        <f t="shared" si="0"/>
        <v>17</v>
      </c>
      <c r="B35" s="112" t="s">
        <v>83</v>
      </c>
      <c r="C35" s="113" t="s">
        <v>38</v>
      </c>
      <c r="D35" s="114">
        <f>D31+D33</f>
        <v>596321</v>
      </c>
      <c r="E35" s="114">
        <f>E31+E33</f>
        <v>14992046332.432253</v>
      </c>
      <c r="F35" s="115">
        <f>F31+F33</f>
        <v>1250299949.4557414</v>
      </c>
      <c r="G35" s="116">
        <f>IF($E35=0,0,ROUND(F35/$E35*1000,2))</f>
        <v>83.4</v>
      </c>
      <c r="H35" s="115">
        <f>ROUND(H31+H33,6)</f>
        <v>95230405.064242005</v>
      </c>
      <c r="I35" s="115">
        <f>I31+I33</f>
        <v>1345530354.5199838</v>
      </c>
      <c r="J35" s="116">
        <f>IF($E35=0,0,ROUND(I35/$E35*1000,2))</f>
        <v>89.75</v>
      </c>
      <c r="K35" s="117">
        <f>H35/F35</f>
        <v>7.6166047279851545E-2</v>
      </c>
      <c r="L35" s="113"/>
      <c r="M35" s="96"/>
      <c r="N35" s="113"/>
      <c r="O35" s="113"/>
      <c r="P35" s="113"/>
      <c r="Q35" s="113"/>
      <c r="AB35" s="99">
        <f t="shared" si="2"/>
        <v>16</v>
      </c>
    </row>
    <row r="36" spans="1:28" ht="15.75" thickTop="1" x14ac:dyDescent="0.25">
      <c r="A36" s="91" t="str">
        <f t="shared" si="0"/>
        <v/>
      </c>
      <c r="F36" s="102"/>
      <c r="G36" s="103"/>
      <c r="H36" s="102"/>
      <c r="I36" s="102"/>
      <c r="J36" s="103"/>
      <c r="K36" s="103"/>
      <c r="L36" s="85"/>
      <c r="M36" s="96"/>
      <c r="N36" s="85"/>
      <c r="O36" s="85"/>
      <c r="P36" s="85"/>
      <c r="Q36" s="85"/>
      <c r="AB36" s="99">
        <f t="shared" si="2"/>
        <v>16</v>
      </c>
    </row>
    <row r="37" spans="1:28" x14ac:dyDescent="0.25">
      <c r="A37" s="91" t="str">
        <f t="shared" si="0"/>
        <v/>
      </c>
      <c r="B37" s="112"/>
      <c r="C37" s="118"/>
      <c r="D37" s="119"/>
      <c r="E37" s="119"/>
      <c r="F37" s="120"/>
      <c r="G37" s="120"/>
      <c r="H37" s="120"/>
      <c r="I37" s="120"/>
      <c r="J37" s="120"/>
      <c r="K37" s="120"/>
      <c r="L37" s="85"/>
      <c r="M37" s="96"/>
      <c r="N37" s="85"/>
      <c r="O37" s="85"/>
      <c r="P37" s="85"/>
      <c r="Q37" s="85"/>
      <c r="AB37" s="99">
        <f t="shared" si="2"/>
        <v>17</v>
      </c>
    </row>
    <row r="38" spans="1:28" hidden="1" x14ac:dyDescent="0.25">
      <c r="A38" s="91">
        <f t="shared" si="0"/>
        <v>18</v>
      </c>
      <c r="B38" s="100" t="s">
        <v>84</v>
      </c>
      <c r="C38" s="91">
        <v>32</v>
      </c>
      <c r="E38" s="101" t="e">
        <v>#REF!</v>
      </c>
      <c r="F38" s="102" t="e">
        <v>#REF!</v>
      </c>
      <c r="G38" s="103" t="e">
        <v>#REF!</v>
      </c>
      <c r="H38" s="102"/>
      <c r="I38" s="102"/>
      <c r="J38" s="103" t="e">
        <f>IF($E38=0,0,ROUND(I38/$E38*1000,2))</f>
        <v>#REF!</v>
      </c>
      <c r="K38" s="89" t="e">
        <f>H38/F38</f>
        <v>#REF!</v>
      </c>
      <c r="L38" s="98"/>
      <c r="M38" s="96"/>
      <c r="N38" s="98"/>
      <c r="O38" s="98"/>
      <c r="P38" s="98"/>
      <c r="Q38" s="98"/>
      <c r="AB38" s="99">
        <f t="shared" si="2"/>
        <v>17</v>
      </c>
    </row>
    <row r="39" spans="1:28" x14ac:dyDescent="0.25">
      <c r="A39" s="91" t="str">
        <f t="shared" si="0"/>
        <v/>
      </c>
      <c r="E39" s="57"/>
      <c r="F39" s="120"/>
      <c r="G39" s="120"/>
      <c r="H39" s="120"/>
      <c r="I39" s="120"/>
      <c r="J39" s="120"/>
      <c r="K39" s="120"/>
      <c r="L39" s="85"/>
      <c r="M39" s="96"/>
      <c r="N39" s="85"/>
      <c r="O39" s="85"/>
      <c r="P39" s="85"/>
      <c r="Q39" s="85"/>
      <c r="AB39" s="99">
        <f t="shared" si="2"/>
        <v>17</v>
      </c>
    </row>
    <row r="40" spans="1:28" x14ac:dyDescent="0.25">
      <c r="A40" s="91" t="str">
        <f t="shared" si="0"/>
        <v/>
      </c>
      <c r="B40" s="112"/>
      <c r="C40" s="118"/>
      <c r="E40" s="57"/>
      <c r="F40" s="120"/>
      <c r="G40" s="120"/>
      <c r="H40" s="120"/>
      <c r="I40" s="120"/>
      <c r="J40" s="120"/>
      <c r="K40" s="120"/>
      <c r="L40" s="85"/>
      <c r="M40" s="85"/>
      <c r="N40" s="85"/>
      <c r="O40" s="85"/>
      <c r="P40" s="85"/>
      <c r="Q40" s="85"/>
      <c r="AB40" s="99">
        <f t="shared" si="2"/>
        <v>17</v>
      </c>
    </row>
    <row r="41" spans="1:28" x14ac:dyDescent="0.25">
      <c r="A41" s="84"/>
      <c r="B41" s="112"/>
      <c r="C41" s="118"/>
      <c r="D41" s="119"/>
      <c r="E41" s="119"/>
      <c r="F41" s="120"/>
      <c r="G41" s="120"/>
      <c r="H41" s="120"/>
      <c r="I41" s="120"/>
      <c r="J41" s="120"/>
      <c r="K41" s="120"/>
      <c r="AB41" s="99">
        <f t="shared" si="2"/>
        <v>17</v>
      </c>
    </row>
    <row r="42" spans="1:28" x14ac:dyDescent="0.25">
      <c r="D42" s="57"/>
      <c r="L42" s="85"/>
      <c r="M42" s="85"/>
      <c r="N42" s="85"/>
      <c r="O42" s="85"/>
      <c r="P42" s="85"/>
      <c r="Q42" s="85"/>
      <c r="AB42" s="99">
        <f t="shared" si="2"/>
        <v>17</v>
      </c>
    </row>
    <row r="43" spans="1:28" x14ac:dyDescent="0.25">
      <c r="A43" s="121"/>
      <c r="B43" s="112"/>
      <c r="C43" s="118"/>
      <c r="D43" s="119"/>
      <c r="E43" s="119"/>
      <c r="F43" s="120"/>
      <c r="G43" s="120"/>
      <c r="H43" s="120"/>
      <c r="I43" s="120"/>
      <c r="J43" s="120"/>
      <c r="K43" s="120"/>
      <c r="L43" s="85"/>
      <c r="M43" s="85"/>
      <c r="N43" s="85"/>
      <c r="O43" s="85"/>
      <c r="P43" s="85"/>
      <c r="Q43" s="85"/>
      <c r="AB43" s="99">
        <f t="shared" si="2"/>
        <v>17</v>
      </c>
    </row>
    <row r="44" spans="1:28" x14ac:dyDescent="0.25">
      <c r="A44" s="121"/>
      <c r="B44" s="112"/>
      <c r="C44" s="118"/>
      <c r="D44" s="119"/>
      <c r="E44" s="119"/>
      <c r="F44" s="120"/>
      <c r="G44" s="120"/>
      <c r="H44" s="120"/>
      <c r="I44" s="120"/>
      <c r="J44" s="120"/>
      <c r="K44" s="120"/>
      <c r="L44" s="85"/>
      <c r="M44" s="85"/>
      <c r="N44" s="85"/>
      <c r="O44" s="85"/>
      <c r="P44" s="85"/>
      <c r="Q44" s="85"/>
      <c r="AB44" s="99">
        <f t="shared" si="2"/>
        <v>17</v>
      </c>
    </row>
    <row r="45" spans="1:28" x14ac:dyDescent="0.25">
      <c r="A45" s="121"/>
      <c r="B45" s="87"/>
      <c r="C45" s="109"/>
      <c r="D45" s="119"/>
      <c r="E45" s="119"/>
      <c r="F45" s="120"/>
      <c r="G45" s="120"/>
      <c r="H45" s="120"/>
      <c r="I45" s="120"/>
      <c r="J45" s="120"/>
      <c r="K45" s="120"/>
      <c r="L45" s="85"/>
      <c r="M45" s="85"/>
      <c r="N45" s="85"/>
      <c r="O45" s="85"/>
      <c r="P45" s="85"/>
      <c r="Q45" s="85"/>
      <c r="AB45" s="99">
        <f t="shared" si="2"/>
        <v>17</v>
      </c>
    </row>
    <row r="46" spans="1:28" x14ac:dyDescent="0.25">
      <c r="A46" s="121" t="s">
        <v>85</v>
      </c>
      <c r="B46" s="87"/>
      <c r="C46" s="109"/>
      <c r="D46" s="120"/>
      <c r="E46" s="120"/>
      <c r="F46" s="120"/>
      <c r="G46" s="120"/>
      <c r="H46" s="120"/>
      <c r="I46" s="120"/>
      <c r="J46" s="120"/>
      <c r="K46" s="120"/>
      <c r="L46" s="85"/>
      <c r="M46" s="85"/>
      <c r="N46" s="85"/>
      <c r="O46" s="85"/>
      <c r="P46" s="85"/>
      <c r="Q46" s="85"/>
      <c r="AB46" s="99"/>
    </row>
    <row r="47" spans="1:28" x14ac:dyDescent="0.25">
      <c r="A47" s="121" t="s">
        <v>86</v>
      </c>
      <c r="B47" s="87"/>
      <c r="C47" s="109"/>
      <c r="D47" s="120"/>
      <c r="E47" s="120"/>
      <c r="F47" s="120"/>
      <c r="G47" s="120"/>
      <c r="H47" s="120"/>
      <c r="I47" s="120"/>
      <c r="J47" s="120"/>
      <c r="K47" s="120"/>
      <c r="L47" s="85"/>
      <c r="M47" s="85"/>
      <c r="N47" s="85"/>
      <c r="O47" s="85"/>
      <c r="P47" s="85"/>
      <c r="Q47" s="85"/>
      <c r="AB47" s="99"/>
    </row>
    <row r="48" spans="1:28" x14ac:dyDescent="0.25">
      <c r="A48" s="134" t="str">
        <f t="shared" ref="A48:A53" si="6">A1</f>
        <v>Idaho Power Company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85"/>
      <c r="M48" s="85"/>
      <c r="N48" s="85"/>
      <c r="O48" s="85"/>
      <c r="P48" s="85"/>
      <c r="Q48" s="85"/>
      <c r="AB48" s="84"/>
    </row>
    <row r="49" spans="1:28" x14ac:dyDescent="0.25">
      <c r="A49" s="134" t="str">
        <f t="shared" si="6"/>
        <v>Calculation of Revenue Impact 2022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85"/>
      <c r="M49" s="85"/>
      <c r="N49" s="85"/>
      <c r="O49" s="85"/>
      <c r="P49" s="85"/>
      <c r="Q49" s="85"/>
      <c r="AB49" s="84"/>
    </row>
    <row r="50" spans="1:28" x14ac:dyDescent="0.25">
      <c r="A50" s="134" t="str">
        <f t="shared" si="6"/>
        <v xml:space="preserve">State of Idaho 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85"/>
      <c r="M50" s="85"/>
      <c r="N50" s="85"/>
      <c r="O50" s="85"/>
      <c r="P50" s="85"/>
      <c r="Q50" s="85"/>
      <c r="AB50" s="84"/>
    </row>
    <row r="51" spans="1:28" x14ac:dyDescent="0.25">
      <c r="A51" s="134" t="str">
        <f t="shared" si="6"/>
        <v>PCA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85"/>
      <c r="M51" s="85"/>
      <c r="N51" s="85"/>
      <c r="O51" s="85"/>
      <c r="P51" s="85"/>
      <c r="Q51" s="85"/>
      <c r="AB51" s="84"/>
    </row>
    <row r="52" spans="1:28" x14ac:dyDescent="0.25">
      <c r="A52" s="134" t="str">
        <f t="shared" si="6"/>
        <v>Filed April 15, 2022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AB52" s="84"/>
    </row>
    <row r="53" spans="1:28" x14ac:dyDescent="0.25">
      <c r="A53" s="134" t="str">
        <f t="shared" si="6"/>
        <v xml:space="preserve"> 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85"/>
      <c r="M53" s="85"/>
      <c r="N53" s="85"/>
      <c r="O53" s="85"/>
      <c r="P53" s="85"/>
      <c r="Q53" s="85"/>
      <c r="AB53" s="84"/>
    </row>
    <row r="54" spans="1:28" x14ac:dyDescent="0.25">
      <c r="A54" s="134" t="s">
        <v>87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85"/>
      <c r="M54" s="85"/>
      <c r="N54" s="85"/>
      <c r="O54" s="85"/>
      <c r="P54" s="85"/>
      <c r="Q54" s="85"/>
      <c r="AB54" s="84"/>
    </row>
    <row r="55" spans="1:28" x14ac:dyDescent="0.25">
      <c r="A55" s="134" t="s">
        <v>40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86"/>
      <c r="M55" s="86"/>
      <c r="N55" s="86"/>
      <c r="O55" s="86"/>
      <c r="P55" s="86"/>
      <c r="Q55" s="86"/>
      <c r="AB55" s="99"/>
    </row>
    <row r="56" spans="1:28" x14ac:dyDescent="0.25">
      <c r="A56" s="83" t="s">
        <v>38</v>
      </c>
      <c r="B56" s="83" t="s">
        <v>38</v>
      </c>
      <c r="C56" s="83" t="s">
        <v>38</v>
      </c>
      <c r="D56" s="83" t="s">
        <v>38</v>
      </c>
      <c r="E56" s="83" t="s">
        <v>38</v>
      </c>
      <c r="F56" s="83"/>
      <c r="G56" s="83"/>
      <c r="H56" s="83"/>
      <c r="I56" s="83"/>
      <c r="J56" s="83"/>
      <c r="K56" s="83"/>
      <c r="L56" s="122"/>
      <c r="M56" s="122"/>
      <c r="N56" s="122"/>
      <c r="O56" s="122"/>
      <c r="P56" s="122"/>
      <c r="Q56" s="122"/>
      <c r="AB56" s="99"/>
    </row>
    <row r="57" spans="1:28" x14ac:dyDescent="0.25">
      <c r="A57" s="87" t="s">
        <v>38</v>
      </c>
      <c r="B57" s="87" t="s">
        <v>38</v>
      </c>
      <c r="C57" s="86" t="s">
        <v>38</v>
      </c>
      <c r="D57" s="86" t="s">
        <v>38</v>
      </c>
      <c r="E57" s="86" t="s">
        <v>38</v>
      </c>
      <c r="F57" s="86"/>
      <c r="G57" s="86"/>
      <c r="H57" s="88"/>
      <c r="I57" s="88"/>
      <c r="J57" s="86"/>
      <c r="K57" s="91" t="str">
        <f>K10</f>
        <v>Percent</v>
      </c>
      <c r="L57" s="122"/>
      <c r="M57" s="122"/>
      <c r="N57" s="122"/>
      <c r="O57" s="122"/>
      <c r="P57" s="122"/>
      <c r="Q57" s="122"/>
      <c r="AB57" s="99"/>
    </row>
    <row r="58" spans="1:28" x14ac:dyDescent="0.25">
      <c r="A58" s="87" t="s">
        <v>38</v>
      </c>
      <c r="B58" s="87" t="s">
        <v>38</v>
      </c>
      <c r="C58" s="91" t="str">
        <f t="shared" ref="C58:F60" si="7">C11</f>
        <v>Rate</v>
      </c>
      <c r="D58" s="91" t="str">
        <f t="shared" si="7"/>
        <v>Average</v>
      </c>
      <c r="E58" s="91" t="str">
        <f t="shared" si="7"/>
        <v>Normalized</v>
      </c>
      <c r="F58" s="91" t="str">
        <f t="shared" si="7"/>
        <v>Current</v>
      </c>
      <c r="G58" s="91"/>
      <c r="H58" s="91" t="str">
        <f t="shared" ref="H58:I60" si="8">H11</f>
        <v>Adjustments</v>
      </c>
      <c r="I58" s="91" t="str">
        <f t="shared" si="8"/>
        <v>Proposed</v>
      </c>
      <c r="J58" s="91"/>
      <c r="K58" s="91" t="str">
        <f>K11</f>
        <v>Change</v>
      </c>
      <c r="L58" s="94"/>
      <c r="M58" s="94"/>
      <c r="N58" s="94"/>
      <c r="O58" s="94"/>
      <c r="P58" s="94"/>
      <c r="Q58" s="94"/>
      <c r="AB58" s="99"/>
    </row>
    <row r="59" spans="1:28" x14ac:dyDescent="0.25">
      <c r="A59" s="91" t="s">
        <v>50</v>
      </c>
      <c r="B59" s="87" t="s">
        <v>38</v>
      </c>
      <c r="C59" s="91" t="str">
        <f t="shared" si="7"/>
        <v>Sch.</v>
      </c>
      <c r="D59" s="91" t="str">
        <f t="shared" si="7"/>
        <v>Number of</v>
      </c>
      <c r="E59" s="91" t="str">
        <f t="shared" si="7"/>
        <v xml:space="preserve">Energy </v>
      </c>
      <c r="F59" s="91" t="str">
        <f t="shared" si="7"/>
        <v>Billed</v>
      </c>
      <c r="G59" s="91" t="str">
        <f>G12</f>
        <v>Mills</v>
      </c>
      <c r="H59" s="91" t="str">
        <f t="shared" si="8"/>
        <v>to Billed</v>
      </c>
      <c r="I59" s="91" t="str">
        <f t="shared" si="8"/>
        <v>Total Billed</v>
      </c>
      <c r="J59" s="91" t="str">
        <f>J12</f>
        <v>Mills</v>
      </c>
      <c r="K59" s="91" t="str">
        <f>K12</f>
        <v>Billed to Billed (2)</v>
      </c>
      <c r="L59" s="87"/>
      <c r="M59" s="87"/>
      <c r="N59" s="87"/>
      <c r="O59" s="87"/>
      <c r="P59" s="87"/>
      <c r="Q59" s="87"/>
      <c r="AB59" s="87"/>
    </row>
    <row r="60" spans="1:28" x14ac:dyDescent="0.25">
      <c r="A60" s="93" t="s">
        <v>59</v>
      </c>
      <c r="B60" s="93" t="s">
        <v>60</v>
      </c>
      <c r="C60" s="91" t="str">
        <f t="shared" si="7"/>
        <v>No.</v>
      </c>
      <c r="D60" s="91" t="str">
        <f t="shared" si="7"/>
        <v>Customers (1)</v>
      </c>
      <c r="E60" s="91" t="str">
        <f t="shared" si="7"/>
        <v>(kWh) (1)</v>
      </c>
      <c r="F60" s="91" t="str">
        <f t="shared" si="7"/>
        <v>Revenue</v>
      </c>
      <c r="G60" s="91" t="str">
        <f>G13</f>
        <v>Per kWh</v>
      </c>
      <c r="H60" s="91" t="str">
        <f t="shared" si="8"/>
        <v>Revenue</v>
      </c>
      <c r="I60" s="91" t="str">
        <f t="shared" si="8"/>
        <v>Revenue</v>
      </c>
      <c r="J60" s="91" t="str">
        <f>J13</f>
        <v>Per kWh</v>
      </c>
      <c r="K60" s="91" t="str">
        <f>K13</f>
        <v>Revenue</v>
      </c>
      <c r="L60" s="96"/>
      <c r="M60" s="96"/>
      <c r="N60" s="96"/>
      <c r="O60" s="96"/>
      <c r="P60" s="96"/>
      <c r="Q60" s="96"/>
      <c r="AB60" s="99"/>
    </row>
    <row r="61" spans="1:28" x14ac:dyDescent="0.25">
      <c r="A61" s="87" t="s">
        <v>38</v>
      </c>
      <c r="B61" s="87" t="s">
        <v>38</v>
      </c>
      <c r="C61" s="87" t="s">
        <v>38</v>
      </c>
      <c r="D61" s="87" t="s">
        <v>38</v>
      </c>
      <c r="E61" s="87" t="s">
        <v>38</v>
      </c>
      <c r="F61" s="87"/>
      <c r="G61" s="87"/>
      <c r="H61" s="87"/>
      <c r="I61" s="87"/>
      <c r="J61" s="87"/>
      <c r="K61" s="87"/>
      <c r="L61" s="96"/>
      <c r="M61" s="96"/>
      <c r="N61" s="96"/>
      <c r="O61" s="96"/>
      <c r="P61" s="96"/>
      <c r="Q61" s="96"/>
      <c r="AB61" s="99"/>
    </row>
    <row r="62" spans="1:28" x14ac:dyDescent="0.25">
      <c r="A62" s="87" t="s">
        <v>38</v>
      </c>
      <c r="B62" s="97" t="s">
        <v>66</v>
      </c>
      <c r="C62" s="109" t="s">
        <v>38</v>
      </c>
      <c r="D62" s="101" t="s">
        <v>38</v>
      </c>
      <c r="E62" s="101" t="s">
        <v>38</v>
      </c>
      <c r="F62" s="101"/>
      <c r="G62" s="120"/>
      <c r="H62" s="101"/>
      <c r="I62" s="101"/>
      <c r="J62" s="120"/>
      <c r="K62" s="120"/>
      <c r="L62" s="98"/>
      <c r="M62" s="98"/>
      <c r="N62" s="98"/>
      <c r="O62" s="98"/>
      <c r="P62" s="98"/>
      <c r="Q62" s="98"/>
      <c r="AB62" s="99">
        <v>0</v>
      </c>
    </row>
    <row r="63" spans="1:28" x14ac:dyDescent="0.25">
      <c r="A63" s="87" t="s">
        <v>38</v>
      </c>
      <c r="B63" s="84" t="s">
        <v>38</v>
      </c>
      <c r="C63" s="109" t="s">
        <v>38</v>
      </c>
      <c r="D63" s="101" t="s">
        <v>38</v>
      </c>
      <c r="E63" s="101" t="s">
        <v>38</v>
      </c>
      <c r="F63" s="101"/>
      <c r="G63" s="120"/>
      <c r="H63" s="101"/>
      <c r="I63" s="101"/>
      <c r="J63" s="120"/>
      <c r="K63" s="120"/>
      <c r="L63" s="98"/>
      <c r="M63" s="98"/>
      <c r="N63" s="98"/>
      <c r="O63" s="98"/>
      <c r="P63" s="98"/>
      <c r="Q63" s="98"/>
      <c r="AB63" s="99">
        <f t="shared" ref="AB63:AB89" si="9">IF(B65="",AB62,AB62+1)</f>
        <v>1</v>
      </c>
    </row>
    <row r="64" spans="1:28" x14ac:dyDescent="0.25">
      <c r="A64" s="91">
        <f>IF(B64="","",AB62+1)</f>
        <v>1</v>
      </c>
      <c r="B64" s="100" t="s">
        <v>88</v>
      </c>
      <c r="C64" s="123" t="s">
        <v>89</v>
      </c>
      <c r="D64" s="101">
        <v>37635</v>
      </c>
      <c r="E64" s="101">
        <v>3304176840</v>
      </c>
      <c r="F64" s="102">
        <v>250044986.66679323</v>
      </c>
      <c r="G64" s="103">
        <v>75.680000000000007</v>
      </c>
      <c r="H64" s="102">
        <v>20996985.541194603</v>
      </c>
      <c r="I64" s="102">
        <f>F64+H64</f>
        <v>271041972.20798784</v>
      </c>
      <c r="J64" s="103">
        <f>IF($E64=0,0,ROUND(I64/$E64*1000,2))</f>
        <v>82.03</v>
      </c>
      <c r="K64" s="89">
        <f>H64/F64</f>
        <v>8.3972831533610862E-2</v>
      </c>
      <c r="L64" s="98"/>
      <c r="M64" s="98"/>
      <c r="N64" s="98"/>
      <c r="O64" s="98"/>
      <c r="P64" s="98"/>
      <c r="Q64" s="98"/>
      <c r="AB64" s="99">
        <f t="shared" si="9"/>
        <v>2</v>
      </c>
    </row>
    <row r="65" spans="1:28" x14ac:dyDescent="0.25">
      <c r="A65" s="91">
        <f>IF(B65="","",AB63+1)</f>
        <v>2</v>
      </c>
      <c r="B65" s="100" t="s">
        <v>90</v>
      </c>
      <c r="C65" s="123" t="s">
        <v>91</v>
      </c>
      <c r="D65" s="101">
        <v>280</v>
      </c>
      <c r="E65" s="101">
        <v>592994508</v>
      </c>
      <c r="F65" s="102">
        <v>39836749.053088419</v>
      </c>
      <c r="G65" s="103">
        <v>67.180000000000007</v>
      </c>
      <c r="H65" s="102">
        <v>3770903.1644250462</v>
      </c>
      <c r="I65" s="102">
        <f>F65+H65</f>
        <v>43607652.217513464</v>
      </c>
      <c r="J65" s="103">
        <f>IF($E65=0,0,ROUND(I65/$E65*1000,2))</f>
        <v>73.540000000000006</v>
      </c>
      <c r="K65" s="89">
        <f>H65/F65</f>
        <v>9.4658908019822463E-2</v>
      </c>
      <c r="L65" s="98"/>
      <c r="M65" s="98"/>
      <c r="N65" s="98"/>
      <c r="O65" s="98"/>
      <c r="P65" s="98"/>
      <c r="Q65" s="98"/>
      <c r="AB65" s="99">
        <f t="shared" si="9"/>
        <v>3</v>
      </c>
    </row>
    <row r="66" spans="1:28" x14ac:dyDescent="0.25">
      <c r="A66" s="91">
        <f>IF(B66="","",AB64+1)</f>
        <v>3</v>
      </c>
      <c r="B66" s="100" t="s">
        <v>92</v>
      </c>
      <c r="C66" s="123" t="s">
        <v>93</v>
      </c>
      <c r="D66" s="105">
        <v>4</v>
      </c>
      <c r="E66" s="105">
        <v>3557143</v>
      </c>
      <c r="F66" s="106">
        <v>267130.69866012153</v>
      </c>
      <c r="G66" s="107">
        <v>75.099999999999994</v>
      </c>
      <c r="H66" s="106">
        <v>22605.571583380992</v>
      </c>
      <c r="I66" s="106">
        <f>F66+H66</f>
        <v>289736.27024350251</v>
      </c>
      <c r="J66" s="107">
        <f>IF($E66=0,0,ROUND(I66/$E66*1000,2))</f>
        <v>81.45</v>
      </c>
      <c r="K66" s="108">
        <f>H66/F66</f>
        <v>8.4623638154530278E-2</v>
      </c>
      <c r="L66" s="98"/>
      <c r="M66" s="98"/>
      <c r="N66" s="98"/>
      <c r="O66" s="98"/>
      <c r="P66" s="98"/>
      <c r="Q66" s="98"/>
      <c r="AB66" s="99">
        <f t="shared" si="9"/>
        <v>4</v>
      </c>
    </row>
    <row r="67" spans="1:28" x14ac:dyDescent="0.25">
      <c r="A67" s="91">
        <f>IF(B67="","",AB65+1)</f>
        <v>4</v>
      </c>
      <c r="B67" s="100" t="s">
        <v>94</v>
      </c>
      <c r="C67" s="91" t="s">
        <v>38</v>
      </c>
      <c r="D67" s="101">
        <f>SUM(D64:D66)</f>
        <v>37919</v>
      </c>
      <c r="E67" s="101">
        <f>SUM(E64:E66)</f>
        <v>3900728491</v>
      </c>
      <c r="F67" s="102">
        <f>SUM(F64:F66)</f>
        <v>290148866.41854179</v>
      </c>
      <c r="G67" s="103">
        <f>IF($E67=0,0,ROUND(F67/$E67*1000,2))</f>
        <v>74.38</v>
      </c>
      <c r="H67" s="102">
        <f>SUM(H64:H66)</f>
        <v>24790494.277203031</v>
      </c>
      <c r="I67" s="102">
        <f>SUM(I64:I66)</f>
        <v>314939360.69574481</v>
      </c>
      <c r="J67" s="103">
        <f>IF($E67=0,0,ROUND(I67/$E67*1000,2))</f>
        <v>80.739999999999995</v>
      </c>
      <c r="K67" s="89">
        <f>H67/F67</f>
        <v>8.5440603588099379E-2</v>
      </c>
      <c r="L67" s="98"/>
      <c r="M67" s="98"/>
      <c r="N67" s="98"/>
      <c r="O67" s="98"/>
      <c r="P67" s="98"/>
      <c r="Q67" s="98"/>
      <c r="AB67" s="99">
        <f t="shared" si="9"/>
        <v>5</v>
      </c>
    </row>
    <row r="68" spans="1:28" x14ac:dyDescent="0.25">
      <c r="A68" s="91" t="s">
        <v>38</v>
      </c>
      <c r="B68" s="100" t="s">
        <v>38</v>
      </c>
      <c r="C68" s="91" t="s">
        <v>38</v>
      </c>
      <c r="D68" s="110" t="s">
        <v>38</v>
      </c>
      <c r="E68" s="110" t="s">
        <v>38</v>
      </c>
      <c r="F68" s="102"/>
      <c r="G68" s="103"/>
      <c r="H68" s="102"/>
      <c r="I68" s="102"/>
      <c r="J68" s="103"/>
      <c r="K68" s="103"/>
      <c r="L68" s="98"/>
      <c r="M68" s="98"/>
      <c r="N68" s="98"/>
      <c r="O68" s="98"/>
      <c r="P68" s="98"/>
      <c r="Q68" s="98"/>
      <c r="AB68" s="99">
        <f t="shared" si="9"/>
        <v>6</v>
      </c>
    </row>
    <row r="69" spans="1:28" x14ac:dyDescent="0.25">
      <c r="A69" s="91">
        <f>IF(B69="","",AB67+1)</f>
        <v>6</v>
      </c>
      <c r="B69" s="100" t="s">
        <v>95</v>
      </c>
      <c r="C69" s="123" t="s">
        <v>96</v>
      </c>
      <c r="D69" s="101">
        <v>0</v>
      </c>
      <c r="E69" s="101">
        <v>0</v>
      </c>
      <c r="F69" s="102">
        <v>0</v>
      </c>
      <c r="G69" s="103">
        <v>0</v>
      </c>
      <c r="H69" s="102">
        <v>0</v>
      </c>
      <c r="I69" s="102">
        <f>F69+H69</f>
        <v>0</v>
      </c>
      <c r="J69" s="103">
        <f>IF($E69=0,0,ROUND(I69/$E69*1000,2))</f>
        <v>0</v>
      </c>
      <c r="K69" s="89" t="e">
        <f>H69/F69</f>
        <v>#DIV/0!</v>
      </c>
      <c r="L69" s="98"/>
      <c r="M69" s="98"/>
      <c r="N69" s="98"/>
      <c r="O69" s="98"/>
      <c r="P69" s="98"/>
      <c r="Q69" s="98"/>
      <c r="AB69" s="99">
        <f t="shared" si="9"/>
        <v>7</v>
      </c>
    </row>
    <row r="70" spans="1:28" x14ac:dyDescent="0.25">
      <c r="A70" s="91">
        <f>IF(B70="","",AB68+1)</f>
        <v>7</v>
      </c>
      <c r="B70" s="100" t="s">
        <v>97</v>
      </c>
      <c r="C70" s="123" t="s">
        <v>98</v>
      </c>
      <c r="D70" s="101">
        <v>114</v>
      </c>
      <c r="E70" s="101">
        <v>2358498546</v>
      </c>
      <c r="F70" s="102">
        <v>139847426.01677752</v>
      </c>
      <c r="G70" s="103">
        <v>59.3</v>
      </c>
      <c r="H70" s="102">
        <v>15007538.67323558</v>
      </c>
      <c r="I70" s="102">
        <f>F70+H70</f>
        <v>154854964.69001311</v>
      </c>
      <c r="J70" s="103">
        <f>IF($E70=0,0,ROUND(I70/$E70*1000,2))</f>
        <v>65.66</v>
      </c>
      <c r="K70" s="89">
        <f>H70/F70</f>
        <v>0.10731365675214589</v>
      </c>
      <c r="L70" s="98"/>
      <c r="M70" s="98"/>
      <c r="N70" s="98"/>
      <c r="O70" s="98"/>
      <c r="P70" s="98"/>
      <c r="Q70" s="98"/>
      <c r="AB70" s="99">
        <f t="shared" si="9"/>
        <v>8</v>
      </c>
    </row>
    <row r="71" spans="1:28" x14ac:dyDescent="0.25">
      <c r="A71" s="91">
        <f>IF(B71="","",AB69+1)</f>
        <v>8</v>
      </c>
      <c r="B71" s="100" t="s">
        <v>99</v>
      </c>
      <c r="C71" s="123" t="s">
        <v>100</v>
      </c>
      <c r="D71" s="105">
        <v>2</v>
      </c>
      <c r="E71" s="105">
        <v>32893630</v>
      </c>
      <c r="F71" s="106">
        <v>1850536.9258532303</v>
      </c>
      <c r="G71" s="107">
        <v>56.26</v>
      </c>
      <c r="H71" s="106">
        <v>209359.72691648838</v>
      </c>
      <c r="I71" s="106">
        <f>F71+H71</f>
        <v>2059896.6527697188</v>
      </c>
      <c r="J71" s="107">
        <f>IF($E71=0,0,ROUND(I71/$E71*1000,2))</f>
        <v>62.62</v>
      </c>
      <c r="K71" s="108">
        <f>H71/F71</f>
        <v>0.1131345848826867</v>
      </c>
      <c r="L71" s="87"/>
      <c r="M71" s="87"/>
      <c r="N71" s="87"/>
      <c r="O71" s="87"/>
      <c r="P71" s="87"/>
      <c r="Q71" s="87"/>
      <c r="AB71" s="99">
        <f t="shared" si="9"/>
        <v>9</v>
      </c>
    </row>
    <row r="72" spans="1:28" x14ac:dyDescent="0.25">
      <c r="A72" s="91">
        <f>IF(B72="","",AB70+1)</f>
        <v>9</v>
      </c>
      <c r="B72" s="100" t="s">
        <v>101</v>
      </c>
      <c r="C72" s="91" t="s">
        <v>38</v>
      </c>
      <c r="D72" s="101">
        <f>SUM(D69:D71)</f>
        <v>116</v>
      </c>
      <c r="E72" s="101">
        <f>SUM(E69:E71)</f>
        <v>2391392176</v>
      </c>
      <c r="F72" s="102">
        <f>SUM(F69:F71)</f>
        <v>141697962.94263074</v>
      </c>
      <c r="G72" s="103">
        <f>IF($E72=0,0,ROUND(F72/$E72*1000,2))</f>
        <v>59.25</v>
      </c>
      <c r="H72" s="102">
        <f>SUM(H69:H71)</f>
        <v>15216898.400152069</v>
      </c>
      <c r="I72" s="102">
        <f>SUM(I69:I71)</f>
        <v>156914861.34278283</v>
      </c>
      <c r="J72" s="103">
        <f>IF($E72=0,0,ROUND(I72/$E72*1000,2))</f>
        <v>65.62</v>
      </c>
      <c r="K72" s="89">
        <f>H72/F72</f>
        <v>0.10738967649318244</v>
      </c>
      <c r="L72" s="98"/>
      <c r="M72" s="98"/>
      <c r="N72" s="98"/>
      <c r="O72" s="98"/>
      <c r="P72" s="98"/>
      <c r="Q72" s="98"/>
      <c r="AB72" s="99">
        <f t="shared" si="9"/>
        <v>10</v>
      </c>
    </row>
    <row r="73" spans="1:28" x14ac:dyDescent="0.25">
      <c r="A73" s="87" t="s">
        <v>38</v>
      </c>
      <c r="B73" s="87" t="s">
        <v>38</v>
      </c>
      <c r="C73" s="87" t="s">
        <v>38</v>
      </c>
      <c r="D73" s="87" t="s">
        <v>38</v>
      </c>
      <c r="E73" s="87" t="s">
        <v>38</v>
      </c>
      <c r="F73" s="87"/>
      <c r="G73" s="87"/>
      <c r="H73" s="87"/>
      <c r="I73" s="87"/>
      <c r="J73" s="87"/>
      <c r="K73" s="87"/>
      <c r="L73" s="98"/>
      <c r="M73" s="98"/>
      <c r="N73" s="98"/>
      <c r="O73" s="98"/>
      <c r="P73" s="98"/>
      <c r="Q73" s="98"/>
      <c r="AB73" s="99">
        <f t="shared" si="9"/>
        <v>11</v>
      </c>
    </row>
    <row r="74" spans="1:28" x14ac:dyDescent="0.25">
      <c r="A74" s="91">
        <f t="shared" ref="A74:A87" si="10">IF(B74="","",AB72+1)</f>
        <v>11</v>
      </c>
      <c r="B74" s="100" t="s">
        <v>102</v>
      </c>
      <c r="C74" s="123" t="s">
        <v>103</v>
      </c>
      <c r="D74" s="101">
        <v>19120</v>
      </c>
      <c r="E74" s="101">
        <v>1897512119</v>
      </c>
      <c r="F74" s="102">
        <v>154754864.50973558</v>
      </c>
      <c r="G74" s="103">
        <v>81.56</v>
      </c>
      <c r="H74" s="102">
        <v>12052294.067367963</v>
      </c>
      <c r="I74" s="102">
        <f>F74+H74</f>
        <v>166807158.57710356</v>
      </c>
      <c r="J74" s="103">
        <f>IF($E74=0,0,ROUND(I74/$E74*1000,2))</f>
        <v>87.91</v>
      </c>
      <c r="K74" s="89">
        <f>H74/F74</f>
        <v>7.7879904489915122E-2</v>
      </c>
      <c r="L74" s="98"/>
      <c r="M74" s="98"/>
      <c r="N74" s="98"/>
      <c r="O74" s="98"/>
      <c r="P74" s="98"/>
      <c r="Q74" s="98"/>
      <c r="AB74" s="99">
        <f t="shared" si="9"/>
        <v>12</v>
      </c>
    </row>
    <row r="75" spans="1:28" x14ac:dyDescent="0.25">
      <c r="A75" s="91">
        <f t="shared" si="10"/>
        <v>12</v>
      </c>
      <c r="B75" s="100" t="s">
        <v>104</v>
      </c>
      <c r="C75" s="123" t="s">
        <v>105</v>
      </c>
      <c r="D75" s="105">
        <v>0</v>
      </c>
      <c r="E75" s="105">
        <v>0</v>
      </c>
      <c r="F75" s="106">
        <v>0</v>
      </c>
      <c r="G75" s="107">
        <v>0</v>
      </c>
      <c r="H75" s="106">
        <v>0</v>
      </c>
      <c r="I75" s="106">
        <f>F75+H75</f>
        <v>0</v>
      </c>
      <c r="J75" s="107">
        <f>IF($E75=0,0,ROUND(I75/$E75*1000,2))</f>
        <v>0</v>
      </c>
      <c r="K75" s="108">
        <f>IF(F75=0,0,H75/F75)</f>
        <v>0</v>
      </c>
      <c r="L75" s="96"/>
      <c r="M75" s="96"/>
      <c r="N75" s="96"/>
      <c r="O75" s="96"/>
      <c r="P75" s="96"/>
      <c r="Q75" s="96"/>
      <c r="AB75" s="99">
        <f t="shared" si="9"/>
        <v>12</v>
      </c>
    </row>
    <row r="76" spans="1:28" x14ac:dyDescent="0.25">
      <c r="A76" s="91">
        <f t="shared" si="10"/>
        <v>13</v>
      </c>
      <c r="B76" s="100" t="s">
        <v>106</v>
      </c>
      <c r="C76" s="91" t="s">
        <v>38</v>
      </c>
      <c r="D76" s="101">
        <f>SUM(D74:D75)</f>
        <v>19120</v>
      </c>
      <c r="E76" s="101">
        <f>SUM(E74:E75)</f>
        <v>1897512119</v>
      </c>
      <c r="F76" s="102">
        <f>SUM(F74:F75)</f>
        <v>154754864.50973558</v>
      </c>
      <c r="G76" s="103">
        <f>IF($E76=0,0,ROUND(F76/$E76*1000,2))</f>
        <v>81.56</v>
      </c>
      <c r="H76" s="102">
        <f>SUM(H74:H75)</f>
        <v>12052294.067367963</v>
      </c>
      <c r="I76" s="102">
        <f>SUM(I74:I75)</f>
        <v>166807158.57710356</v>
      </c>
      <c r="J76" s="103">
        <f>IF($E76=0,0,ROUND(I76/$E76*1000,2))</f>
        <v>87.91</v>
      </c>
      <c r="K76" s="89">
        <f>H76/F76</f>
        <v>7.7879904489915122E-2</v>
      </c>
      <c r="L76" s="96"/>
      <c r="M76" s="96"/>
      <c r="N76" s="96"/>
      <c r="O76" s="96"/>
      <c r="P76" s="96"/>
      <c r="Q76" s="96"/>
      <c r="AB76" s="99">
        <f t="shared" si="9"/>
        <v>12</v>
      </c>
    </row>
    <row r="77" spans="1:28" x14ac:dyDescent="0.25">
      <c r="A77" s="91" t="str">
        <f t="shared" si="10"/>
        <v/>
      </c>
      <c r="B77" s="84"/>
      <c r="C77" s="109"/>
      <c r="D77" s="101"/>
      <c r="E77" s="101"/>
      <c r="F77" s="101"/>
      <c r="G77" s="103"/>
      <c r="H77" s="101"/>
      <c r="I77" s="101"/>
      <c r="J77" s="103"/>
      <c r="K77" s="103"/>
      <c r="L77" s="96"/>
      <c r="M77" s="96"/>
      <c r="N77" s="96"/>
      <c r="O77" s="96"/>
      <c r="P77" s="96"/>
      <c r="Q77" s="96"/>
      <c r="AB77" s="99">
        <f t="shared" si="9"/>
        <v>12</v>
      </c>
    </row>
    <row r="78" spans="1:28" x14ac:dyDescent="0.25">
      <c r="A78" s="121" t="str">
        <f>A46</f>
        <v>(1) June 01, 2022 - May 31, 2023 Forecasted Test Year (Spring 2022 Forecast)</v>
      </c>
      <c r="B78" s="84"/>
      <c r="C78" s="109"/>
      <c r="D78" s="101"/>
      <c r="E78" s="101"/>
      <c r="F78" s="101"/>
      <c r="G78" s="120"/>
      <c r="H78" s="101"/>
      <c r="I78" s="101"/>
      <c r="J78" s="120"/>
      <c r="K78" s="120"/>
      <c r="L78" s="96"/>
      <c r="M78" s="96"/>
      <c r="N78" s="96"/>
      <c r="O78" s="96"/>
      <c r="P78" s="96"/>
      <c r="Q78" s="96"/>
      <c r="AB78" s="99">
        <f t="shared" si="9"/>
        <v>12</v>
      </c>
    </row>
    <row r="79" spans="1:28" x14ac:dyDescent="0.25">
      <c r="A79" s="91" t="str">
        <f t="shared" si="10"/>
        <v/>
      </c>
      <c r="B79" s="84"/>
      <c r="C79" s="109"/>
      <c r="D79" s="101"/>
      <c r="E79" s="101"/>
      <c r="F79" s="101"/>
      <c r="G79" s="120"/>
      <c r="H79" s="101"/>
      <c r="I79" s="101"/>
      <c r="J79" s="120"/>
      <c r="K79" s="120"/>
      <c r="L79" s="96"/>
      <c r="M79" s="96"/>
      <c r="N79" s="96"/>
      <c r="O79" s="96"/>
      <c r="P79" s="96"/>
      <c r="Q79" s="96"/>
      <c r="AB79" s="99">
        <f t="shared" si="9"/>
        <v>12</v>
      </c>
    </row>
    <row r="80" spans="1:28" x14ac:dyDescent="0.25">
      <c r="A80" s="91" t="str">
        <f t="shared" si="10"/>
        <v/>
      </c>
      <c r="B80" s="84"/>
      <c r="C80" s="109"/>
      <c r="D80" s="101"/>
      <c r="E80" s="101"/>
      <c r="F80" s="101"/>
      <c r="G80" s="120"/>
      <c r="H80" s="101"/>
      <c r="I80" s="101"/>
      <c r="J80" s="120"/>
      <c r="K80" s="120"/>
      <c r="L80" s="96"/>
      <c r="M80" s="96"/>
      <c r="N80" s="96"/>
      <c r="O80" s="96"/>
      <c r="P80" s="96"/>
      <c r="Q80" s="96"/>
      <c r="AB80" s="99">
        <f t="shared" si="9"/>
        <v>12</v>
      </c>
    </row>
    <row r="81" spans="1:28" x14ac:dyDescent="0.25">
      <c r="A81" s="91" t="str">
        <f t="shared" si="10"/>
        <v/>
      </c>
      <c r="B81" s="84"/>
      <c r="C81" s="109"/>
      <c r="D81" s="101"/>
      <c r="E81" s="101"/>
      <c r="F81" s="101"/>
      <c r="G81" s="120"/>
      <c r="H81" s="101"/>
      <c r="I81" s="101"/>
      <c r="J81" s="120"/>
      <c r="K81" s="120"/>
      <c r="L81" s="96"/>
      <c r="M81" s="96"/>
      <c r="N81" s="96"/>
      <c r="O81" s="96"/>
      <c r="P81" s="96"/>
      <c r="Q81" s="96"/>
      <c r="AB81" s="99">
        <f t="shared" si="9"/>
        <v>12</v>
      </c>
    </row>
    <row r="82" spans="1:28" x14ac:dyDescent="0.25">
      <c r="A82" s="91" t="str">
        <f t="shared" si="10"/>
        <v/>
      </c>
      <c r="B82" s="84"/>
      <c r="C82" s="109"/>
      <c r="D82" s="101"/>
      <c r="E82" s="101"/>
      <c r="F82" s="101"/>
      <c r="G82" s="120"/>
      <c r="H82" s="101"/>
      <c r="I82" s="101"/>
      <c r="J82" s="120"/>
      <c r="K82" s="120"/>
      <c r="L82" s="96"/>
      <c r="M82" s="96"/>
      <c r="N82" s="96"/>
      <c r="O82" s="96"/>
      <c r="P82" s="96"/>
      <c r="Q82" s="96"/>
      <c r="AB82" s="99">
        <f t="shared" si="9"/>
        <v>12</v>
      </c>
    </row>
    <row r="83" spans="1:28" x14ac:dyDescent="0.25">
      <c r="A83" s="91" t="str">
        <f t="shared" si="10"/>
        <v/>
      </c>
      <c r="B83" s="84"/>
      <c r="C83" s="109"/>
      <c r="D83" s="101"/>
      <c r="E83" s="101"/>
      <c r="F83" s="101"/>
      <c r="G83" s="120"/>
      <c r="H83" s="101"/>
      <c r="I83" s="101"/>
      <c r="J83" s="120"/>
      <c r="K83" s="120"/>
      <c r="L83" s="98"/>
      <c r="M83" s="98"/>
      <c r="N83" s="98"/>
      <c r="O83" s="98"/>
      <c r="P83" s="98"/>
      <c r="Q83" s="98"/>
      <c r="AB83" s="99">
        <f t="shared" si="9"/>
        <v>12</v>
      </c>
    </row>
    <row r="84" spans="1:28" x14ac:dyDescent="0.25">
      <c r="A84" s="91" t="str">
        <f t="shared" si="10"/>
        <v/>
      </c>
      <c r="B84" s="84"/>
      <c r="C84" s="109"/>
      <c r="D84" s="101"/>
      <c r="E84" s="101"/>
      <c r="F84" s="101"/>
      <c r="G84" s="120"/>
      <c r="H84" s="101"/>
      <c r="I84" s="101"/>
      <c r="J84" s="120"/>
      <c r="K84" s="120"/>
      <c r="L84" s="98"/>
      <c r="M84" s="98"/>
      <c r="N84" s="98"/>
      <c r="O84" s="98"/>
      <c r="P84" s="98"/>
      <c r="Q84" s="98"/>
      <c r="AB84" s="99">
        <f t="shared" si="9"/>
        <v>12</v>
      </c>
    </row>
    <row r="85" spans="1:28" x14ac:dyDescent="0.25">
      <c r="A85" s="91" t="str">
        <f t="shared" si="10"/>
        <v/>
      </c>
      <c r="B85" s="83"/>
      <c r="C85" s="109"/>
      <c r="D85" s="110"/>
      <c r="E85" s="110"/>
      <c r="F85" s="110"/>
      <c r="G85" s="86"/>
      <c r="H85" s="110"/>
      <c r="I85" s="110"/>
      <c r="J85" s="86"/>
      <c r="K85" s="86"/>
      <c r="L85" s="98"/>
      <c r="M85" s="98"/>
      <c r="N85" s="98"/>
      <c r="O85" s="98"/>
      <c r="P85" s="98"/>
      <c r="Q85" s="98"/>
      <c r="AB85" s="99">
        <f t="shared" si="9"/>
        <v>12</v>
      </c>
    </row>
    <row r="86" spans="1:28" x14ac:dyDescent="0.25">
      <c r="A86" s="91" t="str">
        <f t="shared" si="10"/>
        <v/>
      </c>
      <c r="B86" s="84"/>
      <c r="C86" s="109"/>
      <c r="D86" s="110"/>
      <c r="E86" s="110"/>
      <c r="F86" s="101"/>
      <c r="G86" s="120"/>
      <c r="H86" s="101"/>
      <c r="I86" s="101"/>
      <c r="J86" s="120"/>
      <c r="K86" s="120"/>
      <c r="L86" s="96"/>
      <c r="M86" s="96"/>
      <c r="N86" s="96"/>
      <c r="O86" s="96"/>
      <c r="P86" s="96"/>
      <c r="Q86" s="96"/>
      <c r="AB86" s="99">
        <f t="shared" si="9"/>
        <v>12</v>
      </c>
    </row>
    <row r="87" spans="1:28" x14ac:dyDescent="0.25">
      <c r="A87" s="91" t="str">
        <f t="shared" si="10"/>
        <v/>
      </c>
      <c r="B87" s="84"/>
      <c r="C87" s="109"/>
      <c r="D87" s="101"/>
      <c r="E87" s="101"/>
      <c r="F87" s="101"/>
      <c r="G87" s="120"/>
      <c r="H87" s="101"/>
      <c r="I87" s="101"/>
      <c r="J87" s="120"/>
      <c r="K87" s="120"/>
      <c r="AB87" s="99">
        <f t="shared" si="9"/>
        <v>12</v>
      </c>
    </row>
    <row r="88" spans="1:28" x14ac:dyDescent="0.25">
      <c r="A88" s="84"/>
      <c r="B88" s="84"/>
      <c r="C88" s="109"/>
      <c r="D88" s="101"/>
      <c r="E88" s="101"/>
      <c r="F88" s="101"/>
      <c r="G88" s="120"/>
      <c r="H88" s="101"/>
      <c r="I88" s="101"/>
      <c r="J88" s="120"/>
      <c r="K88" s="120"/>
      <c r="AB88" s="99">
        <f t="shared" si="9"/>
        <v>12</v>
      </c>
    </row>
    <row r="89" spans="1:28" x14ac:dyDescent="0.25">
      <c r="AB89" s="99">
        <f t="shared" si="9"/>
        <v>12</v>
      </c>
    </row>
  </sheetData>
  <mergeCells count="16">
    <mergeCell ref="A6:K6"/>
    <mergeCell ref="A1:K1"/>
    <mergeCell ref="A2:K2"/>
    <mergeCell ref="A3:K3"/>
    <mergeCell ref="A4:K4"/>
    <mergeCell ref="A5:K5"/>
    <mergeCell ref="A52:K52"/>
    <mergeCell ref="A53:K53"/>
    <mergeCell ref="A54:K54"/>
    <mergeCell ref="A55:K55"/>
    <mergeCell ref="A7:K7"/>
    <mergeCell ref="A8:K8"/>
    <mergeCell ref="A48:K48"/>
    <mergeCell ref="A49:K49"/>
    <mergeCell ref="A50:K50"/>
    <mergeCell ref="A51:K51"/>
  </mergeCells>
  <conditionalFormatting sqref="A64:A72 A83:A87 A17:A32 A34:A40 A74:A77 A80:A81">
    <cfRule type="expression" dxfId="53" priority="6">
      <formula>IF(A17=A16,1,0)</formula>
    </cfRule>
  </conditionalFormatting>
  <conditionalFormatting sqref="A76:A87">
    <cfRule type="expression" dxfId="52" priority="5">
      <formula>IF(A76=#REF!,1,0)</formula>
    </cfRule>
  </conditionalFormatting>
  <conditionalFormatting sqref="A38">
    <cfRule type="expression" dxfId="51" priority="4">
      <formula>IF(A38=#REF!,1,0)</formula>
    </cfRule>
  </conditionalFormatting>
  <conditionalFormatting sqref="A38">
    <cfRule type="expression" dxfId="50" priority="7">
      <formula>IF(A38=#REF!,1,0)</formula>
    </cfRule>
  </conditionalFormatting>
  <conditionalFormatting sqref="A39">
    <cfRule type="expression" dxfId="49" priority="8">
      <formula>IF(A39=#REF!,1,0)</formula>
    </cfRule>
  </conditionalFormatting>
  <conditionalFormatting sqref="L35 A35">
    <cfRule type="expression" dxfId="48" priority="3">
      <formula>IF(A35=A34,1,0)</formula>
    </cfRule>
  </conditionalFormatting>
  <conditionalFormatting sqref="N35:Q35">
    <cfRule type="expression" dxfId="47" priority="2">
      <formula>IF(N35=N34,1,0)</formula>
    </cfRule>
  </conditionalFormatting>
  <conditionalFormatting sqref="A33">
    <cfRule type="expression" dxfId="46" priority="1">
      <formula>IF(A33=A32,1,0)</formula>
    </cfRule>
  </conditionalFormatting>
  <conditionalFormatting sqref="A79">
    <cfRule type="expression" dxfId="45" priority="22">
      <formula>IF(A79=#REF!,1,0)</formula>
    </cfRule>
  </conditionalFormatting>
  <pageMargins left="0.7" right="0.7" top="0.75" bottom="0.75" header="0.3" footer="0.3"/>
  <pageSetup scale="70" fitToHeight="2" orientation="landscape" verticalDpi="200" r:id="rId1"/>
  <headerFooter scaleWithDoc="0">
    <oddHeader>&amp;L&amp;"-,Bold"Appendix 8.3
&amp;"-,Regular"2022 PCA Revenue Impact with ECRs</oddHeader>
    <oddFooter>&amp;L&amp;A&amp;RPage &amp;P of &amp;N</oddFooter>
  </headerFooter>
  <rowBreaks count="1" manualBreakCount="1">
    <brk id="4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  <SharedWithUsers xmlns="530c9a66-7473-4e82-81fb-9d30d5919279">
      <UserInfo>
        <DisplayName>Thompson, Zack</DisplayName>
        <AccountId>122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4948E-5E47-4FDD-8524-E727C9077BF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30c9a66-7473-4e82-81fb-9d30d5919279"/>
    <ds:schemaRef ds:uri="85247408-4876-4c58-8512-699e0b1fe3a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E7CB69-9191-45C1-8F76-69A7D6C4F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EA6DD-6DF8-4072-81B4-B3103B891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Summary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PCA-Original </vt:lpstr>
      <vt:lpstr>PCA-Hourly Flat IRP</vt:lpstr>
      <vt:lpstr>PCA-Hourly Flat ICE</vt:lpstr>
      <vt:lpstr>PCA-Hourly Flat ELAP</vt:lpstr>
      <vt:lpstr>PCA-Real Time Flat IRP</vt:lpstr>
      <vt:lpstr>PCA-Real Time Flat ICE</vt:lpstr>
      <vt:lpstr>PCA-Real Time Flat ELAP</vt:lpstr>
      <vt:lpstr>PCA-Hourly TV IRP</vt:lpstr>
      <vt:lpstr>PCA-Hourly TV ICE</vt:lpstr>
      <vt:lpstr>PCA-Hourly TV ELAP</vt:lpstr>
      <vt:lpstr>PCA-Real Time TV IRP</vt:lpstr>
      <vt:lpstr>PCA-Real Time TV ICE</vt:lpstr>
      <vt:lpstr>PCA-Real Time TV ELAP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2022-06-30T19:18:22Z</cp:lastPrinted>
  <dcterms:created xsi:type="dcterms:W3CDTF">2022-05-24T19:41:43Z</dcterms:created>
  <dcterms:modified xsi:type="dcterms:W3CDTF">2022-06-30T19:18:26Z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2022-06-27T18:23:11Z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a100e97d-1492-4df6-b7ea-df004cb8bf81</vt:lpwstr>
  </property>
  <property fmtid="{D5CDD505-2E9C-101B-9397-08002B2CF9AE}" pid="10" name="MSIP_Label_b4b49261-55b4-4c61-a7f3-ea1fabfcd5b2_ContentBits">
    <vt:lpwstr>0</vt:lpwstr>
  </property>
</Properties>
</file>