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I:\Employees\Anderson\03_CustomerGen\01_Filings\IPC-E-22-22_VODERStudyReview\FTP_Upload\October 2022\Website\"/>
    </mc:Choice>
  </mc:AlternateContent>
  <xr:revisionPtr revIDLastSave="0" documentId="13_ncr:1_{7D799E06-FAD3-4182-9121-1C1EA3CC43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ptions" sheetId="8" r:id="rId1"/>
    <sheet name="ECR - Flat" sheetId="2" r:id="rId2"/>
    <sheet name="ECR - Time Variant" sheetId="1" r:id="rId3"/>
    <sheet name="Check" sheetId="9" r:id="rId4"/>
    <sheet name="Avoided Energy" sheetId="3" r:id="rId5"/>
    <sheet name="Generation Capacity" sheetId="5" r:id="rId6"/>
    <sheet name="T&amp;D Capacity" sheetId="6" r:id="rId7"/>
    <sheet name="Losses and Integration" sheetId="7" r:id="rId8"/>
  </sheets>
  <definedNames>
    <definedName name="AvoidEnergy">Options!$C$7</definedName>
    <definedName name="AvoidGenCap">Options!$C$8</definedName>
    <definedName name="AvoidGenCapMethod">Options!$E$8</definedName>
    <definedName name="AvoidLineLoss">Options!$C$10</definedName>
    <definedName name="IntegCost">Options!$C$11</definedName>
    <definedName name="_xlnm.Print_Area" localSheetId="4">'Avoided Energy'!$A$1:$H$32</definedName>
    <definedName name="_xlnm.Print_Area" localSheetId="3">Check!$A$1:$F$47</definedName>
    <definedName name="_xlnm.Print_Area" localSheetId="1">'ECR - Flat'!$A$1:$K$41</definedName>
    <definedName name="_xlnm.Print_Area" localSheetId="2">'ECR - Time Variant'!$A$1:$P$70</definedName>
    <definedName name="_xlnm.Print_Area" localSheetId="5">'Generation Capacity'!$A$1:$H$23</definedName>
    <definedName name="_xlnm.Print_Area" localSheetId="7">'Losses and Integration'!$A$1:$H$11</definedName>
    <definedName name="_xlnm.Print_Area" localSheetId="6">'T&amp;D Capacity'!$A$1:$H$19</definedName>
    <definedName name="_xlnm.Print_Titles" localSheetId="3">Check!$1:$5</definedName>
    <definedName name="_xlnm.Print_Titles" localSheetId="1">'ECR - Flat'!$1:$3</definedName>
    <definedName name="_xlnm.Print_Titles" localSheetId="2">'ECR - Time Variant'!$1:$3</definedName>
    <definedName name="TDdef">Options!$C$9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  <c r="E10" i="6"/>
  <c r="D9" i="6"/>
  <c r="E9" i="6"/>
  <c r="A2" i="7" l="1"/>
  <c r="A1" i="7"/>
  <c r="A2" i="6"/>
  <c r="A1" i="6"/>
  <c r="A2" i="5"/>
  <c r="A1" i="5"/>
  <c r="A2" i="3"/>
  <c r="A1" i="3"/>
  <c r="A2" i="9"/>
  <c r="A1" i="9"/>
  <c r="A2" i="1"/>
  <c r="A1" i="1"/>
  <c r="A1" i="2"/>
  <c r="A2" i="2"/>
  <c r="C14" i="9" l="1"/>
  <c r="C25" i="9" s="1"/>
  <c r="D14" i="9"/>
  <c r="D25" i="9" s="1"/>
  <c r="E14" i="9"/>
  <c r="E25" i="9" s="1"/>
  <c r="C10" i="9"/>
  <c r="B8" i="9"/>
  <c r="C8" i="9"/>
  <c r="B9" i="9"/>
  <c r="C9" i="9"/>
  <c r="B58" i="1"/>
  <c r="B49" i="1"/>
  <c r="B24" i="1"/>
  <c r="B15" i="1"/>
  <c r="B33" i="2"/>
  <c r="B14" i="2"/>
  <c r="E53" i="1"/>
  <c r="D53" i="1"/>
  <c r="C53" i="1"/>
  <c r="E62" i="1"/>
  <c r="D62" i="1"/>
  <c r="C62" i="1"/>
  <c r="E28" i="1"/>
  <c r="D28" i="1"/>
  <c r="C28" i="1"/>
  <c r="E19" i="1"/>
  <c r="D19" i="1"/>
  <c r="C19" i="1"/>
  <c r="E37" i="2"/>
  <c r="D37" i="2"/>
  <c r="C37" i="2"/>
  <c r="E18" i="2"/>
  <c r="D18" i="2"/>
  <c r="C18" i="2"/>
  <c r="D14" i="6" l="1"/>
  <c r="E13" i="6"/>
  <c r="E12" i="6"/>
  <c r="E11" i="6" l="1"/>
  <c r="E14" i="6" s="1"/>
  <c r="E18" i="6" l="1"/>
  <c r="D18" i="6"/>
  <c r="E17" i="6"/>
  <c r="D17" i="6"/>
  <c r="E8" i="9"/>
  <c r="E20" i="9" l="1"/>
  <c r="D20" i="9"/>
  <c r="C20" i="9"/>
  <c r="E25" i="1"/>
  <c r="C25" i="1"/>
  <c r="D25" i="1"/>
  <c r="C59" i="1"/>
  <c r="E59" i="1"/>
  <c r="D59" i="1"/>
  <c r="D15" i="2"/>
  <c r="C15" i="2"/>
  <c r="E15" i="2"/>
  <c r="C34" i="2"/>
  <c r="E34" i="2"/>
  <c r="D34" i="2"/>
  <c r="E9" i="9"/>
  <c r="E10" i="9" s="1"/>
  <c r="D9" i="9"/>
  <c r="C37" i="9" l="1"/>
  <c r="D37" i="9"/>
  <c r="E37" i="9"/>
  <c r="C31" i="9"/>
  <c r="D31" i="9"/>
  <c r="E31" i="9"/>
  <c r="C41" i="9"/>
  <c r="C42" i="9" s="1"/>
  <c r="D41" i="9"/>
  <c r="D42" i="9" s="1"/>
  <c r="E41" i="9"/>
  <c r="E42" i="9" s="1"/>
  <c r="D21" i="5"/>
  <c r="D22" i="5"/>
  <c r="E12" i="5"/>
  <c r="D19" i="5" l="1"/>
  <c r="E14" i="2" s="1"/>
  <c r="D8" i="9"/>
  <c r="E24" i="1"/>
  <c r="D24" i="1"/>
  <c r="C24" i="1"/>
  <c r="D14" i="2"/>
  <c r="C14" i="2"/>
  <c r="D20" i="5"/>
  <c r="E9" i="5"/>
  <c r="E20" i="5" s="1"/>
  <c r="E16" i="9" l="1"/>
  <c r="D10" i="9"/>
  <c r="C16" i="9"/>
  <c r="D16" i="9"/>
  <c r="E21" i="5"/>
  <c r="E19" i="5"/>
  <c r="E22" i="5"/>
  <c r="E31" i="3"/>
  <c r="E48" i="1" s="1"/>
  <c r="E51" i="1" s="1"/>
  <c r="E28" i="3"/>
  <c r="E57" i="1" s="1"/>
  <c r="E60" i="1" s="1"/>
  <c r="E30" i="3"/>
  <c r="D48" i="1" s="1"/>
  <c r="D51" i="1" s="1"/>
  <c r="E27" i="3"/>
  <c r="D57" i="1" s="1"/>
  <c r="D60" i="1" s="1"/>
  <c r="E29" i="3"/>
  <c r="C48" i="1" s="1"/>
  <c r="C51" i="1" s="1"/>
  <c r="E26" i="3"/>
  <c r="C57" i="1" s="1"/>
  <c r="C60" i="1" s="1"/>
  <c r="D31" i="3"/>
  <c r="E14" i="1" s="1"/>
  <c r="E17" i="1" s="1"/>
  <c r="D28" i="3"/>
  <c r="E23" i="1" s="1"/>
  <c r="E26" i="1" s="1"/>
  <c r="D30" i="3"/>
  <c r="D14" i="1" s="1"/>
  <c r="D17" i="1" s="1"/>
  <c r="D27" i="3"/>
  <c r="D23" i="1" s="1"/>
  <c r="D26" i="1" s="1"/>
  <c r="D29" i="3"/>
  <c r="C14" i="1" s="1"/>
  <c r="C17" i="1" s="1"/>
  <c r="D26" i="3"/>
  <c r="C23" i="1" s="1"/>
  <c r="C26" i="1" s="1"/>
  <c r="D27" i="9" l="1"/>
  <c r="C27" i="9"/>
  <c r="E27" i="9"/>
  <c r="D58" i="1"/>
  <c r="D63" i="1" s="1"/>
  <c r="C58" i="1"/>
  <c r="C63" i="1" s="1"/>
  <c r="E58" i="1"/>
  <c r="E33" i="2"/>
  <c r="D33" i="2"/>
  <c r="C33" i="2"/>
  <c r="E20" i="1"/>
  <c r="E26" i="9" s="1"/>
  <c r="E29" i="1"/>
  <c r="E30" i="9" s="1"/>
  <c r="E32" i="9" s="1"/>
  <c r="E54" i="1"/>
  <c r="E36" i="9" s="1"/>
  <c r="E38" i="9" s="1"/>
  <c r="E44" i="9" s="1"/>
  <c r="C54" i="1"/>
  <c r="C36" i="9" s="1"/>
  <c r="C38" i="9" s="1"/>
  <c r="C44" i="9" s="1"/>
  <c r="D29" i="1"/>
  <c r="D30" i="9" s="1"/>
  <c r="D32" i="9" s="1"/>
  <c r="C29" i="1"/>
  <c r="C30" i="9" s="1"/>
  <c r="C32" i="9" s="1"/>
  <c r="D20" i="1"/>
  <c r="D26" i="9" s="1"/>
  <c r="C20" i="1"/>
  <c r="C26" i="9" s="1"/>
  <c r="D54" i="1"/>
  <c r="D36" i="9" s="1"/>
  <c r="D38" i="9" s="1"/>
  <c r="D44" i="9" s="1"/>
  <c r="E24" i="3"/>
  <c r="E32" i="2" s="1"/>
  <c r="E35" i="2" s="1"/>
  <c r="E23" i="3"/>
  <c r="D32" i="2" s="1"/>
  <c r="D35" i="2" s="1"/>
  <c r="E22" i="3"/>
  <c r="C32" i="2" s="1"/>
  <c r="C35" i="2" s="1"/>
  <c r="D24" i="3"/>
  <c r="E13" i="2" s="1"/>
  <c r="E16" i="2" s="1"/>
  <c r="D23" i="3"/>
  <c r="D13" i="2" s="1"/>
  <c r="D16" i="2" s="1"/>
  <c r="D22" i="3"/>
  <c r="C13" i="2" s="1"/>
  <c r="C16" i="2" s="1"/>
  <c r="E28" i="9" l="1"/>
  <c r="E34" i="9" s="1"/>
  <c r="C28" i="9"/>
  <c r="C34" i="9" s="1"/>
  <c r="D28" i="9"/>
  <c r="D34" i="9" s="1"/>
  <c r="E63" i="1"/>
  <c r="D19" i="2"/>
  <c r="D15" i="9" s="1"/>
  <c r="D17" i="9" s="1"/>
  <c r="C19" i="2"/>
  <c r="C15" i="9" s="1"/>
  <c r="C17" i="9" s="1"/>
  <c r="E19" i="2"/>
  <c r="E15" i="9" s="1"/>
  <c r="E17" i="9" s="1"/>
  <c r="C38" i="2"/>
  <c r="C19" i="9" s="1"/>
  <c r="C21" i="9" s="1"/>
  <c r="C47" i="9" s="1"/>
  <c r="D38" i="2"/>
  <c r="D19" i="9" s="1"/>
  <c r="D21" i="9" s="1"/>
  <c r="D47" i="9" s="1"/>
  <c r="E38" i="2"/>
  <c r="E19" i="9" s="1"/>
  <c r="E21" i="9" s="1"/>
  <c r="E47" i="9" s="1"/>
  <c r="E46" i="9" l="1"/>
  <c r="C46" i="9"/>
  <c r="D46" i="9"/>
</calcChain>
</file>

<file path=xl/sharedStrings.xml><?xml version="1.0" encoding="utf-8"?>
<sst xmlns="http://schemas.openxmlformats.org/spreadsheetml/2006/main" count="279" uniqueCount="124">
  <si>
    <t>Export Credit Rate Summary</t>
  </si>
  <si>
    <t>Net Hourly Export Credit Rate</t>
  </si>
  <si>
    <t>2019-2021</t>
  </si>
  <si>
    <t>$/MWh</t>
  </si>
  <si>
    <t>Idaho Power</t>
  </si>
  <si>
    <t>Average</t>
  </si>
  <si>
    <t>IRP</t>
  </si>
  <si>
    <t>ICE-Mid-C</t>
  </si>
  <si>
    <t>ELAP</t>
  </si>
  <si>
    <t>Avoided Energy</t>
  </si>
  <si>
    <t>Plus: T&amp;D Deferral</t>
  </si>
  <si>
    <t>Plus: Avoided Line Loss</t>
  </si>
  <si>
    <t>Less: Integration Costs</t>
  </si>
  <si>
    <t>Flat ECR</t>
  </si>
  <si>
    <t>Real-Time Export Credit Rate</t>
  </si>
  <si>
    <t>Off-Peak</t>
  </si>
  <si>
    <t>Off-Peak ECR</t>
  </si>
  <si>
    <t>Summer On-Peak (Demand Response Hours: 3-11pm, M-Sat)</t>
  </si>
  <si>
    <t>On-Peak ECR</t>
  </si>
  <si>
    <t>Inputs &amp; Calculations</t>
  </si>
  <si>
    <t>Energy Value</t>
  </si>
  <si>
    <t>ECR Design</t>
  </si>
  <si>
    <t>Net-Hourly</t>
  </si>
  <si>
    <t>Real-Time</t>
  </si>
  <si>
    <t>Notes</t>
  </si>
  <si>
    <t>Idaho Power IRP</t>
  </si>
  <si>
    <t>Flat</t>
  </si>
  <si>
    <t>ICE Mid-C</t>
  </si>
  <si>
    <t>Idaho Power IRP On-Peak</t>
  </si>
  <si>
    <t>Time Variant</t>
  </si>
  <si>
    <t>Idaho Power IRP Off-Peak</t>
  </si>
  <si>
    <t>ICE Mid-C On-Peak</t>
  </si>
  <si>
    <t>ICE Mid-C Off-Peak</t>
  </si>
  <si>
    <t>ELAP On-Peak</t>
  </si>
  <si>
    <t>ELAP Off-Peak</t>
  </si>
  <si>
    <t>Non-Firm Adjustment</t>
  </si>
  <si>
    <t>Avoided Generation Capacity</t>
  </si>
  <si>
    <t>Inputs</t>
  </si>
  <si>
    <t>Unit</t>
  </si>
  <si>
    <t>Marginal Capacity Resource</t>
  </si>
  <si>
    <t>$/kW-year</t>
  </si>
  <si>
    <t>Total Exports</t>
  </si>
  <si>
    <t>MWh</t>
  </si>
  <si>
    <t>On-Peak Exports</t>
  </si>
  <si>
    <t>Total Nameplate On-Site Gen</t>
  </si>
  <si>
    <t>MW</t>
  </si>
  <si>
    <t>ELCC - All Exports</t>
  </si>
  <si>
    <t>%</t>
  </si>
  <si>
    <t>ELCC - On-Peak Exports</t>
  </si>
  <si>
    <t>NREL - All Exports</t>
  </si>
  <si>
    <t>NREL - On-Peak Exports</t>
  </si>
  <si>
    <t>Avoided Generation Value</t>
  </si>
  <si>
    <t>Flat ECR (ELCC)</t>
  </si>
  <si>
    <t>(Capacity Contribution x Nameplate Capacity x Marginal Resource)/Total Exports</t>
  </si>
  <si>
    <t>Time Variant ECR (ELCC)</t>
  </si>
  <si>
    <t>(Capacity Contribution x Nameplate Capacity x Marginal Resource)/On-Peak Exports</t>
  </si>
  <si>
    <t>Flat ECR (NREL)</t>
  </si>
  <si>
    <t>Time Variant ECR (NREL)</t>
  </si>
  <si>
    <t>Avoided Transmission &amp; Distribution Capacity</t>
  </si>
  <si>
    <t>Distribution Savings</t>
  </si>
  <si>
    <t>$</t>
  </si>
  <si>
    <t>Transmission Savings</t>
  </si>
  <si>
    <t>Project Window</t>
  </si>
  <si>
    <t>Years</t>
  </si>
  <si>
    <t>Annual Savings</t>
  </si>
  <si>
    <t>$/Year</t>
  </si>
  <si>
    <t>Avoided T&amp;D Value</t>
  </si>
  <si>
    <t>Total annual T&amp;D savings/Total Exports</t>
  </si>
  <si>
    <t>Time Variant ECR</t>
  </si>
  <si>
    <t>Total annual T&amp;D savings/On-Peak Exports</t>
  </si>
  <si>
    <t>Avoided Line Losses &amp; Integration Costs</t>
  </si>
  <si>
    <t>Value</t>
  </si>
  <si>
    <t>Summer Peak Losses</t>
  </si>
  <si>
    <t>Per Idaho Power line loss study</t>
  </si>
  <si>
    <t>Integration Costs</t>
  </si>
  <si>
    <t>Options for ECR</t>
  </si>
  <si>
    <t>ECR Component</t>
  </si>
  <si>
    <t>ELCC</t>
  </si>
  <si>
    <t>Method</t>
  </si>
  <si>
    <t>On</t>
  </si>
  <si>
    <t>T&amp;D Deferral</t>
  </si>
  <si>
    <t>Avoided Line Losses</t>
  </si>
  <si>
    <t>On/Off</t>
  </si>
  <si>
    <t>Off-Peak Exports</t>
  </si>
  <si>
    <t>Flat ECR (Net Hourly vs. Real-Time)</t>
  </si>
  <si>
    <t>Net Hourly ECR</t>
  </si>
  <si>
    <t>(x) Total Net Hourly Exports</t>
  </si>
  <si>
    <t>Real-Time ECR</t>
  </si>
  <si>
    <t>(x) Total Real-Time Exports</t>
  </si>
  <si>
    <t>Time Variant ECR (Net Hourly vs. Real-Time)</t>
  </si>
  <si>
    <t>Net Hourly Off-Peak ECR</t>
  </si>
  <si>
    <t>(x) Off-Peak Net Hourly Exports</t>
  </si>
  <si>
    <t>Net Hourly Total Revenue</t>
  </si>
  <si>
    <t>Real-Time Total Revenue</t>
  </si>
  <si>
    <t>Net Hourly On-Peak ECR</t>
  </si>
  <si>
    <t>(x) On-Peak Net Hourly Exports</t>
  </si>
  <si>
    <t>Off-Peak Net Hourly Revenue</t>
  </si>
  <si>
    <t>Real-Time Off-Peak ECR</t>
  </si>
  <si>
    <t>(x) Off-Peak Real-Time Exports</t>
  </si>
  <si>
    <t>Real-Time On-Peak ECR</t>
  </si>
  <si>
    <t>(x) On-Peak Real-Time Exports</t>
  </si>
  <si>
    <t>On-Peak Real-Time Revenue</t>
  </si>
  <si>
    <t>On-Peak Net Hourly Revenue</t>
  </si>
  <si>
    <t>Net Hourly Check</t>
  </si>
  <si>
    <t>Real-Time Check</t>
  </si>
  <si>
    <t>Check</t>
  </si>
  <si>
    <t>Flat &amp; Time Variant ECR</t>
  </si>
  <si>
    <t>Flat Export Credit Rate</t>
  </si>
  <si>
    <t>Time Variant Export Credit Rate</t>
  </si>
  <si>
    <t>Note: Non-firm adjustment applied to the avoided energy value for Column 1 (IRP) and Column 2 (ICE Mid-C).</t>
  </si>
  <si>
    <t>Appendix 4.6 for flat weighted average energy prices</t>
  </si>
  <si>
    <t>Appendix 4.6 for total exports</t>
  </si>
  <si>
    <t>Appendix 4.7 for time variant weighted average energy prices</t>
  </si>
  <si>
    <t>Appendix 4.7 for total on-peak exports</t>
  </si>
  <si>
    <t>Appendix 4.15, Table ES1 (Table 4.10 in study report)</t>
  </si>
  <si>
    <t>Note: All set to "On" and "ELCC" for default ECR values.</t>
  </si>
  <si>
    <t>Plus: Avoided Environmental Costs</t>
  </si>
  <si>
    <t>Appendix 4.18</t>
  </si>
  <si>
    <t>Appendix 4.4 and 4.5 for total exports</t>
  </si>
  <si>
    <t>Appendix 4.14 for 2021 levelized fixed cost of single cycle combustion turbine</t>
  </si>
  <si>
    <t>Appendix 4.14 for total nameplate capacity</t>
  </si>
  <si>
    <t>Appendix 4.14 for ELCC and NREL capacity contribution values</t>
  </si>
  <si>
    <t>Appendix 4.15 for transmission and distribution capacity savings</t>
  </si>
  <si>
    <t>Appendix 4.15 for transmission and distribution project window evaluated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</si>
</sst>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8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1" tint="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37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/>
    </xf>
    <xf numFmtId="164" fontId="7" fillId="5" borderId="5" xfId="1" applyNumberFormat="1" applyFont="1" applyFill="1" applyBorder="1"/>
    <xf numFmtId="0" fontId="8" fillId="6" borderId="0" xfId="0" applyFont="1" applyFill="1"/>
    <xf numFmtId="0" fontId="8" fillId="6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44" fontId="9" fillId="7" borderId="5" xfId="0" applyNumberFormat="1" applyFont="1" applyFill="1" applyBorder="1"/>
    <xf numFmtId="44" fontId="7" fillId="5" borderId="5" xfId="0" applyNumberFormat="1" applyFont="1" applyFill="1" applyBorder="1"/>
    <xf numFmtId="10" fontId="7" fillId="5" borderId="5" xfId="1" applyNumberFormat="1" applyFont="1" applyFill="1" applyBorder="1"/>
    <xf numFmtId="43" fontId="9" fillId="7" borderId="5" xfId="0" applyNumberFormat="1" applyFont="1" applyFill="1" applyBorder="1"/>
    <xf numFmtId="42" fontId="9" fillId="7" borderId="5" xfId="0" applyNumberFormat="1" applyFont="1" applyFill="1" applyBorder="1"/>
    <xf numFmtId="41" fontId="9" fillId="7" borderId="5" xfId="0" applyNumberFormat="1" applyFont="1" applyFill="1" applyBorder="1"/>
    <xf numFmtId="0" fontId="10" fillId="0" borderId="3" xfId="0" applyFont="1" applyBorder="1"/>
    <xf numFmtId="44" fontId="10" fillId="0" borderId="3" xfId="0" applyNumberFormat="1" applyFont="1" applyBorder="1"/>
    <xf numFmtId="0" fontId="10" fillId="0" borderId="0" xfId="0" applyFont="1"/>
    <xf numFmtId="43" fontId="10" fillId="0" borderId="0" xfId="0" applyNumberFormat="1" applyFont="1"/>
    <xf numFmtId="0" fontId="10" fillId="0" borderId="4" xfId="0" applyFont="1" applyBorder="1"/>
    <xf numFmtId="43" fontId="10" fillId="0" borderId="4" xfId="0" applyNumberFormat="1" applyFont="1" applyBorder="1"/>
    <xf numFmtId="0" fontId="11" fillId="4" borderId="0" xfId="0" applyFont="1" applyFill="1" applyAlignment="1">
      <alignment horizontal="left" indent="1"/>
    </xf>
    <xf numFmtId="44" fontId="11" fillId="4" borderId="0" xfId="0" applyNumberFormat="1" applyFont="1" applyFill="1"/>
    <xf numFmtId="0" fontId="12" fillId="0" borderId="0" xfId="0" applyFont="1" applyAlignment="1">
      <alignment horizontal="center"/>
    </xf>
    <xf numFmtId="0" fontId="11" fillId="0" borderId="0" xfId="0" applyFont="1"/>
    <xf numFmtId="0" fontId="4" fillId="6" borderId="0" xfId="0" applyFont="1" applyFill="1" applyAlignment="1">
      <alignment vertical="center"/>
    </xf>
    <xf numFmtId="44" fontId="0" fillId="0" borderId="0" xfId="0" applyNumberFormat="1"/>
    <xf numFmtId="0" fontId="13" fillId="5" borderId="5" xfId="0" applyFont="1" applyFill="1" applyBorder="1" applyAlignment="1">
      <alignment horizontal="center"/>
    </xf>
    <xf numFmtId="43" fontId="14" fillId="7" borderId="5" xfId="0" applyNumberFormat="1" applyFont="1" applyFill="1" applyBorder="1"/>
    <xf numFmtId="0" fontId="3" fillId="6" borderId="0" xfId="0" applyFont="1" applyFill="1"/>
    <xf numFmtId="0" fontId="4" fillId="6" borderId="0" xfId="0" applyFont="1" applyFill="1"/>
    <xf numFmtId="0" fontId="5" fillId="0" borderId="0" xfId="0" applyFont="1" applyAlignment="1">
      <alignment horizontal="left" indent="1"/>
    </xf>
    <xf numFmtId="44" fontId="14" fillId="0" borderId="0" xfId="0" applyNumberFormat="1" applyFont="1"/>
    <xf numFmtId="43" fontId="15" fillId="0" borderId="0" xfId="0" applyNumberFormat="1" applyFont="1"/>
    <xf numFmtId="42" fontId="5" fillId="0" borderId="0" xfId="0" applyNumberFormat="1" applyFont="1"/>
    <xf numFmtId="0" fontId="5" fillId="5" borderId="6" xfId="0" applyFont="1" applyFill="1" applyBorder="1" applyAlignment="1">
      <alignment horizontal="left" indent="1"/>
    </xf>
    <xf numFmtId="42" fontId="5" fillId="5" borderId="7" xfId="0" applyNumberFormat="1" applyFont="1" applyFill="1" applyBorder="1"/>
    <xf numFmtId="42" fontId="5" fillId="5" borderId="8" xfId="0" applyNumberFormat="1" applyFont="1" applyFill="1" applyBorder="1"/>
    <xf numFmtId="0" fontId="5" fillId="8" borderId="6" xfId="0" applyFont="1" applyFill="1" applyBorder="1" applyAlignment="1">
      <alignment horizontal="left" indent="1"/>
    </xf>
    <xf numFmtId="42" fontId="5" fillId="8" borderId="7" xfId="0" applyNumberFormat="1" applyFont="1" applyFill="1" applyBorder="1"/>
    <xf numFmtId="42" fontId="5" fillId="8" borderId="8" xfId="0" applyNumberFormat="1" applyFont="1" applyFill="1" applyBorder="1"/>
    <xf numFmtId="0" fontId="16" fillId="0" borderId="9" xfId="0" applyFont="1" applyBorder="1"/>
    <xf numFmtId="41" fontId="0" fillId="0" borderId="10" xfId="0" applyNumberFormat="1" applyBorder="1"/>
    <xf numFmtId="41" fontId="0" fillId="0" borderId="11" xfId="0" applyNumberFormat="1" applyBorder="1"/>
    <xf numFmtId="0" fontId="16" fillId="0" borderId="12" xfId="0" applyFont="1" applyBorder="1"/>
    <xf numFmtId="41" fontId="0" fillId="0" borderId="13" xfId="0" applyNumberFormat="1" applyBorder="1"/>
    <xf numFmtId="41" fontId="0" fillId="0" borderId="14" xfId="0" applyNumberFormat="1" applyBorder="1"/>
    <xf numFmtId="0" fontId="17" fillId="0" borderId="0" xfId="0" applyFont="1"/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right" vertical="center"/>
    </xf>
    <xf numFmtId="0" fontId="16" fillId="0" borderId="0" xfId="0" applyFont="1"/>
    <xf numFmtId="43" fontId="7" fillId="5" borderId="5" xfId="0" applyNumberFormat="1" applyFont="1" applyFill="1" applyBorder="1"/>
    <xf numFmtId="43" fontId="14" fillId="5" borderId="5" xfId="0" applyNumberFormat="1" applyFont="1" applyFill="1" applyBorder="1"/>
    <xf numFmtId="42" fontId="7" fillId="5" borderId="5" xfId="0" applyNumberFormat="1" applyFont="1" applyFill="1" applyBorder="1"/>
    <xf numFmtId="41" fontId="7" fillId="5" borderId="5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96645702306078E-2"/>
          <c:y val="5.9620596205962058E-2"/>
          <c:w val="0.88881146932105182"/>
          <c:h val="0.6574034952947954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Flat'!$C$13:$E$13</c:f>
              <c:numCache>
                <c:formatCode>_("$"* #,##0.00_);_("$"* \(#,##0.00\);_("$"* "-"??_);_(@_)</c:formatCode>
                <c:ptCount val="3"/>
                <c:pt idx="0">
                  <c:v>18.65117977852924</c:v>
                </c:pt>
                <c:pt idx="1">
                  <c:v>30.256936236910974</c:v>
                </c:pt>
                <c:pt idx="2">
                  <c:v>25.795800930772188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B-45FE-9D79-7C78198935B6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Flat'!$C$14:$E$14</c:f>
              <c:numCache>
                <c:formatCode>_(* #,##0.00_);_(* \(#,##0.00\);_(* "-"??_);_(@_)</c:formatCode>
                <c:ptCount val="3"/>
                <c:pt idx="0">
                  <c:v>5.6288071315819366</c:v>
                </c:pt>
                <c:pt idx="1">
                  <c:v>5.6288071315819366</c:v>
                </c:pt>
                <c:pt idx="2">
                  <c:v>5.6288071315819366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B-45FE-9D79-7C78198935B6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Flat'!$C$15:$E$15</c:f>
              <c:numCache>
                <c:formatCode>_(* #,##0.00_);_(* \(#,##0.00\);_(* "-"??_);_(@_)</c:formatCode>
                <c:ptCount val="3"/>
                <c:pt idx="0">
                  <c:v>0.30718533767989697</c:v>
                </c:pt>
                <c:pt idx="1">
                  <c:v>0.30718533767989697</c:v>
                </c:pt>
                <c:pt idx="2">
                  <c:v>0.30718533767989697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B-45FE-9D79-7C78198935B6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Flat'!$C$16:$E$16</c:f>
              <c:numCache>
                <c:formatCode>_(* #,##0.00_);_(* \(#,##0.00\);_(* "-"??_);_(@_)</c:formatCode>
                <c:ptCount val="3"/>
                <c:pt idx="0">
                  <c:v>1.0817684271546959</c:v>
                </c:pt>
                <c:pt idx="1">
                  <c:v>1.7549023017408365</c:v>
                </c:pt>
                <c:pt idx="2">
                  <c:v>1.4961564539847869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B-45FE-9D79-7C78198935B6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Flat'!$C$18:$E$18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5B-45FE-9D79-7C781989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1680216802168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5B-45FE-9D79-7C78198935B6}"/>
                </c:ext>
              </c:extLst>
            </c:dLbl>
            <c:dLbl>
              <c:idx val="1"/>
              <c:layout>
                <c:manualLayout>
                  <c:x val="0"/>
                  <c:y val="-1.6260162601626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5B-45FE-9D79-7C78198935B6}"/>
                </c:ext>
              </c:extLst>
            </c:dLbl>
            <c:dLbl>
              <c:idx val="2"/>
              <c:layout>
                <c:manualLayout>
                  <c:x val="0"/>
                  <c:y val="-3.25203252032520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5B-45FE-9D79-7C78198935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Flat'!$C$19:$E$19</c:f>
              <c:numCache>
                <c:formatCode>_("$"* #,##0.00_);_("$"* \(#,##0.00\);_("$"* "-"??_);_(@_)</c:formatCode>
                <c:ptCount val="3"/>
                <c:pt idx="0">
                  <c:v>22.73894067494577</c:v>
                </c:pt>
                <c:pt idx="1">
                  <c:v>35.017831007913642</c:v>
                </c:pt>
                <c:pt idx="2">
                  <c:v>30.29794985401881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5B-45FE-9D79-7C7819893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871839152"/>
        <c:crosses val="autoZero"/>
        <c:crossBetween val="between"/>
      </c:valAx>
      <c:valAx>
        <c:axId val="1288066224"/>
        <c:scaling>
          <c:orientation val="minMax"/>
          <c:max val="48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96645702306078E-2"/>
          <c:y val="5.9620596205962058E-2"/>
          <c:w val="0.88881146932105182"/>
          <c:h val="0.6574034952947954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Flat'!$C$32:$E$32</c:f>
              <c:numCache>
                <c:formatCode>_("$"* #,##0.00_);_("$"* \(#,##0.00\);_("$"* "-"??_);_(@_)</c:formatCode>
                <c:ptCount val="3"/>
                <c:pt idx="0">
                  <c:v>18.932864880736275</c:v>
                </c:pt>
                <c:pt idx="1">
                  <c:v>30.540866393335953</c:v>
                </c:pt>
                <c:pt idx="2">
                  <c:v>26.374996024478595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4-4D55-911B-BFF1C2874759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Flat'!$C$33:$E$33</c:f>
              <c:numCache>
                <c:formatCode>_(* #,##0.00_);_(* \(#,##0.00\);_(* "-"??_);_(@_)</c:formatCode>
                <c:ptCount val="3"/>
                <c:pt idx="0">
                  <c:v>10.603098372252816</c:v>
                </c:pt>
                <c:pt idx="1">
                  <c:v>10.603098372252816</c:v>
                </c:pt>
                <c:pt idx="2">
                  <c:v>10.603098372252816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E4-4D55-911B-BFF1C2874759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Flat'!$C$15:$E$15</c:f>
              <c:numCache>
                <c:formatCode>_(* #,##0.00_);_(* \(#,##0.00\);_(* "-"??_);_(@_)</c:formatCode>
                <c:ptCount val="3"/>
                <c:pt idx="0">
                  <c:v>0.30718533767989697</c:v>
                </c:pt>
                <c:pt idx="1">
                  <c:v>0.30718533767989697</c:v>
                </c:pt>
                <c:pt idx="2">
                  <c:v>0.30718533767989697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E4-4D55-911B-BFF1C2874759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Flat'!$C$35:$E$35</c:f>
              <c:numCache>
                <c:formatCode>_(* #,##0.00_);_(* \(#,##0.00\);_(* "-"??_);_(@_)</c:formatCode>
                <c:ptCount val="3"/>
                <c:pt idx="0">
                  <c:v>1.098106163082704</c:v>
                </c:pt>
                <c:pt idx="1">
                  <c:v>1.7713702508134854</c:v>
                </c:pt>
                <c:pt idx="2">
                  <c:v>1.5297497694197586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E4-4D55-911B-BFF1C2874759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Flat'!$C$37:$E$37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E4-4D55-911B-BFF1C287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16802168021680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4-4D55-911B-BFF1C2874759}"/>
                </c:ext>
              </c:extLst>
            </c:dLbl>
            <c:dLbl>
              <c:idx val="1"/>
              <c:layout>
                <c:manualLayout>
                  <c:x val="0"/>
                  <c:y val="-1.62601626016260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E4-4D55-911B-BFF1C2874759}"/>
                </c:ext>
              </c:extLst>
            </c:dLbl>
            <c:dLbl>
              <c:idx val="2"/>
              <c:layout>
                <c:manualLayout>
                  <c:x val="0"/>
                  <c:y val="-3.25203252032520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E4-4D55-911B-BFF1C28747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Flat'!$C$38:$E$38</c:f>
              <c:numCache>
                <c:formatCode>_("$"* #,##0.00_);_("$"* \(#,##0.00\);_("$"* "-"??_);_(@_)</c:formatCode>
                <c:ptCount val="3"/>
                <c:pt idx="0">
                  <c:v>27.963780877374653</c:v>
                </c:pt>
                <c:pt idx="1">
                  <c:v>40.24504647770511</c:v>
                </c:pt>
                <c:pt idx="2">
                  <c:v>35.837555627454023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E4-4D55-911B-BFF1C2874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871839152"/>
        <c:crosses val="autoZero"/>
        <c:crossBetween val="between"/>
      </c:valAx>
      <c:valAx>
        <c:axId val="1288066224"/>
        <c:scaling>
          <c:orientation val="minMax"/>
          <c:max val="48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Net Hourly Off-Peak ECR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6645702306078E-2"/>
          <c:y val="0.23848238482384823"/>
          <c:w val="0.88881146932105182"/>
          <c:h val="0.5219021402812453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Variant'!$C$14:$E$14</c:f>
              <c:numCache>
                <c:formatCode>_("$"* #,##0.00_);_("$"* \(#,##0.00\);_("$"* "-"??_);_(@_)</c:formatCode>
                <c:ptCount val="3"/>
                <c:pt idx="0">
                  <c:v>18.192541629044101</c:v>
                </c:pt>
                <c:pt idx="1">
                  <c:v>29.628705334401541</c:v>
                </c:pt>
                <c:pt idx="2">
                  <c:v>24.61201507885005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9-4B4A-ADC3-FE7787DDA0CD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Variant'!$C$15:$E$15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9-4B4A-ADC3-FE7787DDA0CD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Variant'!$C$16:$E$16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C9-4B4A-ADC3-FE7787DDA0CD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Variant'!$C$17:$E$17</c:f>
              <c:numCache>
                <c:formatCode>_(* #,##0.00_);_(* \(#,##0.00\);_(* "-"??_);_(@_)</c:formatCode>
                <c:ptCount val="3"/>
                <c:pt idx="0">
                  <c:v>1.055167414484558</c:v>
                </c:pt>
                <c:pt idx="1">
                  <c:v>1.7184649093952895</c:v>
                </c:pt>
                <c:pt idx="2">
                  <c:v>1.427496874573303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C9-4B4A-ADC3-FE7787DDA0CD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Variant'!$C$19:$E$19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C9-4B4A-ADC3-FE7787DD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33604336043360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C9-4B4A-ADC3-FE7787DDA0CD}"/>
                </c:ext>
              </c:extLst>
            </c:dLbl>
            <c:dLbl>
              <c:idx val="1"/>
              <c:layout>
                <c:manualLayout>
                  <c:x val="0"/>
                  <c:y val="-3.2520325203252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C9-4B4A-ADC3-FE7787DDA0CD}"/>
                </c:ext>
              </c:extLst>
            </c:dLbl>
            <c:dLbl>
              <c:idx val="2"/>
              <c:layout>
                <c:manualLayout>
                  <c:x val="0"/>
                  <c:y val="-4.878048780487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BC9-4B4A-ADC3-FE7787DDA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Time Variant'!$C$20:$E$20</c:f>
              <c:numCache>
                <c:formatCode>_("$"* #,##0.00_);_("$"* \(#,##0.00\);_("$"* "-"??_);_(@_)</c:formatCode>
                <c:ptCount val="3"/>
                <c:pt idx="0">
                  <c:v>16.317709043528659</c:v>
                </c:pt>
                <c:pt idx="1">
                  <c:v>28.417170243796832</c:v>
                </c:pt>
                <c:pt idx="2">
                  <c:v>23.109511953423354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C9-4B4A-ADC3-FE7787DD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  <c:max val="260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9152"/>
        <c:crosses val="autoZero"/>
        <c:crossBetween val="between"/>
      </c:valAx>
      <c:valAx>
        <c:axId val="1288066224"/>
        <c:scaling>
          <c:orientation val="minMax"/>
          <c:max val="260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Net Hourly On-Peak ECR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6645702306078E-2"/>
          <c:y val="0.23848238482384823"/>
          <c:w val="0.88881146932105182"/>
          <c:h val="0.5219021402812453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Variant'!$C$23:$E$23</c:f>
              <c:numCache>
                <c:formatCode>_("$"* #,##0.00_);_("$"* \(#,##0.00\);_("$"* "-"??_);_(@_)</c:formatCode>
                <c:ptCount val="3"/>
                <c:pt idx="0">
                  <c:v>26.332448692177763</c:v>
                </c:pt>
                <c:pt idx="1">
                  <c:v>40.778543537688542</c:v>
                </c:pt>
                <c:pt idx="2">
                  <c:v>45.621839115760622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F-4486-ACF8-81864C617E5D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Variant'!$C$24:$E$24</c:f>
              <c:numCache>
                <c:formatCode>_(* #,##0.00_);_(* \(#,##0.00\);_(* "-"??_);_(@_)</c:formatCode>
                <c:ptCount val="3"/>
                <c:pt idx="0">
                  <c:v>99.900034436313348</c:v>
                </c:pt>
                <c:pt idx="1">
                  <c:v>99.900034436313348</c:v>
                </c:pt>
                <c:pt idx="2">
                  <c:v>99.900034436313348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F-4486-ACF8-81864C617E5D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Variant'!$C$25:$E$25</c:f>
              <c:numCache>
                <c:formatCode>_(* #,##0.00_);_(* \(#,##0.00\);_(* "-"??_);_(@_)</c:formatCode>
                <c:ptCount val="3"/>
                <c:pt idx="0">
                  <c:v>5.4519234884368224</c:v>
                </c:pt>
                <c:pt idx="1">
                  <c:v>5.4519234884368224</c:v>
                </c:pt>
                <c:pt idx="2">
                  <c:v>5.4519234884368224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F-4486-ACF8-81864C617E5D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Variant'!$C$26:$E$26</c:f>
              <c:numCache>
                <c:formatCode>_(* #,##0.00_);_(* \(#,##0.00\);_(* "-"??_);_(@_)</c:formatCode>
                <c:ptCount val="3"/>
                <c:pt idx="0">
                  <c:v>1.5272820241463103</c:v>
                </c:pt>
                <c:pt idx="1">
                  <c:v>2.3651555251859357</c:v>
                </c:pt>
                <c:pt idx="2">
                  <c:v>2.6460666687141163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AF-4486-ACF8-81864C617E5D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Variant'!$C$28:$E$28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AF-4486-ACF8-81864C61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217108540407538E-17"/>
                  <c:y val="-1.0787230586404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F-4486-ACF8-81864C617E5D}"/>
                </c:ext>
              </c:extLst>
            </c:dLbl>
            <c:dLbl>
              <c:idx val="1"/>
              <c:layout>
                <c:manualLayout>
                  <c:x val="0"/>
                  <c:y val="5.3006403515496591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AF-4486-ACF8-81864C617E5D}"/>
                </c:ext>
              </c:extLst>
            </c:dLbl>
            <c:dLbl>
              <c:idx val="2"/>
              <c:layout>
                <c:manualLayout>
                  <c:x val="0"/>
                  <c:y val="7.9509605273282206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AF-4486-ACF8-81864C617E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Time Variant'!$C$29:$E$29</c:f>
              <c:numCache>
                <c:formatCode>_("$"* #,##0.00_);_("$"* \(#,##0.00\);_("$"* "-"??_);_(@_)</c:formatCode>
                <c:ptCount val="3"/>
                <c:pt idx="0">
                  <c:v>130.28168864107423</c:v>
                </c:pt>
                <c:pt idx="1">
                  <c:v>145.56565698762464</c:v>
                </c:pt>
                <c:pt idx="2">
                  <c:v>150.68986370922491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5AF-4486-ACF8-81864C617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  <c:max val="260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9152"/>
        <c:crosses val="autoZero"/>
        <c:crossBetween val="between"/>
      </c:valAx>
      <c:valAx>
        <c:axId val="1288066224"/>
        <c:scaling>
          <c:orientation val="minMax"/>
          <c:max val="260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Real-Time Off-Peak ECR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6645702306078E-2"/>
          <c:y val="0.23848238482384823"/>
          <c:w val="0.88881146932105182"/>
          <c:h val="0.5219021402812453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Variant'!$C$48:$E$48</c:f>
              <c:numCache>
                <c:formatCode>_("$"* #,##0.00_);_("$"* \(#,##0.00\);_("$"* "-"??_);_(@_)</c:formatCode>
                <c:ptCount val="3"/>
                <c:pt idx="0">
                  <c:v>18.286995592030145</c:v>
                </c:pt>
                <c:pt idx="1">
                  <c:v>29.673685772966873</c:v>
                </c:pt>
                <c:pt idx="2">
                  <c:v>24.682104357693046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E-45C3-84EA-07A0D847B8D7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Variant'!$C$49:$E$49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2E-45C3-84EA-07A0D847B8D7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Variant'!$C$50:$E$50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2E-45C3-84EA-07A0D847B8D7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Variant'!$C$51:$E$51</c:f>
              <c:numCache>
                <c:formatCode>_(* #,##0.00_);_(* \(#,##0.00\);_(* "-"??_);_(@_)</c:formatCode>
                <c:ptCount val="3"/>
                <c:pt idx="0">
                  <c:v>1.0606457443377484</c:v>
                </c:pt>
                <c:pt idx="1">
                  <c:v>1.7210737748320788</c:v>
                </c:pt>
                <c:pt idx="2">
                  <c:v>1.4315620527461967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2E-45C3-84EA-07A0D847B8D7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Variant'!$C$53:$E$53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2E-45C3-84EA-07A0D847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33604336043360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2E-45C3-84EA-07A0D847B8D7}"/>
                </c:ext>
              </c:extLst>
            </c:dLbl>
            <c:dLbl>
              <c:idx val="1"/>
              <c:layout>
                <c:manualLayout>
                  <c:x val="0"/>
                  <c:y val="-3.2520325203252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2E-45C3-84EA-07A0D847B8D7}"/>
                </c:ext>
              </c:extLst>
            </c:dLbl>
            <c:dLbl>
              <c:idx val="2"/>
              <c:layout>
                <c:manualLayout>
                  <c:x val="0"/>
                  <c:y val="-4.878048780487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2E-45C3-84EA-07A0D847B8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Time Variant'!$C$54:$E$54</c:f>
              <c:numCache>
                <c:formatCode>_("$"* #,##0.00_);_("$"* \(#,##0.00\);_("$"* "-"??_);_(@_)</c:formatCode>
                <c:ptCount val="3"/>
                <c:pt idx="0">
                  <c:v>16.417641336367893</c:v>
                </c:pt>
                <c:pt idx="1">
                  <c:v>28.464759547798952</c:v>
                </c:pt>
                <c:pt idx="2">
                  <c:v>23.183666410439244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2E-45C3-84EA-07A0D847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  <c:max val="260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9152"/>
        <c:crosses val="autoZero"/>
        <c:crossBetween val="between"/>
      </c:valAx>
      <c:valAx>
        <c:axId val="1288066224"/>
        <c:scaling>
          <c:orientation val="minMax"/>
          <c:max val="260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Real-Time On-Peak ECR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796645702306078E-2"/>
          <c:y val="0.23848238482384823"/>
          <c:w val="0.88881146932105182"/>
          <c:h val="0.52190214028124537"/>
        </c:manualLayout>
      </c:layout>
      <c:barChart>
        <c:barDir val="col"/>
        <c:grouping val="stacked"/>
        <c:varyColors val="0"/>
        <c:ser>
          <c:idx val="0"/>
          <c:order val="1"/>
          <c:tx>
            <c:v>Energy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Variant'!$C$57:$E$57</c:f>
              <c:numCache>
                <c:formatCode>_("$"* #,##0.00_);_("$"* \(#,##0.00\);_("$"* "-"??_);_(@_)</c:formatCode>
                <c:ptCount val="3"/>
                <c:pt idx="0">
                  <c:v>26.835176938717858</c:v>
                </c:pt>
                <c:pt idx="1">
                  <c:v>41.150957308974277</c:v>
                </c:pt>
                <c:pt idx="2">
                  <c:v>47.087791113551887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9-4E75-96AB-F0906F5C30D0}"/>
            </c:ext>
          </c:extLst>
        </c:ser>
        <c:ser>
          <c:idx val="1"/>
          <c:order val="2"/>
          <c:tx>
            <c:v>Generation Capacity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Variant'!$C$58:$E$58</c:f>
              <c:numCache>
                <c:formatCode>_(* #,##0.00_);_(* \(#,##0.00\);_(* "-"??_);_(@_)</c:formatCode>
                <c:ptCount val="3"/>
                <c:pt idx="0">
                  <c:v>140.33367015229459</c:v>
                </c:pt>
                <c:pt idx="1">
                  <c:v>140.33367015229459</c:v>
                </c:pt>
                <c:pt idx="2">
                  <c:v>140.33367015229459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A9-4E75-96AB-F0906F5C30D0}"/>
            </c:ext>
          </c:extLst>
        </c:ser>
        <c:ser>
          <c:idx val="2"/>
          <c:order val="3"/>
          <c:tx>
            <c:v>T&amp;D Capacity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Variant'!$C$59:$E$59</c:f>
              <c:numCache>
                <c:formatCode>_(* #,##0.00_);_(* \(#,##0.00\);_(* "-"??_);_(@_)</c:formatCode>
                <c:ptCount val="3"/>
                <c:pt idx="0">
                  <c:v>3.4373219285243661</c:v>
                </c:pt>
                <c:pt idx="1">
                  <c:v>3.4373219285243661</c:v>
                </c:pt>
                <c:pt idx="2">
                  <c:v>3.4373219285243661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A9-4E75-96AB-F0906F5C30D0}"/>
            </c:ext>
          </c:extLst>
        </c:ser>
        <c:ser>
          <c:idx val="3"/>
          <c:order val="4"/>
          <c:tx>
            <c:v>Line Losses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Variant'!$C$60:$E$60</c:f>
              <c:numCache>
                <c:formatCode>_(* #,##0.00_);_(* \(#,##0.00\);_(* "-"??_);_(@_)</c:formatCode>
                <c:ptCount val="3"/>
                <c:pt idx="0">
                  <c:v>1.5564402624456359</c:v>
                </c:pt>
                <c:pt idx="1">
                  <c:v>2.3867555239205083</c:v>
                </c:pt>
                <c:pt idx="2">
                  <c:v>2.7310918845860095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A9-4E75-96AB-F0906F5C30D0}"/>
            </c:ext>
          </c:extLst>
        </c:ser>
        <c:ser>
          <c:idx val="4"/>
          <c:order val="5"/>
          <c:tx>
            <c:v>Integration</c:v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ELAP</c:v>
              </c:pt>
            </c:strLit>
          </c:cat>
          <c:val>
            <c:numRef>
              <c:f>'ECR - Time Variant'!$C$62:$E$62</c:f>
              <c:numCache>
                <c:formatCode>_(* #,##0.00_);_(* \(#,##0.00\);_(* "-"??_);_(@_)</c:formatCode>
                <c:ptCount val="3"/>
                <c:pt idx="0">
                  <c:v>-2.93</c:v>
                </c:pt>
                <c:pt idx="1">
                  <c:v>-2.93</c:v>
                </c:pt>
                <c:pt idx="2">
                  <c:v>-2.93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A9-4E75-96AB-F0906F5C3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71839152"/>
        <c:axId val="1871836656"/>
      </c:barChart>
      <c:barChart>
        <c:barDir val="col"/>
        <c:grouping val="clustered"/>
        <c:varyColors val="0"/>
        <c:ser>
          <c:idx val="5"/>
          <c:order val="0"/>
          <c:tx>
            <c:v>Total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217108540407538E-17"/>
                  <c:y val="-1.07872305864047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A9-4E75-96AB-F0906F5C30D0}"/>
                </c:ext>
              </c:extLst>
            </c:dLbl>
            <c:dLbl>
              <c:idx val="1"/>
              <c:layout>
                <c:manualLayout>
                  <c:x val="0"/>
                  <c:y val="5.3006403515496591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A9-4E75-96AB-F0906F5C30D0}"/>
                </c:ext>
              </c:extLst>
            </c:dLbl>
            <c:dLbl>
              <c:idx val="2"/>
              <c:layout>
                <c:manualLayout>
                  <c:x val="0"/>
                  <c:y val="7.9509605273282206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A9-4E75-96AB-F0906F5C30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Idaho Power IRP</c:v>
              </c:pt>
              <c:pt idx="1">
                <c:v>ICE Mid-C</c:v>
              </c:pt>
              <c:pt idx="2">
                <c:v>EIM</c:v>
              </c:pt>
            </c:strLit>
          </c:cat>
          <c:val>
            <c:numRef>
              <c:f>'ECR - Time Variant'!$C$63:$E$63</c:f>
              <c:numCache>
                <c:formatCode>_("$"* #,##0.00_);_("$"* \(#,##0.00\);_("$"* "-"??_);_(@_)</c:formatCode>
                <c:ptCount val="3"/>
                <c:pt idx="0">
                  <c:v>169.23260928198246</c:v>
                </c:pt>
                <c:pt idx="1">
                  <c:v>184.37870491371373</c:v>
                </c:pt>
                <c:pt idx="2">
                  <c:v>190.65987507895684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DA9-4E75-96AB-F0906F5C3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088896"/>
        <c:axId val="1288066224"/>
      </c:barChart>
      <c:catAx>
        <c:axId val="187183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6656"/>
        <c:crosses val="autoZero"/>
        <c:auto val="1"/>
        <c:lblAlgn val="ctr"/>
        <c:lblOffset val="100"/>
        <c:noMultiLvlLbl val="0"/>
      </c:catAx>
      <c:valAx>
        <c:axId val="1871836656"/>
        <c:scaling>
          <c:orientation val="minMax"/>
          <c:max val="260"/>
        </c:scaling>
        <c:delete val="0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1839152"/>
        <c:crosses val="autoZero"/>
        <c:crossBetween val="between"/>
      </c:valAx>
      <c:valAx>
        <c:axId val="1288066224"/>
        <c:scaling>
          <c:orientation val="minMax"/>
          <c:max val="260"/>
          <c:min val="-10"/>
        </c:scaling>
        <c:delete val="0"/>
        <c:axPos val="r"/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6088896"/>
        <c:crosses val="max"/>
        <c:crossBetween val="between"/>
      </c:valAx>
      <c:catAx>
        <c:axId val="1446088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0662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599910860199079"/>
          <c:y val="0.89409683545654339"/>
          <c:w val="0.80836141993688437"/>
          <c:h val="8.93318022747156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2CE052-DAAA-4BFB-9A96-0D0B1ADD6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22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7AEA35-56EA-42BC-8D2B-07E0E0934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15</xdr:col>
      <xdr:colOff>571500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55AFD4-3B14-40D9-A448-57D86ED978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15</xdr:col>
      <xdr:colOff>571500</xdr:colOff>
      <xdr:row>35</xdr:row>
      <xdr:rowOff>116586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EC677F7-7796-44D5-9F36-F8B39896FF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15</xdr:col>
      <xdr:colOff>571500</xdr:colOff>
      <xdr:row>53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6B8ACA9-EDDC-41E2-B451-860D1E2C1B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55</xdr:row>
      <xdr:rowOff>0</xdr:rowOff>
    </xdr:from>
    <xdr:to>
      <xdr:col>15</xdr:col>
      <xdr:colOff>571500</xdr:colOff>
      <xdr:row>69</xdr:row>
      <xdr:rowOff>116586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D78DA87-D6EA-423A-985B-9D02DDD07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6A92C-6703-44C1-B549-DBAED3C28F66}">
  <sheetPr>
    <tabColor theme="7"/>
    <pageSetUpPr fitToPage="1"/>
  </sheetPr>
  <dimension ref="A1:F13"/>
  <sheetViews>
    <sheetView showGridLines="0" tabSelected="1" zoomScaleNormal="100" workbookViewId="0"/>
  </sheetViews>
  <sheetFormatPr defaultRowHeight="15" x14ac:dyDescent="0.25"/>
  <cols>
    <col min="1" max="1" width="1.7109375" customWidth="1"/>
    <col min="2" max="2" width="26.7109375" customWidth="1"/>
    <col min="3" max="3" width="13.7109375" customWidth="1"/>
    <col min="4" max="4" width="1.7109375" customWidth="1"/>
    <col min="5" max="6" width="13.7109375" customWidth="1"/>
  </cols>
  <sheetData>
    <row r="1" spans="1:6" x14ac:dyDescent="0.25">
      <c r="A1" s="8" t="s">
        <v>117</v>
      </c>
    </row>
    <row r="2" spans="1:6" x14ac:dyDescent="0.25">
      <c r="A2" t="s">
        <v>0</v>
      </c>
    </row>
    <row r="3" spans="1:6" ht="4.9000000000000004" customHeight="1" x14ac:dyDescent="0.25"/>
    <row r="4" spans="1:6" ht="18.75" x14ac:dyDescent="0.25">
      <c r="B4" s="54" t="s">
        <v>75</v>
      </c>
      <c r="C4" s="31"/>
      <c r="D4" s="31"/>
      <c r="E4" s="31"/>
      <c r="F4" s="31"/>
    </row>
    <row r="5" spans="1:6" ht="4.9000000000000004" customHeight="1" x14ac:dyDescent="0.25"/>
    <row r="6" spans="1:6" ht="17.25" x14ac:dyDescent="0.4">
      <c r="B6" s="9" t="s">
        <v>76</v>
      </c>
      <c r="C6" s="9" t="s">
        <v>82</v>
      </c>
      <c r="E6" s="9" t="s">
        <v>78</v>
      </c>
    </row>
    <row r="7" spans="1:6" x14ac:dyDescent="0.25">
      <c r="B7" t="s">
        <v>9</v>
      </c>
      <c r="C7" s="33" t="s">
        <v>79</v>
      </c>
    </row>
    <row r="8" spans="1:6" x14ac:dyDescent="0.25">
      <c r="B8" t="s">
        <v>36</v>
      </c>
      <c r="C8" s="33" t="s">
        <v>79</v>
      </c>
      <c r="E8" s="33" t="s">
        <v>77</v>
      </c>
    </row>
    <row r="9" spans="1:6" x14ac:dyDescent="0.25">
      <c r="B9" t="s">
        <v>80</v>
      </c>
      <c r="C9" s="33" t="s">
        <v>79</v>
      </c>
    </row>
    <row r="10" spans="1:6" x14ac:dyDescent="0.25">
      <c r="B10" t="s">
        <v>81</v>
      </c>
      <c r="C10" s="33" t="s">
        <v>79</v>
      </c>
    </row>
    <row r="11" spans="1:6" x14ac:dyDescent="0.25">
      <c r="B11" t="s">
        <v>74</v>
      </c>
      <c r="C11" s="33" t="s">
        <v>79</v>
      </c>
    </row>
    <row r="13" spans="1:6" x14ac:dyDescent="0.25">
      <c r="B13" s="56" t="s">
        <v>115</v>
      </c>
    </row>
  </sheetData>
  <dataValidations disablePrompts="1" count="2">
    <dataValidation type="list" allowBlank="1" showInputMessage="1" showErrorMessage="1" sqref="E8" xr:uid="{0885B566-AEE1-4863-B255-C4ABC57E6558}">
      <formula1>"ELCC,NREL"</formula1>
    </dataValidation>
    <dataValidation type="list" allowBlank="1" showInputMessage="1" showErrorMessage="1" sqref="C7:C11" xr:uid="{A10369FF-95E5-4010-A609-21DB188D35BF}">
      <formula1>"On,Off"</formula1>
    </dataValidation>
  </dataValidations>
  <pageMargins left="0.7" right="0.7" top="0.75" bottom="0.75" header="0.3" footer="0.3"/>
  <pageSetup fitToHeight="0" orientation="landscape" r:id="rId1"/>
  <headerFooter scaleWithDoc="0">
    <oddFooter>&amp;L&amp;A&amp;RPage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DD42A-089F-4EA0-BF29-7D9A131909D2}">
  <sheetPr>
    <tabColor theme="4"/>
    <pageSetUpPr fitToPage="1"/>
  </sheetPr>
  <dimension ref="A1:K40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.7109375" customWidth="1"/>
    <col min="2" max="2" width="40.7109375" customWidth="1"/>
    <col min="3" max="5" width="15.7109375" customWidth="1"/>
    <col min="6" max="6" width="1.7109375" customWidth="1"/>
    <col min="7" max="7" width="40.7109375" customWidth="1"/>
    <col min="8" max="10" width="15.7109375" customWidth="1"/>
    <col min="11" max="11" width="1.7109375" customWidth="1"/>
  </cols>
  <sheetData>
    <row r="1" spans="1:5" x14ac:dyDescent="0.25">
      <c r="A1" s="8" t="str">
        <f>Options!A1</f>
        <v>Appendix 4.18</v>
      </c>
    </row>
    <row r="2" spans="1:5" x14ac:dyDescent="0.25">
      <c r="A2" t="str">
        <f>Options!A2</f>
        <v>Export Credit Rate Summary</v>
      </c>
    </row>
    <row r="3" spans="1:5" ht="5.0999999999999996" customHeight="1" x14ac:dyDescent="0.25"/>
    <row r="4" spans="1:5" ht="18.75" x14ac:dyDescent="0.25">
      <c r="B4" s="54" t="s">
        <v>1</v>
      </c>
      <c r="C4" s="31"/>
      <c r="D4" s="31"/>
      <c r="E4" s="55"/>
    </row>
    <row r="5" spans="1:5" ht="5.0999999999999996" customHeight="1" x14ac:dyDescent="0.25"/>
    <row r="6" spans="1:5" x14ac:dyDescent="0.25">
      <c r="C6" s="1">
        <v>-1</v>
      </c>
      <c r="D6" s="1">
        <v>-2</v>
      </c>
      <c r="E6" s="1">
        <v>-3</v>
      </c>
    </row>
    <row r="7" spans="1:5" x14ac:dyDescent="0.25">
      <c r="C7" s="2">
        <v>2021</v>
      </c>
      <c r="D7" s="4" t="s">
        <v>2</v>
      </c>
      <c r="E7" s="4" t="s">
        <v>2</v>
      </c>
    </row>
    <row r="8" spans="1:5" x14ac:dyDescent="0.25">
      <c r="B8" s="29" t="s">
        <v>3</v>
      </c>
      <c r="C8" s="2" t="s">
        <v>4</v>
      </c>
      <c r="D8" s="4" t="s">
        <v>5</v>
      </c>
      <c r="E8" s="3" t="s">
        <v>5</v>
      </c>
    </row>
    <row r="9" spans="1:5" x14ac:dyDescent="0.25">
      <c r="C9" s="5" t="s">
        <v>6</v>
      </c>
      <c r="D9" s="4" t="s">
        <v>7</v>
      </c>
      <c r="E9" s="4" t="s">
        <v>8</v>
      </c>
    </row>
    <row r="10" spans="1:5" ht="5.0999999999999996" customHeight="1" x14ac:dyDescent="0.25"/>
    <row r="11" spans="1:5" x14ac:dyDescent="0.25">
      <c r="B11" s="6" t="s">
        <v>107</v>
      </c>
      <c r="C11" s="7"/>
      <c r="D11" s="7"/>
      <c r="E11" s="7"/>
    </row>
    <row r="12" spans="1:5" ht="5.0999999999999996" customHeight="1" x14ac:dyDescent="0.25"/>
    <row r="13" spans="1:5" x14ac:dyDescent="0.25">
      <c r="B13" s="21" t="s">
        <v>9</v>
      </c>
      <c r="C13" s="22">
        <f>+IF(AvoidEnergy="On",'Avoided Energy'!$D$22,0)</f>
        <v>18.65117977852924</v>
      </c>
      <c r="D13" s="22">
        <f>+IF(AvoidEnergy="On",'Avoided Energy'!$D$23,0)</f>
        <v>30.256936236910974</v>
      </c>
      <c r="E13" s="22">
        <f>+IF(AvoidEnergy="On",'Avoided Energy'!$D$24,0)</f>
        <v>25.795800930772188</v>
      </c>
    </row>
    <row r="14" spans="1:5" x14ac:dyDescent="0.25">
      <c r="B14" s="23" t="str">
        <f>+"Plus: Avoided Generation Capacity ("&amp;AvoidGenCapMethod&amp;")"</f>
        <v>Plus: Avoided Generation Capacity (ELCC)</v>
      </c>
      <c r="C14" s="24">
        <f>+IF(AvoidGenCap="On",IF(AvoidGenCapMethod="ELCC",'Generation Capacity'!$D$19,'Generation Capacity'!$D$20),0)</f>
        <v>5.6288071315819366</v>
      </c>
      <c r="D14" s="24">
        <f>+IF(AvoidGenCap="On",IF(AvoidGenCapMethod="ELCC",'Generation Capacity'!$D$19,'Generation Capacity'!$D$20),0)</f>
        <v>5.6288071315819366</v>
      </c>
      <c r="E14" s="24">
        <f>+IF(AvoidGenCap="On",IF(AvoidGenCapMethod="ELCC",'Generation Capacity'!$D$19,'Generation Capacity'!$D$20),0)</f>
        <v>5.6288071315819366</v>
      </c>
    </row>
    <row r="15" spans="1:5" x14ac:dyDescent="0.25">
      <c r="B15" s="23" t="s">
        <v>10</v>
      </c>
      <c r="C15" s="24">
        <f>IF(TDdef="On",'T&amp;D Capacity'!$D$17,0)</f>
        <v>0.30718533767989697</v>
      </c>
      <c r="D15" s="24">
        <f>IF(TDdef="On",'T&amp;D Capacity'!$D$17,0)</f>
        <v>0.30718533767989697</v>
      </c>
      <c r="E15" s="24">
        <f>IF(TDdef="On",'T&amp;D Capacity'!$D$17,0)</f>
        <v>0.30718533767989697</v>
      </c>
    </row>
    <row r="16" spans="1:5" x14ac:dyDescent="0.25">
      <c r="B16" s="23" t="s">
        <v>11</v>
      </c>
      <c r="C16" s="24">
        <f>+IF(AvoidLineLoss="On",'Losses and Integration'!$D$9,0)*C13</f>
        <v>1.0817684271546959</v>
      </c>
      <c r="D16" s="24">
        <f>+IF(AvoidLineLoss="On",'Losses and Integration'!$D$9,0)*D13</f>
        <v>1.7549023017408365</v>
      </c>
      <c r="E16" s="24">
        <f>+IF(AvoidLineLoss="On",'Losses and Integration'!$D$9,0)*E13</f>
        <v>1.4961564539847869</v>
      </c>
    </row>
    <row r="17" spans="2:11" x14ac:dyDescent="0.25">
      <c r="B17" s="23" t="s">
        <v>116</v>
      </c>
      <c r="C17" s="24">
        <v>0</v>
      </c>
      <c r="D17" s="24">
        <v>0</v>
      </c>
      <c r="E17" s="24">
        <v>0</v>
      </c>
    </row>
    <row r="18" spans="2:11" x14ac:dyDescent="0.25">
      <c r="B18" s="25" t="s">
        <v>12</v>
      </c>
      <c r="C18" s="26">
        <f>+IF(IntegCost="On",-'Losses and Integration'!$D$10,0)</f>
        <v>-2.93</v>
      </c>
      <c r="D18" s="26">
        <f>+IF(IntegCost="On",-'Losses and Integration'!$D$10,0)</f>
        <v>-2.93</v>
      </c>
      <c r="E18" s="26">
        <f>+IF(IntegCost="On",-'Losses and Integration'!$D$10,0)</f>
        <v>-2.93</v>
      </c>
    </row>
    <row r="19" spans="2:11" x14ac:dyDescent="0.25">
      <c r="B19" s="27" t="s">
        <v>13</v>
      </c>
      <c r="C19" s="28">
        <f>+SUM(C13:C18)</f>
        <v>22.73894067494577</v>
      </c>
      <c r="D19" s="28">
        <f>+SUM(D13:D18)</f>
        <v>35.017831007913642</v>
      </c>
      <c r="E19" s="28">
        <f>+SUM(E13:E18)</f>
        <v>30.29794985401881</v>
      </c>
      <c r="K19" s="32"/>
    </row>
    <row r="20" spans="2:11" ht="5.0999999999999996" customHeight="1" x14ac:dyDescent="0.25"/>
    <row r="21" spans="2:11" x14ac:dyDescent="0.25">
      <c r="B21" s="53" t="s">
        <v>109</v>
      </c>
    </row>
    <row r="23" spans="2:11" ht="18.75" x14ac:dyDescent="0.25">
      <c r="B23" s="54" t="s">
        <v>14</v>
      </c>
      <c r="C23" s="31"/>
      <c r="D23" s="31"/>
      <c r="E23" s="55"/>
    </row>
    <row r="24" spans="2:11" ht="5.0999999999999996" customHeight="1" x14ac:dyDescent="0.25"/>
    <row r="25" spans="2:11" x14ac:dyDescent="0.25">
      <c r="C25" s="1">
        <v>-1</v>
      </c>
      <c r="D25" s="1">
        <v>-2</v>
      </c>
      <c r="E25" s="1">
        <v>-3</v>
      </c>
    </row>
    <row r="26" spans="2:11" x14ac:dyDescent="0.25">
      <c r="C26" s="2">
        <v>2021</v>
      </c>
      <c r="D26" s="4" t="s">
        <v>2</v>
      </c>
      <c r="E26" s="4" t="s">
        <v>2</v>
      </c>
    </row>
    <row r="27" spans="2:11" x14ac:dyDescent="0.25">
      <c r="B27" s="29" t="s">
        <v>3</v>
      </c>
      <c r="C27" s="2" t="s">
        <v>4</v>
      </c>
      <c r="D27" s="4" t="s">
        <v>5</v>
      </c>
      <c r="E27" s="3" t="s">
        <v>5</v>
      </c>
    </row>
    <row r="28" spans="2:11" x14ac:dyDescent="0.25">
      <c r="C28" s="5" t="s">
        <v>6</v>
      </c>
      <c r="D28" s="4" t="s">
        <v>7</v>
      </c>
      <c r="E28" s="4" t="s">
        <v>8</v>
      </c>
    </row>
    <row r="29" spans="2:11" ht="5.0999999999999996" customHeight="1" x14ac:dyDescent="0.25"/>
    <row r="30" spans="2:11" x14ac:dyDescent="0.25">
      <c r="B30" s="6" t="s">
        <v>107</v>
      </c>
      <c r="C30" s="7"/>
      <c r="D30" s="7"/>
      <c r="E30" s="7"/>
    </row>
    <row r="31" spans="2:11" ht="5.0999999999999996" customHeight="1" x14ac:dyDescent="0.25"/>
    <row r="32" spans="2:11" x14ac:dyDescent="0.25">
      <c r="B32" s="21" t="s">
        <v>9</v>
      </c>
      <c r="C32" s="22">
        <f>+IF(AvoidEnergy="On",'Avoided Energy'!$E$22,0)</f>
        <v>18.932864880736275</v>
      </c>
      <c r="D32" s="22">
        <f>+IF(AvoidEnergy="On",'Avoided Energy'!$E$23,0)</f>
        <v>30.540866393335953</v>
      </c>
      <c r="E32" s="22">
        <f>+IF(AvoidEnergy="On",'Avoided Energy'!$E$24,0)</f>
        <v>26.374996024478595</v>
      </c>
    </row>
    <row r="33" spans="2:5" x14ac:dyDescent="0.25">
      <c r="B33" s="23" t="str">
        <f>+"Plus: Avoided Generation Capacity ("&amp;AvoidGenCapMethod&amp;")"</f>
        <v>Plus: Avoided Generation Capacity (ELCC)</v>
      </c>
      <c r="C33" s="24">
        <f>+IF(AvoidGenCap="On",IF(AvoidGenCapMethod="ELCC",'Generation Capacity'!$E$19,'Generation Capacity'!$E$20),0)</f>
        <v>10.603098372252816</v>
      </c>
      <c r="D33" s="24">
        <f>+IF(AvoidGenCap="On",IF(AvoidGenCapMethod="ELCC",'Generation Capacity'!$E$19,'Generation Capacity'!$E$20),0)</f>
        <v>10.603098372252816</v>
      </c>
      <c r="E33" s="24">
        <f>+IF(AvoidGenCap="On",IF(AvoidGenCapMethod="ELCC",'Generation Capacity'!$E$19,'Generation Capacity'!$E$20),0)</f>
        <v>10.603098372252816</v>
      </c>
    </row>
    <row r="34" spans="2:5" x14ac:dyDescent="0.25">
      <c r="B34" s="23" t="s">
        <v>10</v>
      </c>
      <c r="C34" s="24">
        <f>IF(TDdef="On",'T&amp;D Capacity'!$E$17,0)</f>
        <v>0.25971146130285744</v>
      </c>
      <c r="D34" s="24">
        <f>IF(TDdef="On",'T&amp;D Capacity'!$E$17,0)</f>
        <v>0.25971146130285744</v>
      </c>
      <c r="E34" s="24">
        <f>IF(TDdef="On",'T&amp;D Capacity'!$E$17,0)</f>
        <v>0.25971146130285744</v>
      </c>
    </row>
    <row r="35" spans="2:5" x14ac:dyDescent="0.25">
      <c r="B35" s="23" t="s">
        <v>11</v>
      </c>
      <c r="C35" s="24">
        <f>+IF(AvoidLineLoss="On",'Losses and Integration'!$D$9,0)*C32</f>
        <v>1.098106163082704</v>
      </c>
      <c r="D35" s="24">
        <f>+IF(AvoidLineLoss="On",'Losses and Integration'!$D$9,0)*D32</f>
        <v>1.7713702508134854</v>
      </c>
      <c r="E35" s="24">
        <f>+IF(AvoidLineLoss="On",'Losses and Integration'!$D$9,0)*E32</f>
        <v>1.5297497694197586</v>
      </c>
    </row>
    <row r="36" spans="2:5" x14ac:dyDescent="0.25">
      <c r="B36" s="23" t="s">
        <v>116</v>
      </c>
      <c r="C36" s="24">
        <v>0</v>
      </c>
      <c r="D36" s="24">
        <v>0</v>
      </c>
      <c r="E36" s="24">
        <v>0</v>
      </c>
    </row>
    <row r="37" spans="2:5" x14ac:dyDescent="0.25">
      <c r="B37" s="25" t="s">
        <v>12</v>
      </c>
      <c r="C37" s="26">
        <f>+IF(IntegCost="On",-'Losses and Integration'!$D$10,0)</f>
        <v>-2.93</v>
      </c>
      <c r="D37" s="26">
        <f>+IF(IntegCost="On",-'Losses and Integration'!$D$10,0)</f>
        <v>-2.93</v>
      </c>
      <c r="E37" s="26">
        <f>+IF(IntegCost="On",-'Losses and Integration'!$D$10,0)</f>
        <v>-2.93</v>
      </c>
    </row>
    <row r="38" spans="2:5" x14ac:dyDescent="0.25">
      <c r="B38" s="27" t="s">
        <v>13</v>
      </c>
      <c r="C38" s="28">
        <f>+SUM(C32:C37)</f>
        <v>27.963780877374653</v>
      </c>
      <c r="D38" s="28">
        <f>+SUM(D32:D37)</f>
        <v>40.24504647770511</v>
      </c>
      <c r="E38" s="28">
        <f>+SUM(E32:E37)</f>
        <v>35.837555627454023</v>
      </c>
    </row>
    <row r="39" spans="2:5" ht="5.0999999999999996" customHeight="1" x14ac:dyDescent="0.25"/>
    <row r="40" spans="2:5" x14ac:dyDescent="0.25">
      <c r="B40" s="53" t="s">
        <v>109</v>
      </c>
    </row>
  </sheetData>
  <pageMargins left="0.7" right="0.7" top="0.75" bottom="0.75" header="0.3" footer="0.3"/>
  <pageSetup scale="67" fitToHeight="0" orientation="landscape" r:id="rId1"/>
  <headerFooter scaleWithDoc="0">
    <oddFooter>&amp;L&amp;A&amp;RPage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E65"/>
  <sheetViews>
    <sheetView showGridLines="0" zoomScaleNormal="100" zoomScaleSheetLayoutView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1.7109375" customWidth="1"/>
    <col min="2" max="2" width="40.7109375" customWidth="1"/>
    <col min="3" max="5" width="15.7109375" customWidth="1"/>
    <col min="6" max="6" width="1.7109375" customWidth="1"/>
  </cols>
  <sheetData>
    <row r="1" spans="1:5" x14ac:dyDescent="0.25">
      <c r="A1" s="8" t="str">
        <f>Options!A1</f>
        <v>Appendix 4.18</v>
      </c>
    </row>
    <row r="2" spans="1:5" x14ac:dyDescent="0.25">
      <c r="A2" t="str">
        <f>Options!A2</f>
        <v>Export Credit Rate Summary</v>
      </c>
    </row>
    <row r="3" spans="1:5" ht="5.0999999999999996" customHeight="1" x14ac:dyDescent="0.25"/>
    <row r="4" spans="1:5" ht="18.75" x14ac:dyDescent="0.25">
      <c r="B4" s="54" t="s">
        <v>1</v>
      </c>
      <c r="C4" s="31"/>
      <c r="D4" s="31"/>
      <c r="E4" s="55"/>
    </row>
    <row r="5" spans="1:5" ht="5.0999999999999996" customHeight="1" x14ac:dyDescent="0.25"/>
    <row r="6" spans="1:5" x14ac:dyDescent="0.25">
      <c r="C6" s="1">
        <v>-1</v>
      </c>
      <c r="D6" s="1">
        <v>-2</v>
      </c>
      <c r="E6" s="1">
        <v>-3</v>
      </c>
    </row>
    <row r="7" spans="1:5" x14ac:dyDescent="0.25">
      <c r="C7" s="2">
        <v>2021</v>
      </c>
      <c r="D7" s="4" t="s">
        <v>2</v>
      </c>
      <c r="E7" s="4" t="s">
        <v>2</v>
      </c>
    </row>
    <row r="8" spans="1:5" x14ac:dyDescent="0.25">
      <c r="B8" s="29" t="s">
        <v>3</v>
      </c>
      <c r="C8" s="2" t="s">
        <v>4</v>
      </c>
      <c r="D8" s="4" t="s">
        <v>5</v>
      </c>
      <c r="E8" s="3" t="s">
        <v>5</v>
      </c>
    </row>
    <row r="9" spans="1:5" x14ac:dyDescent="0.25">
      <c r="C9" s="5" t="s">
        <v>6</v>
      </c>
      <c r="D9" s="4" t="s">
        <v>7</v>
      </c>
      <c r="E9" s="4" t="s">
        <v>8</v>
      </c>
    </row>
    <row r="10" spans="1:5" ht="5.0999999999999996" customHeight="1" x14ac:dyDescent="0.25"/>
    <row r="11" spans="1:5" x14ac:dyDescent="0.25">
      <c r="B11" s="6" t="s">
        <v>108</v>
      </c>
      <c r="C11" s="7"/>
      <c r="D11" s="7"/>
      <c r="E11" s="7"/>
    </row>
    <row r="12" spans="1:5" ht="5.0999999999999996" customHeight="1" x14ac:dyDescent="0.25"/>
    <row r="13" spans="1:5" x14ac:dyDescent="0.25">
      <c r="B13" s="30" t="s">
        <v>15</v>
      </c>
      <c r="C13" s="23"/>
      <c r="D13" s="23"/>
      <c r="E13" s="23"/>
    </row>
    <row r="14" spans="1:5" x14ac:dyDescent="0.25">
      <c r="B14" s="21" t="s">
        <v>9</v>
      </c>
      <c r="C14" s="22">
        <f>IF(AvoidEnergy="On",'Avoided Energy'!$D$29,0)</f>
        <v>18.192541629044101</v>
      </c>
      <c r="D14" s="22">
        <f>IF(AvoidEnergy="On",'Avoided Energy'!$D$30,0)</f>
        <v>29.628705334401541</v>
      </c>
      <c r="E14" s="22">
        <f>IF(AvoidEnergy="On",'Avoided Energy'!$D$31,0)</f>
        <v>24.61201507885005</v>
      </c>
    </row>
    <row r="15" spans="1:5" x14ac:dyDescent="0.25">
      <c r="B15" s="23" t="str">
        <f>+"Plus: Avoided Generation Capacity ("&amp;AvoidGenCapMethod&amp;")"</f>
        <v>Plus: Avoided Generation Capacity (ELCC)</v>
      </c>
      <c r="C15" s="24">
        <v>0</v>
      </c>
      <c r="D15" s="24">
        <v>0</v>
      </c>
      <c r="E15" s="24">
        <v>0</v>
      </c>
    </row>
    <row r="16" spans="1:5" x14ac:dyDescent="0.25">
      <c r="B16" s="23" t="s">
        <v>10</v>
      </c>
      <c r="C16" s="24">
        <v>0</v>
      </c>
      <c r="D16" s="24">
        <v>0</v>
      </c>
      <c r="E16" s="24">
        <v>0</v>
      </c>
    </row>
    <row r="17" spans="2:5" x14ac:dyDescent="0.25">
      <c r="B17" s="23" t="s">
        <v>11</v>
      </c>
      <c r="C17" s="24">
        <f>+IF(AvoidLineLoss="On",'Losses and Integration'!$D$9,0)*C14</f>
        <v>1.055167414484558</v>
      </c>
      <c r="D17" s="24">
        <f>+IF(AvoidLineLoss="On",'Losses and Integration'!$D$9,0)*D14</f>
        <v>1.7184649093952895</v>
      </c>
      <c r="E17" s="24">
        <f>+IF(AvoidLineLoss="On",'Losses and Integration'!$D$9,0)*E14</f>
        <v>1.427496874573303</v>
      </c>
    </row>
    <row r="18" spans="2:5" x14ac:dyDescent="0.25">
      <c r="B18" s="23" t="s">
        <v>116</v>
      </c>
      <c r="C18" s="24">
        <v>0</v>
      </c>
      <c r="D18" s="24">
        <v>0</v>
      </c>
      <c r="E18" s="24">
        <v>0</v>
      </c>
    </row>
    <row r="19" spans="2:5" x14ac:dyDescent="0.25">
      <c r="B19" s="25" t="s">
        <v>12</v>
      </c>
      <c r="C19" s="26">
        <f>+IF(IntegCost="On",-'Losses and Integration'!$D$10,0)</f>
        <v>-2.93</v>
      </c>
      <c r="D19" s="26">
        <f>+IF(IntegCost="On",-'Losses and Integration'!$D$10,0)</f>
        <v>-2.93</v>
      </c>
      <c r="E19" s="26">
        <f>+IF(IntegCost="On",-'Losses and Integration'!$D$10,0)</f>
        <v>-2.93</v>
      </c>
    </row>
    <row r="20" spans="2:5" x14ac:dyDescent="0.25">
      <c r="B20" s="27" t="s">
        <v>16</v>
      </c>
      <c r="C20" s="28">
        <f>+SUM(C14:C19)</f>
        <v>16.317709043528659</v>
      </c>
      <c r="D20" s="28">
        <f>+SUM(D14:D19)</f>
        <v>28.417170243796832</v>
      </c>
      <c r="E20" s="28">
        <f>+SUM(E14:E19)</f>
        <v>23.109511953423354</v>
      </c>
    </row>
    <row r="21" spans="2:5" ht="5.0999999999999996" customHeight="1" x14ac:dyDescent="0.25">
      <c r="B21" s="23"/>
      <c r="C21" s="23"/>
      <c r="D21" s="23"/>
      <c r="E21" s="23"/>
    </row>
    <row r="22" spans="2:5" x14ac:dyDescent="0.25">
      <c r="B22" s="30" t="s">
        <v>17</v>
      </c>
      <c r="C22" s="23"/>
      <c r="D22" s="23"/>
      <c r="E22" s="23"/>
    </row>
    <row r="23" spans="2:5" x14ac:dyDescent="0.25">
      <c r="B23" s="21" t="s">
        <v>9</v>
      </c>
      <c r="C23" s="22">
        <f>IF(AvoidEnergy="On",'Avoided Energy'!$D$26,0)</f>
        <v>26.332448692177763</v>
      </c>
      <c r="D23" s="22">
        <f>IF(AvoidEnergy="On",'Avoided Energy'!$D$27,0)</f>
        <v>40.778543537688542</v>
      </c>
      <c r="E23" s="22">
        <f>IF(AvoidEnergy="On",'Avoided Energy'!$D$28,0)</f>
        <v>45.621839115760622</v>
      </c>
    </row>
    <row r="24" spans="2:5" x14ac:dyDescent="0.25">
      <c r="B24" s="23" t="str">
        <f>+"Plus: Avoided Generation Capacity ("&amp;AvoidGenCapMethod&amp;")"</f>
        <v>Plus: Avoided Generation Capacity (ELCC)</v>
      </c>
      <c r="C24" s="24">
        <f>+IF(AvoidGenCap="On",IF(AvoidGenCapMethod="ELCC",'Generation Capacity'!$D$21,'Generation Capacity'!$D$22),0)</f>
        <v>99.900034436313348</v>
      </c>
      <c r="D24" s="24">
        <f>+IF(AvoidGenCap="On",IF(AvoidGenCapMethod="ELCC",'Generation Capacity'!$D$21,'Generation Capacity'!$D$22),0)</f>
        <v>99.900034436313348</v>
      </c>
      <c r="E24" s="24">
        <f>+IF(AvoidGenCap="On",IF(AvoidGenCapMethod="ELCC",'Generation Capacity'!$D$21,'Generation Capacity'!$D$22),0)</f>
        <v>99.900034436313348</v>
      </c>
    </row>
    <row r="25" spans="2:5" x14ac:dyDescent="0.25">
      <c r="B25" s="23" t="s">
        <v>10</v>
      </c>
      <c r="C25" s="24">
        <f>IF(TDdef="On",'T&amp;D Capacity'!$D$18,0)</f>
        <v>5.4519234884368224</v>
      </c>
      <c r="D25" s="24">
        <f>IF(TDdef="On",'T&amp;D Capacity'!$D$18,0)</f>
        <v>5.4519234884368224</v>
      </c>
      <c r="E25" s="24">
        <f>IF(TDdef="On",'T&amp;D Capacity'!$D$18,0)</f>
        <v>5.4519234884368224</v>
      </c>
    </row>
    <row r="26" spans="2:5" x14ac:dyDescent="0.25">
      <c r="B26" s="23" t="s">
        <v>11</v>
      </c>
      <c r="C26" s="24">
        <f>+IF(AvoidLineLoss="On",'Losses and Integration'!$D$9,0)*C23</f>
        <v>1.5272820241463103</v>
      </c>
      <c r="D26" s="24">
        <f>+IF(AvoidLineLoss="On",'Losses and Integration'!$D$9,0)*D23</f>
        <v>2.3651555251859357</v>
      </c>
      <c r="E26" s="24">
        <f>+IF(AvoidLineLoss="On",'Losses and Integration'!$D$9,0)*E23</f>
        <v>2.6460666687141163</v>
      </c>
    </row>
    <row r="27" spans="2:5" x14ac:dyDescent="0.25">
      <c r="B27" s="23" t="s">
        <v>116</v>
      </c>
      <c r="C27" s="24">
        <v>0</v>
      </c>
      <c r="D27" s="24">
        <v>0</v>
      </c>
      <c r="E27" s="24">
        <v>0</v>
      </c>
    </row>
    <row r="28" spans="2:5" x14ac:dyDescent="0.25">
      <c r="B28" s="25" t="s">
        <v>12</v>
      </c>
      <c r="C28" s="26">
        <f>+IF(IntegCost="On",-'Losses and Integration'!$D$10,0)</f>
        <v>-2.93</v>
      </c>
      <c r="D28" s="26">
        <f>+IF(IntegCost="On",-'Losses and Integration'!$D$10,0)</f>
        <v>-2.93</v>
      </c>
      <c r="E28" s="26">
        <f>+IF(IntegCost="On",-'Losses and Integration'!$D$10,0)</f>
        <v>-2.93</v>
      </c>
    </row>
    <row r="29" spans="2:5" x14ac:dyDescent="0.25">
      <c r="B29" s="27" t="s">
        <v>18</v>
      </c>
      <c r="C29" s="28">
        <f>+SUM(C23:C28)</f>
        <v>130.28168864107423</v>
      </c>
      <c r="D29" s="28">
        <f>+SUM(D23:D28)</f>
        <v>145.56565698762464</v>
      </c>
      <c r="E29" s="28">
        <f>+SUM(E23:E28)</f>
        <v>150.68986370922491</v>
      </c>
    </row>
    <row r="30" spans="2:5" ht="5.0999999999999996" customHeight="1" x14ac:dyDescent="0.25"/>
    <row r="31" spans="2:5" x14ac:dyDescent="0.25">
      <c r="B31" s="53" t="s">
        <v>109</v>
      </c>
    </row>
    <row r="37" spans="2:5" ht="5.0999999999999996" customHeight="1" x14ac:dyDescent="0.25"/>
    <row r="38" spans="2:5" ht="18.75" x14ac:dyDescent="0.25">
      <c r="B38" s="54" t="s">
        <v>14</v>
      </c>
      <c r="C38" s="31"/>
      <c r="D38" s="31"/>
      <c r="E38" s="55"/>
    </row>
    <row r="39" spans="2:5" ht="5.0999999999999996" customHeight="1" x14ac:dyDescent="0.25"/>
    <row r="40" spans="2:5" x14ac:dyDescent="0.25">
      <c r="C40" s="1">
        <v>-1</v>
      </c>
      <c r="D40" s="1">
        <v>-2</v>
      </c>
      <c r="E40" s="1">
        <v>-3</v>
      </c>
    </row>
    <row r="41" spans="2:5" x14ac:dyDescent="0.25">
      <c r="C41" s="2">
        <v>2021</v>
      </c>
      <c r="D41" s="4" t="s">
        <v>2</v>
      </c>
      <c r="E41" s="4" t="s">
        <v>2</v>
      </c>
    </row>
    <row r="42" spans="2:5" x14ac:dyDescent="0.25">
      <c r="B42" s="29" t="s">
        <v>3</v>
      </c>
      <c r="C42" s="2" t="s">
        <v>4</v>
      </c>
      <c r="D42" s="4" t="s">
        <v>5</v>
      </c>
      <c r="E42" s="3" t="s">
        <v>5</v>
      </c>
    </row>
    <row r="43" spans="2:5" x14ac:dyDescent="0.25">
      <c r="C43" s="5" t="s">
        <v>6</v>
      </c>
      <c r="D43" s="4" t="s">
        <v>7</v>
      </c>
      <c r="E43" s="4" t="s">
        <v>8</v>
      </c>
    </row>
    <row r="44" spans="2:5" ht="5.0999999999999996" customHeight="1" x14ac:dyDescent="0.25"/>
    <row r="45" spans="2:5" x14ac:dyDescent="0.25">
      <c r="B45" s="6" t="s">
        <v>108</v>
      </c>
      <c r="C45" s="7"/>
      <c r="D45" s="7"/>
      <c r="E45" s="7"/>
    </row>
    <row r="46" spans="2:5" ht="5.0999999999999996" customHeight="1" x14ac:dyDescent="0.25"/>
    <row r="47" spans="2:5" x14ac:dyDescent="0.25">
      <c r="B47" s="30" t="s">
        <v>15</v>
      </c>
      <c r="C47" s="23"/>
      <c r="D47" s="23"/>
      <c r="E47" s="23"/>
    </row>
    <row r="48" spans="2:5" x14ac:dyDescent="0.25">
      <c r="B48" s="21" t="s">
        <v>9</v>
      </c>
      <c r="C48" s="22">
        <f>IF(AvoidEnergy="On",'Avoided Energy'!$E$29,0)</f>
        <v>18.286995592030145</v>
      </c>
      <c r="D48" s="22">
        <f>IF(AvoidEnergy="On",'Avoided Energy'!$E$30,0)</f>
        <v>29.673685772966873</v>
      </c>
      <c r="E48" s="22">
        <f>IF(AvoidEnergy="On",'Avoided Energy'!$E$31,0)</f>
        <v>24.682104357693046</v>
      </c>
    </row>
    <row r="49" spans="2:5" x14ac:dyDescent="0.25">
      <c r="B49" s="23" t="str">
        <f>+"Plus: Avoided Generation Capacity ("&amp;AvoidGenCapMethod&amp;")"</f>
        <v>Plus: Avoided Generation Capacity (ELCC)</v>
      </c>
      <c r="C49" s="24">
        <v>0</v>
      </c>
      <c r="D49" s="24">
        <v>0</v>
      </c>
      <c r="E49" s="24">
        <v>0</v>
      </c>
    </row>
    <row r="50" spans="2:5" x14ac:dyDescent="0.25">
      <c r="B50" s="23" t="s">
        <v>10</v>
      </c>
      <c r="C50" s="24">
        <v>0</v>
      </c>
      <c r="D50" s="24">
        <v>0</v>
      </c>
      <c r="E50" s="24">
        <v>0</v>
      </c>
    </row>
    <row r="51" spans="2:5" x14ac:dyDescent="0.25">
      <c r="B51" s="23" t="s">
        <v>11</v>
      </c>
      <c r="C51" s="24">
        <f>+IF(AvoidLineLoss="On",'Losses and Integration'!$D$9,0)*C48</f>
        <v>1.0606457443377484</v>
      </c>
      <c r="D51" s="24">
        <f>+IF(AvoidLineLoss="On",'Losses and Integration'!$D$9,0)*D48</f>
        <v>1.7210737748320788</v>
      </c>
      <c r="E51" s="24">
        <f>+IF(AvoidLineLoss="On",'Losses and Integration'!$D$9,0)*E48</f>
        <v>1.4315620527461967</v>
      </c>
    </row>
    <row r="52" spans="2:5" x14ac:dyDescent="0.25">
      <c r="B52" s="23" t="s">
        <v>116</v>
      </c>
      <c r="C52" s="24">
        <v>0</v>
      </c>
      <c r="D52" s="24">
        <v>0</v>
      </c>
      <c r="E52" s="24">
        <v>0</v>
      </c>
    </row>
    <row r="53" spans="2:5" x14ac:dyDescent="0.25">
      <c r="B53" s="25" t="s">
        <v>12</v>
      </c>
      <c r="C53" s="26">
        <f>+IF(IntegCost="On",-'Losses and Integration'!$D$10,0)</f>
        <v>-2.93</v>
      </c>
      <c r="D53" s="26">
        <f>+IF(IntegCost="On",-'Losses and Integration'!$D$10,0)</f>
        <v>-2.93</v>
      </c>
      <c r="E53" s="26">
        <f>+IF(IntegCost="On",-'Losses and Integration'!$D$10,0)</f>
        <v>-2.93</v>
      </c>
    </row>
    <row r="54" spans="2:5" x14ac:dyDescent="0.25">
      <c r="B54" s="27" t="s">
        <v>16</v>
      </c>
      <c r="C54" s="28">
        <f>+SUM(C48:C53)</f>
        <v>16.417641336367893</v>
      </c>
      <c r="D54" s="28">
        <f>+SUM(D48:D53)</f>
        <v>28.464759547798952</v>
      </c>
      <c r="E54" s="28">
        <f>+SUM(E48:E53)</f>
        <v>23.183666410439244</v>
      </c>
    </row>
    <row r="55" spans="2:5" ht="5.0999999999999996" customHeight="1" x14ac:dyDescent="0.25">
      <c r="B55" s="23"/>
      <c r="C55" s="23"/>
      <c r="D55" s="23"/>
      <c r="E55" s="23"/>
    </row>
    <row r="56" spans="2:5" x14ac:dyDescent="0.25">
      <c r="B56" s="30" t="s">
        <v>17</v>
      </c>
      <c r="C56" s="23"/>
      <c r="D56" s="23"/>
      <c r="E56" s="23"/>
    </row>
    <row r="57" spans="2:5" x14ac:dyDescent="0.25">
      <c r="B57" s="21" t="s">
        <v>9</v>
      </c>
      <c r="C57" s="22">
        <f>IF(AvoidEnergy="On",'Avoided Energy'!$E$26,0)</f>
        <v>26.835176938717858</v>
      </c>
      <c r="D57" s="22">
        <f>IF(AvoidEnergy="On",'Avoided Energy'!$E$27,0)</f>
        <v>41.150957308974277</v>
      </c>
      <c r="E57" s="22">
        <f>IF(AvoidEnergy="On",'Avoided Energy'!$E$28,0)</f>
        <v>47.087791113551887</v>
      </c>
    </row>
    <row r="58" spans="2:5" x14ac:dyDescent="0.25">
      <c r="B58" s="23" t="str">
        <f>+"Plus: Avoided Generation Capacity ("&amp;AvoidGenCapMethod&amp;")"</f>
        <v>Plus: Avoided Generation Capacity (ELCC)</v>
      </c>
      <c r="C58" s="24">
        <f>+IF(AvoidGenCap="On",IF(AvoidGenCapMethod="ELCC",'Generation Capacity'!$E$21,'Generation Capacity'!$E$22),0)</f>
        <v>140.33367015229459</v>
      </c>
      <c r="D58" s="24">
        <f>+IF(AvoidGenCap="On",IF(AvoidGenCapMethod="ELCC",'Generation Capacity'!$E$21,'Generation Capacity'!$E$22),0)</f>
        <v>140.33367015229459</v>
      </c>
      <c r="E58" s="24">
        <f>+IF(AvoidGenCap="On",IF(AvoidGenCapMethod="ELCC",'Generation Capacity'!$E$21,'Generation Capacity'!$E$22),0)</f>
        <v>140.33367015229459</v>
      </c>
    </row>
    <row r="59" spans="2:5" x14ac:dyDescent="0.25">
      <c r="B59" s="23" t="s">
        <v>10</v>
      </c>
      <c r="C59" s="24">
        <f>IF(TDdef="On",'T&amp;D Capacity'!$E$18,0)</f>
        <v>3.4373219285243661</v>
      </c>
      <c r="D59" s="24">
        <f>IF(TDdef="On",'T&amp;D Capacity'!$E$18,0)</f>
        <v>3.4373219285243661</v>
      </c>
      <c r="E59" s="24">
        <f>IF(TDdef="On",'T&amp;D Capacity'!$E$18,0)</f>
        <v>3.4373219285243661</v>
      </c>
    </row>
    <row r="60" spans="2:5" x14ac:dyDescent="0.25">
      <c r="B60" s="23" t="s">
        <v>11</v>
      </c>
      <c r="C60" s="24">
        <f>+IF(AvoidLineLoss="On",'Losses and Integration'!$D$9,0)*C57</f>
        <v>1.5564402624456359</v>
      </c>
      <c r="D60" s="24">
        <f>+IF(AvoidLineLoss="On",'Losses and Integration'!$D$9,0)*D57</f>
        <v>2.3867555239205083</v>
      </c>
      <c r="E60" s="24">
        <f>+IF(AvoidLineLoss="On",'Losses and Integration'!$D$9,0)*E57</f>
        <v>2.7310918845860095</v>
      </c>
    </row>
    <row r="61" spans="2:5" x14ac:dyDescent="0.25">
      <c r="B61" s="23" t="s">
        <v>116</v>
      </c>
      <c r="C61" s="24">
        <v>0</v>
      </c>
      <c r="D61" s="24">
        <v>0</v>
      </c>
      <c r="E61" s="24">
        <v>0</v>
      </c>
    </row>
    <row r="62" spans="2:5" x14ac:dyDescent="0.25">
      <c r="B62" s="25" t="s">
        <v>12</v>
      </c>
      <c r="C62" s="26">
        <f>+IF(IntegCost="On",-'Losses and Integration'!$D$10,0)</f>
        <v>-2.93</v>
      </c>
      <c r="D62" s="26">
        <f>+IF(IntegCost="On",-'Losses and Integration'!$D$10,0)</f>
        <v>-2.93</v>
      </c>
      <c r="E62" s="26">
        <f>+IF(IntegCost="On",-'Losses and Integration'!$D$10,0)</f>
        <v>-2.93</v>
      </c>
    </row>
    <row r="63" spans="2:5" x14ac:dyDescent="0.25">
      <c r="B63" s="27" t="s">
        <v>18</v>
      </c>
      <c r="C63" s="28">
        <f>+SUM(C57:C62)</f>
        <v>169.23260928198246</v>
      </c>
      <c r="D63" s="28">
        <f>+SUM(D57:D62)</f>
        <v>184.37870491371373</v>
      </c>
      <c r="E63" s="28">
        <f>+SUM(E57:E62)</f>
        <v>190.65987507895684</v>
      </c>
    </row>
    <row r="64" spans="2:5" ht="5.0999999999999996" customHeight="1" x14ac:dyDescent="0.25"/>
    <row r="65" spans="2:2" x14ac:dyDescent="0.25">
      <c r="B65" s="53" t="s">
        <v>109</v>
      </c>
    </row>
  </sheetData>
  <pageMargins left="0.7" right="0.7" top="0.75" bottom="0.75" header="0.3" footer="0.3"/>
  <pageSetup scale="66" fitToHeight="0" orientation="landscape" r:id="rId1"/>
  <headerFooter scaleWithDoc="0">
    <oddFooter>&amp;L&amp;A&amp;RPage &amp;P of &amp;N</oddFooter>
  </headerFooter>
  <rowBreaks count="1" manualBreakCount="1">
    <brk id="37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9365E-5E02-4D42-9A41-A37C298D9153}">
  <sheetPr>
    <tabColor theme="4" tint="-0.249977111117893"/>
    <pageSetUpPr fitToPage="1"/>
  </sheetPr>
  <dimension ref="A1:E47"/>
  <sheetViews>
    <sheetView showGridLines="0" zoomScaleNormal="100" zoomScaleSheetLayoutView="85" workbookViewId="0"/>
  </sheetViews>
  <sheetFormatPr defaultRowHeight="15" x14ac:dyDescent="0.25"/>
  <cols>
    <col min="1" max="1" width="1.7109375" customWidth="1"/>
    <col min="2" max="2" width="31.42578125" customWidth="1"/>
    <col min="3" max="5" width="13.7109375" customWidth="1"/>
    <col min="6" max="6" width="1.7109375" customWidth="1"/>
  </cols>
  <sheetData>
    <row r="1" spans="1:5" x14ac:dyDescent="0.25">
      <c r="A1" s="8" t="str">
        <f>Options!A1</f>
        <v>Appendix 4.18</v>
      </c>
    </row>
    <row r="2" spans="1:5" x14ac:dyDescent="0.25">
      <c r="A2" t="str">
        <f>Options!A2</f>
        <v>Export Credit Rate Summary</v>
      </c>
    </row>
    <row r="3" spans="1:5" ht="4.9000000000000004" customHeight="1" x14ac:dyDescent="0.25"/>
    <row r="4" spans="1:5" ht="18.75" x14ac:dyDescent="0.3">
      <c r="B4" s="11" t="s">
        <v>106</v>
      </c>
      <c r="C4" s="11"/>
      <c r="D4" s="11"/>
      <c r="E4" s="12" t="s">
        <v>105</v>
      </c>
    </row>
    <row r="7" spans="1:5" ht="17.25" x14ac:dyDescent="0.4">
      <c r="B7" s="9" t="s">
        <v>37</v>
      </c>
      <c r="C7" s="9" t="s">
        <v>42</v>
      </c>
      <c r="D7" s="9" t="s">
        <v>22</v>
      </c>
      <c r="E7" s="9" t="s">
        <v>23</v>
      </c>
    </row>
    <row r="8" spans="1:5" x14ac:dyDescent="0.25">
      <c r="B8" t="str">
        <f>'Generation Capacity'!B10</f>
        <v>Total Exports</v>
      </c>
      <c r="C8" s="13" t="str">
        <f>'Generation Capacity'!C10</f>
        <v>MWh</v>
      </c>
      <c r="D8" s="34">
        <f>'Generation Capacity'!D10</f>
        <v>50012.690054150029</v>
      </c>
      <c r="E8" s="34">
        <f>'Generation Capacity'!E10</f>
        <v>59154.744290043665</v>
      </c>
    </row>
    <row r="9" spans="1:5" x14ac:dyDescent="0.25">
      <c r="B9" t="str">
        <f>'Generation Capacity'!B11</f>
        <v>On-Peak Exports</v>
      </c>
      <c r="C9" s="13" t="str">
        <f>'Generation Capacity'!C11</f>
        <v>MWh</v>
      </c>
      <c r="D9" s="34">
        <f>'Generation Capacity'!D11</f>
        <v>2817.934828899999</v>
      </c>
      <c r="E9" s="34">
        <f>'Generation Capacity'!E11</f>
        <v>4469.5159202500045</v>
      </c>
    </row>
    <row r="10" spans="1:5" x14ac:dyDescent="0.25">
      <c r="B10" t="s">
        <v>83</v>
      </c>
      <c r="C10" s="13" t="str">
        <f>'Generation Capacity'!C12</f>
        <v>MW</v>
      </c>
      <c r="D10" s="18">
        <f>+D8-D9</f>
        <v>47194.755225250032</v>
      </c>
      <c r="E10" s="18">
        <f>+E8-E9</f>
        <v>54685.228369793658</v>
      </c>
    </row>
    <row r="11" spans="1:5" ht="5.0999999999999996" customHeight="1" x14ac:dyDescent="0.25"/>
    <row r="12" spans="1:5" x14ac:dyDescent="0.25">
      <c r="B12" s="35" t="s">
        <v>84</v>
      </c>
      <c r="C12" s="36"/>
      <c r="D12" s="36"/>
      <c r="E12" s="36"/>
    </row>
    <row r="13" spans="1:5" ht="5.0999999999999996" customHeight="1" x14ac:dyDescent="0.25"/>
    <row r="14" spans="1:5" ht="17.25" x14ac:dyDescent="0.4">
      <c r="C14" s="9" t="str">
        <f>'ECR - Flat'!C9</f>
        <v>IRP</v>
      </c>
      <c r="D14" s="9" t="str">
        <f>'ECR - Flat'!D9</f>
        <v>ICE-Mid-C</v>
      </c>
      <c r="E14" s="9" t="str">
        <f>'ECR - Flat'!E9</f>
        <v>ELAP</v>
      </c>
    </row>
    <row r="15" spans="1:5" x14ac:dyDescent="0.25">
      <c r="B15" t="s">
        <v>85</v>
      </c>
      <c r="C15" s="38">
        <f>'ECR - Flat'!C19</f>
        <v>22.73894067494577</v>
      </c>
      <c r="D15" s="38">
        <f>'ECR - Flat'!D19</f>
        <v>35.017831007913642</v>
      </c>
      <c r="E15" s="38">
        <f>'ECR - Flat'!E19</f>
        <v>30.29794985401881</v>
      </c>
    </row>
    <row r="16" spans="1:5" ht="17.25" x14ac:dyDescent="0.4">
      <c r="B16" t="s">
        <v>86</v>
      </c>
      <c r="C16" s="39">
        <f>+$D$8</f>
        <v>50012.690054150029</v>
      </c>
      <c r="D16" s="39">
        <f>+$D$8</f>
        <v>50012.690054150029</v>
      </c>
      <c r="E16" s="39">
        <f>+$D$8</f>
        <v>50012.690054150029</v>
      </c>
    </row>
    <row r="17" spans="2:5" x14ac:dyDescent="0.25">
      <c r="B17" s="41" t="s">
        <v>92</v>
      </c>
      <c r="C17" s="42">
        <f>+C15*C16</f>
        <v>1137235.5921357679</v>
      </c>
      <c r="D17" s="42">
        <f>+D15*D16</f>
        <v>1751335.928567389</v>
      </c>
      <c r="E17" s="43">
        <f>+E15*E16</f>
        <v>1515281.9753252228</v>
      </c>
    </row>
    <row r="19" spans="2:5" x14ac:dyDescent="0.25">
      <c r="B19" t="s">
        <v>87</v>
      </c>
      <c r="C19" s="38">
        <f>'ECR - Flat'!C38</f>
        <v>27.963780877374653</v>
      </c>
      <c r="D19" s="38">
        <f>'ECR - Flat'!D38</f>
        <v>40.24504647770511</v>
      </c>
      <c r="E19" s="38">
        <f>'ECR - Flat'!E38</f>
        <v>35.837555627454023</v>
      </c>
    </row>
    <row r="20" spans="2:5" ht="17.25" x14ac:dyDescent="0.4">
      <c r="B20" t="s">
        <v>88</v>
      </c>
      <c r="C20" s="39">
        <f>+$E$8</f>
        <v>59154.744290043665</v>
      </c>
      <c r="D20" s="39">
        <f>+$E$8</f>
        <v>59154.744290043665</v>
      </c>
      <c r="E20" s="39">
        <f>+$E$8</f>
        <v>59154.744290043665</v>
      </c>
    </row>
    <row r="21" spans="2:5" x14ac:dyDescent="0.25">
      <c r="B21" s="44" t="s">
        <v>93</v>
      </c>
      <c r="C21" s="45">
        <f>+C19*C20</f>
        <v>1654190.3071839104</v>
      </c>
      <c r="D21" s="45">
        <f>+D19*D20</f>
        <v>2380685.4333295682</v>
      </c>
      <c r="E21" s="46">
        <f>+E19*E20</f>
        <v>2119961.4391222582</v>
      </c>
    </row>
    <row r="22" spans="2:5" ht="5.0999999999999996" customHeight="1" x14ac:dyDescent="0.25"/>
    <row r="23" spans="2:5" x14ac:dyDescent="0.25">
      <c r="B23" s="35" t="s">
        <v>89</v>
      </c>
      <c r="C23" s="36"/>
      <c r="D23" s="36"/>
      <c r="E23" s="36"/>
    </row>
    <row r="24" spans="2:5" ht="5.0999999999999996" customHeight="1" x14ac:dyDescent="0.25"/>
    <row r="25" spans="2:5" ht="17.25" x14ac:dyDescent="0.4">
      <c r="C25" s="9" t="str">
        <f t="shared" ref="C25:E25" si="0">C14</f>
        <v>IRP</v>
      </c>
      <c r="D25" s="9" t="str">
        <f t="shared" si="0"/>
        <v>ICE-Mid-C</v>
      </c>
      <c r="E25" s="9" t="str">
        <f t="shared" si="0"/>
        <v>ELAP</v>
      </c>
    </row>
    <row r="26" spans="2:5" x14ac:dyDescent="0.25">
      <c r="B26" t="s">
        <v>90</v>
      </c>
      <c r="C26" s="38">
        <f>'ECR - Time Variant'!C20</f>
        <v>16.317709043528659</v>
      </c>
      <c r="D26" s="38">
        <f>'ECR - Time Variant'!D20</f>
        <v>28.417170243796832</v>
      </c>
      <c r="E26" s="38">
        <f>'ECR - Time Variant'!E20</f>
        <v>23.109511953423354</v>
      </c>
    </row>
    <row r="27" spans="2:5" ht="17.25" x14ac:dyDescent="0.4">
      <c r="B27" t="s">
        <v>91</v>
      </c>
      <c r="C27" s="39">
        <f>$D$10</f>
        <v>47194.755225250032</v>
      </c>
      <c r="D27" s="39">
        <f t="shared" ref="D27:E27" si="1">$D$10</f>
        <v>47194.755225250032</v>
      </c>
      <c r="E27" s="39">
        <f t="shared" si="1"/>
        <v>47194.755225250032</v>
      </c>
    </row>
    <row r="28" spans="2:5" x14ac:dyDescent="0.25">
      <c r="B28" s="37" t="s">
        <v>96</v>
      </c>
      <c r="C28" s="40">
        <f>+C26*C27</f>
        <v>770110.28414618387</v>
      </c>
      <c r="D28" s="40">
        <f>+D26*D27</f>
        <v>1341141.3938502502</v>
      </c>
      <c r="E28" s="40">
        <f>+E26*E27</f>
        <v>1090647.7600168048</v>
      </c>
    </row>
    <row r="29" spans="2:5" ht="5.0999999999999996" customHeight="1" x14ac:dyDescent="0.25"/>
    <row r="30" spans="2:5" x14ac:dyDescent="0.25">
      <c r="B30" t="s">
        <v>94</v>
      </c>
      <c r="C30" s="38">
        <f>'ECR - Time Variant'!C29</f>
        <v>130.28168864107423</v>
      </c>
      <c r="D30" s="38">
        <f>'ECR - Time Variant'!D29</f>
        <v>145.56565698762464</v>
      </c>
      <c r="E30" s="38">
        <f>'ECR - Time Variant'!E29</f>
        <v>150.68986370922491</v>
      </c>
    </row>
    <row r="31" spans="2:5" ht="17.25" x14ac:dyDescent="0.4">
      <c r="B31" t="s">
        <v>95</v>
      </c>
      <c r="C31" s="39">
        <f>$D$9</f>
        <v>2817.934828899999</v>
      </c>
      <c r="D31" s="39">
        <f>$D$9</f>
        <v>2817.934828899999</v>
      </c>
      <c r="E31" s="39">
        <f>$D$9</f>
        <v>2817.934828899999</v>
      </c>
    </row>
    <row r="32" spans="2:5" x14ac:dyDescent="0.25">
      <c r="B32" s="37" t="s">
        <v>102</v>
      </c>
      <c r="C32" s="40">
        <f>+C30*C31</f>
        <v>367125.30798958847</v>
      </c>
      <c r="D32" s="40">
        <f>+D30*D31</f>
        <v>410194.53471713798</v>
      </c>
      <c r="E32" s="40">
        <f>+E30*E31</f>
        <v>424634.21530841885</v>
      </c>
    </row>
    <row r="33" spans="2:5" ht="5.0999999999999996" customHeight="1" x14ac:dyDescent="0.25"/>
    <row r="34" spans="2:5" x14ac:dyDescent="0.25">
      <c r="B34" s="41" t="s">
        <v>92</v>
      </c>
      <c r="C34" s="42">
        <f>+SUM(C32,C28)</f>
        <v>1137235.5921357723</v>
      </c>
      <c r="D34" s="42">
        <f>+SUM(D32,D28)</f>
        <v>1751335.9285673881</v>
      </c>
      <c r="E34" s="43">
        <f>+SUM(E32,E28)</f>
        <v>1515281.9753252235</v>
      </c>
    </row>
    <row r="36" spans="2:5" x14ac:dyDescent="0.25">
      <c r="B36" t="s">
        <v>97</v>
      </c>
      <c r="C36" s="38">
        <f>'ECR - Time Variant'!C54</f>
        <v>16.417641336367893</v>
      </c>
      <c r="D36" s="38">
        <f>'ECR - Time Variant'!D54</f>
        <v>28.464759547798952</v>
      </c>
      <c r="E36" s="38">
        <f>'ECR - Time Variant'!E54</f>
        <v>23.183666410439244</v>
      </c>
    </row>
    <row r="37" spans="2:5" ht="17.25" x14ac:dyDescent="0.4">
      <c r="B37" t="s">
        <v>98</v>
      </c>
      <c r="C37" s="39">
        <f>+$E$10</f>
        <v>54685.228369793658</v>
      </c>
      <c r="D37" s="39">
        <f t="shared" ref="D37:E37" si="2">+$E$10</f>
        <v>54685.228369793658</v>
      </c>
      <c r="E37" s="39">
        <f t="shared" si="2"/>
        <v>54685.228369793658</v>
      </c>
    </row>
    <row r="38" spans="2:5" x14ac:dyDescent="0.25">
      <c r="B38" s="37" t="s">
        <v>96</v>
      </c>
      <c r="C38" s="40">
        <f>+C36*C37</f>
        <v>897802.46577264264</v>
      </c>
      <c r="D38" s="40">
        <f>+D36*D37</f>
        <v>1556601.8763626502</v>
      </c>
      <c r="E38" s="40">
        <f>+E36*E37</f>
        <v>1267804.0921039844</v>
      </c>
    </row>
    <row r="39" spans="2:5" ht="5.0999999999999996" customHeight="1" x14ac:dyDescent="0.25"/>
    <row r="40" spans="2:5" x14ac:dyDescent="0.25">
      <c r="B40" t="s">
        <v>99</v>
      </c>
      <c r="C40" s="38">
        <v>130.28168864107423</v>
      </c>
      <c r="D40" s="38">
        <v>145.55675673629815</v>
      </c>
      <c r="E40" s="38">
        <v>154.43825178050719</v>
      </c>
    </row>
    <row r="41" spans="2:5" ht="17.25" x14ac:dyDescent="0.4">
      <c r="B41" t="s">
        <v>100</v>
      </c>
      <c r="C41" s="39">
        <f>$E$9</f>
        <v>4469.5159202500045</v>
      </c>
      <c r="D41" s="39">
        <f>$E$9</f>
        <v>4469.5159202500045</v>
      </c>
      <c r="E41" s="39">
        <f>$E$9</f>
        <v>4469.5159202500045</v>
      </c>
    </row>
    <row r="42" spans="2:5" x14ac:dyDescent="0.25">
      <c r="B42" s="37" t="s">
        <v>101</v>
      </c>
      <c r="C42" s="40">
        <f>+C40*C41</f>
        <v>582296.08149833546</v>
      </c>
      <c r="D42" s="40">
        <f>+D40*D41</f>
        <v>650568.2415328417</v>
      </c>
      <c r="E42" s="40">
        <f>+E40*E41</f>
        <v>690264.22502855549</v>
      </c>
    </row>
    <row r="43" spans="2:5" ht="5.0999999999999996" customHeight="1" x14ac:dyDescent="0.25"/>
    <row r="44" spans="2:5" x14ac:dyDescent="0.25">
      <c r="B44" s="44" t="s">
        <v>93</v>
      </c>
      <c r="C44" s="45">
        <f>+SUM(C42,C38)</f>
        <v>1480098.5472709781</v>
      </c>
      <c r="D44" s="45">
        <f>+SUM(D42,D38)</f>
        <v>2207170.1178954919</v>
      </c>
      <c r="E44" s="46">
        <f>+SUM(E42,E38)</f>
        <v>1958068.31713254</v>
      </c>
    </row>
    <row r="46" spans="2:5" x14ac:dyDescent="0.25">
      <c r="B46" s="47" t="s">
        <v>103</v>
      </c>
      <c r="C46" s="48">
        <f>+IF(C34-C17&lt;0.001,0,"Error")</f>
        <v>0</v>
      </c>
      <c r="D46" s="48">
        <f>+IF(D34-D17&lt;0.001,0,"Error")</f>
        <v>0</v>
      </c>
      <c r="E46" s="49">
        <f>+IF(E34-E17&lt;0.001,0,"Error")</f>
        <v>0</v>
      </c>
    </row>
    <row r="47" spans="2:5" x14ac:dyDescent="0.25">
      <c r="B47" s="50" t="s">
        <v>104</v>
      </c>
      <c r="C47" s="51">
        <f>+IF(C44-C21&lt;0.001,0,"Error")</f>
        <v>0</v>
      </c>
      <c r="D47" s="51">
        <f>+IF(D44-D21&lt;0.001,0,"Error")</f>
        <v>0</v>
      </c>
      <c r="E47" s="52">
        <f>+IF(E44-E21&lt;0.001,0,"Error")</f>
        <v>0</v>
      </c>
    </row>
  </sheetData>
  <pageMargins left="0.7" right="0.7" top="0.75" bottom="0.75" header="0.3" footer="0.3"/>
  <pageSetup fitToHeight="0" orientation="landscape" r:id="rId1"/>
  <headerFooter scaleWithDoc="0">
    <oddFooter>&amp;L&amp;A&amp;RPage &amp;P of &amp;N</oddFooter>
  </headerFooter>
  <rowBreaks count="1" manualBreakCount="1">
    <brk id="2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80B34-B2C3-4EB3-A3A2-66BFBAA294E6}">
  <sheetPr>
    <tabColor theme="3"/>
    <pageSetUpPr fitToPage="1"/>
  </sheetPr>
  <dimension ref="A1:G31"/>
  <sheetViews>
    <sheetView showGridLines="0" zoomScaleNormal="100" zoomScaleSheetLayoutView="100" workbookViewId="0"/>
  </sheetViews>
  <sheetFormatPr defaultRowHeight="15" x14ac:dyDescent="0.25"/>
  <cols>
    <col min="1" max="1" width="1.7109375" customWidth="1"/>
    <col min="2" max="2" width="26.7109375" customWidth="1"/>
    <col min="3" max="5" width="13.7109375" customWidth="1"/>
    <col min="6" max="6" width="1.7109375" customWidth="1"/>
    <col min="7" max="7" width="65.7109375" customWidth="1"/>
    <col min="8" max="8" width="1.7109375" customWidth="1"/>
  </cols>
  <sheetData>
    <row r="1" spans="1:7" x14ac:dyDescent="0.25">
      <c r="A1" s="8" t="str">
        <f>Options!A1</f>
        <v>Appendix 4.18</v>
      </c>
    </row>
    <row r="2" spans="1:7" x14ac:dyDescent="0.25">
      <c r="A2" t="str">
        <f>Options!A2</f>
        <v>Export Credit Rate Summary</v>
      </c>
    </row>
    <row r="3" spans="1:7" ht="4.9000000000000004" customHeight="1" x14ac:dyDescent="0.25"/>
    <row r="4" spans="1:7" ht="18.75" x14ac:dyDescent="0.3">
      <c r="B4" s="11" t="s">
        <v>9</v>
      </c>
      <c r="C4" s="11"/>
      <c r="D4" s="11"/>
      <c r="E4" s="11"/>
      <c r="F4" s="11"/>
      <c r="G4" s="12" t="s">
        <v>19</v>
      </c>
    </row>
    <row r="6" spans="1:7" ht="17.25" x14ac:dyDescent="0.4">
      <c r="D6" s="14" t="s">
        <v>3</v>
      </c>
      <c r="E6" s="14"/>
    </row>
    <row r="7" spans="1:7" ht="17.25" x14ac:dyDescent="0.4">
      <c r="B7" s="9" t="s">
        <v>20</v>
      </c>
      <c r="C7" s="9" t="s">
        <v>21</v>
      </c>
      <c r="D7" s="9" t="s">
        <v>22</v>
      </c>
      <c r="E7" s="9" t="s">
        <v>23</v>
      </c>
      <c r="G7" s="9" t="s">
        <v>24</v>
      </c>
    </row>
    <row r="8" spans="1:7" ht="5.0999999999999996" customHeight="1" x14ac:dyDescent="0.25"/>
    <row r="9" spans="1:7" x14ac:dyDescent="0.25">
      <c r="B9" t="s">
        <v>25</v>
      </c>
      <c r="C9" s="13" t="s">
        <v>26</v>
      </c>
      <c r="D9" s="16">
        <v>22.634926915690826</v>
      </c>
      <c r="E9" s="16">
        <v>22.976777767883831</v>
      </c>
      <c r="G9" t="s">
        <v>110</v>
      </c>
    </row>
    <row r="10" spans="1:7" x14ac:dyDescent="0.25">
      <c r="B10" t="s">
        <v>27</v>
      </c>
      <c r="C10" s="13" t="s">
        <v>26</v>
      </c>
      <c r="D10" s="16">
        <v>36.719582811785166</v>
      </c>
      <c r="E10" s="16">
        <v>37.064158244339751</v>
      </c>
      <c r="G10" t="s">
        <v>110</v>
      </c>
    </row>
    <row r="11" spans="1:7" x14ac:dyDescent="0.25">
      <c r="B11" t="s">
        <v>8</v>
      </c>
      <c r="C11" s="13" t="s">
        <v>26</v>
      </c>
      <c r="D11" s="16">
        <v>25.795800930772188</v>
      </c>
      <c r="E11" s="16">
        <v>26.374996024478595</v>
      </c>
      <c r="G11" t="s">
        <v>110</v>
      </c>
    </row>
    <row r="13" spans="1:7" x14ac:dyDescent="0.25">
      <c r="B13" t="s">
        <v>28</v>
      </c>
      <c r="C13" s="13" t="s">
        <v>29</v>
      </c>
      <c r="D13" s="16">
        <v>31.956855208953598</v>
      </c>
      <c r="E13" s="16">
        <v>32.566962304269246</v>
      </c>
      <c r="G13" t="s">
        <v>112</v>
      </c>
    </row>
    <row r="14" spans="1:7" x14ac:dyDescent="0.25">
      <c r="B14" t="s">
        <v>30</v>
      </c>
      <c r="C14" s="13" t="s">
        <v>29</v>
      </c>
      <c r="D14" s="16">
        <v>22.078327219713714</v>
      </c>
      <c r="E14" s="16">
        <v>22.192955815570567</v>
      </c>
      <c r="G14" t="s">
        <v>112</v>
      </c>
    </row>
    <row r="15" spans="1:7" x14ac:dyDescent="0.25">
      <c r="B15" t="s">
        <v>31</v>
      </c>
      <c r="C15" s="13" t="s">
        <v>29</v>
      </c>
      <c r="D15" s="16">
        <v>49.488523710787064</v>
      </c>
      <c r="E15" s="16">
        <v>49.940482171085293</v>
      </c>
      <c r="G15" t="s">
        <v>112</v>
      </c>
    </row>
    <row r="16" spans="1:7" x14ac:dyDescent="0.25">
      <c r="B16" t="s">
        <v>32</v>
      </c>
      <c r="C16" s="13" t="s">
        <v>29</v>
      </c>
      <c r="D16" s="16">
        <v>35.957166667963037</v>
      </c>
      <c r="E16" s="16">
        <v>36.011754578843295</v>
      </c>
      <c r="G16" t="s">
        <v>112</v>
      </c>
    </row>
    <row r="17" spans="2:7" x14ac:dyDescent="0.25">
      <c r="B17" t="s">
        <v>33</v>
      </c>
      <c r="C17" s="13" t="s">
        <v>29</v>
      </c>
      <c r="D17" s="16">
        <v>45.621839115760622</v>
      </c>
      <c r="E17" s="16">
        <v>47.087791113551887</v>
      </c>
      <c r="G17" t="s">
        <v>112</v>
      </c>
    </row>
    <row r="18" spans="2:7" x14ac:dyDescent="0.25">
      <c r="B18" t="s">
        <v>34</v>
      </c>
      <c r="C18" s="13" t="s">
        <v>29</v>
      </c>
      <c r="D18" s="16">
        <v>24.61201507885005</v>
      </c>
      <c r="E18" s="16">
        <v>24.682104357693046</v>
      </c>
      <c r="G18" t="s">
        <v>112</v>
      </c>
    </row>
    <row r="20" spans="2:7" x14ac:dyDescent="0.25">
      <c r="B20" t="s">
        <v>35</v>
      </c>
      <c r="D20" s="10">
        <v>0.82399999999999995</v>
      </c>
    </row>
    <row r="22" spans="2:7" x14ac:dyDescent="0.25">
      <c r="B22" t="s">
        <v>25</v>
      </c>
      <c r="C22" s="13" t="s">
        <v>26</v>
      </c>
      <c r="D22" s="15">
        <f>+D9*$D$20</f>
        <v>18.65117977852924</v>
      </c>
      <c r="E22" s="15">
        <f>+E9*$D$20</f>
        <v>18.932864880736275</v>
      </c>
    </row>
    <row r="23" spans="2:7" x14ac:dyDescent="0.25">
      <c r="B23" t="s">
        <v>27</v>
      </c>
      <c r="C23" s="13" t="s">
        <v>26</v>
      </c>
      <c r="D23" s="15">
        <f>+D10*$D$20</f>
        <v>30.256936236910974</v>
      </c>
      <c r="E23" s="15">
        <f>+E10*$D$20</f>
        <v>30.540866393335953</v>
      </c>
    </row>
    <row r="24" spans="2:7" x14ac:dyDescent="0.25">
      <c r="B24" t="s">
        <v>8</v>
      </c>
      <c r="C24" s="13" t="s">
        <v>26</v>
      </c>
      <c r="D24" s="15">
        <f>+D11</f>
        <v>25.795800930772188</v>
      </c>
      <c r="E24" s="15">
        <f>+E11</f>
        <v>26.374996024478595</v>
      </c>
    </row>
    <row r="26" spans="2:7" x14ac:dyDescent="0.25">
      <c r="B26" t="s">
        <v>28</v>
      </c>
      <c r="C26" s="13" t="s">
        <v>29</v>
      </c>
      <c r="D26" s="15">
        <f t="shared" ref="D26:E26" si="0">+D13*$D$20</f>
        <v>26.332448692177763</v>
      </c>
      <c r="E26" s="15">
        <f t="shared" si="0"/>
        <v>26.835176938717858</v>
      </c>
    </row>
    <row r="27" spans="2:7" x14ac:dyDescent="0.25">
      <c r="B27" t="s">
        <v>31</v>
      </c>
      <c r="C27" s="13" t="s">
        <v>29</v>
      </c>
      <c r="D27" s="15">
        <f>+D15*$D$20</f>
        <v>40.778543537688542</v>
      </c>
      <c r="E27" s="15">
        <f>+E15*$D$20</f>
        <v>41.150957308974277</v>
      </c>
    </row>
    <row r="28" spans="2:7" x14ac:dyDescent="0.25">
      <c r="B28" t="s">
        <v>33</v>
      </c>
      <c r="C28" s="13" t="s">
        <v>29</v>
      </c>
      <c r="D28" s="15">
        <f>+D17</f>
        <v>45.621839115760622</v>
      </c>
      <c r="E28" s="15">
        <f>+E17</f>
        <v>47.087791113551887</v>
      </c>
    </row>
    <row r="29" spans="2:7" x14ac:dyDescent="0.25">
      <c r="B29" t="s">
        <v>30</v>
      </c>
      <c r="C29" s="13" t="s">
        <v>29</v>
      </c>
      <c r="D29" s="15">
        <f t="shared" ref="D29:E29" si="1">+D14*$D$20</f>
        <v>18.192541629044101</v>
      </c>
      <c r="E29" s="15">
        <f t="shared" si="1"/>
        <v>18.286995592030145</v>
      </c>
    </row>
    <row r="30" spans="2:7" x14ac:dyDescent="0.25">
      <c r="B30" t="s">
        <v>32</v>
      </c>
      <c r="C30" s="13" t="s">
        <v>29</v>
      </c>
      <c r="D30" s="15">
        <f t="shared" ref="D30:E30" si="2">+D16*$D$20</f>
        <v>29.628705334401541</v>
      </c>
      <c r="E30" s="15">
        <f t="shared" si="2"/>
        <v>29.673685772966873</v>
      </c>
    </row>
    <row r="31" spans="2:7" x14ac:dyDescent="0.25">
      <c r="B31" t="s">
        <v>34</v>
      </c>
      <c r="C31" s="13" t="s">
        <v>29</v>
      </c>
      <c r="D31" s="15">
        <f t="shared" ref="D31" si="3">+D18</f>
        <v>24.61201507885005</v>
      </c>
      <c r="E31" s="15">
        <f t="shared" ref="E31" si="4">+E18</f>
        <v>24.682104357693046</v>
      </c>
    </row>
  </sheetData>
  <pageMargins left="0.7" right="0.7" top="0.75" bottom="0.75" header="0.3" footer="0.3"/>
  <pageSetup scale="88" fitToHeight="0" orientation="landscape" r:id="rId1"/>
  <headerFooter scaleWithDoc="0">
    <oddFooter>&amp;L&amp;A&amp;RPage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2FF8-1B3B-44FD-8E5B-139EA5849B0E}">
  <sheetPr>
    <tabColor theme="3"/>
    <pageSetUpPr fitToPage="1"/>
  </sheetPr>
  <dimension ref="A1:G22"/>
  <sheetViews>
    <sheetView showGridLines="0" zoomScaleNormal="100" zoomScaleSheetLayoutView="100" workbookViewId="0"/>
  </sheetViews>
  <sheetFormatPr defaultRowHeight="15" x14ac:dyDescent="0.25"/>
  <cols>
    <col min="1" max="1" width="1.7109375" customWidth="1"/>
    <col min="2" max="2" width="26.7109375" customWidth="1"/>
    <col min="3" max="5" width="13.7109375" customWidth="1"/>
    <col min="6" max="6" width="1.7109375" customWidth="1"/>
    <col min="7" max="7" width="75.7109375" customWidth="1"/>
    <col min="8" max="8" width="1.7109375" customWidth="1"/>
  </cols>
  <sheetData>
    <row r="1" spans="1:7" x14ac:dyDescent="0.25">
      <c r="A1" s="8" t="str">
        <f>Options!A1</f>
        <v>Appendix 4.18</v>
      </c>
    </row>
    <row r="2" spans="1:7" x14ac:dyDescent="0.25">
      <c r="A2" t="str">
        <f>Options!A2</f>
        <v>Export Credit Rate Summary</v>
      </c>
    </row>
    <row r="3" spans="1:7" ht="4.9000000000000004" customHeight="1" x14ac:dyDescent="0.25"/>
    <row r="4" spans="1:7" ht="18.75" x14ac:dyDescent="0.3">
      <c r="B4" s="11" t="s">
        <v>36</v>
      </c>
      <c r="C4" s="11"/>
      <c r="D4" s="11"/>
      <c r="E4" s="11"/>
      <c r="F4" s="11"/>
      <c r="G4" s="12" t="s">
        <v>19</v>
      </c>
    </row>
    <row r="7" spans="1:7" ht="17.25" x14ac:dyDescent="0.4">
      <c r="B7" s="9" t="s">
        <v>37</v>
      </c>
      <c r="C7" s="9" t="s">
        <v>38</v>
      </c>
      <c r="D7" s="9" t="s">
        <v>22</v>
      </c>
      <c r="E7" s="9" t="s">
        <v>23</v>
      </c>
      <c r="G7" s="9" t="s">
        <v>24</v>
      </c>
    </row>
    <row r="8" spans="1:7" ht="5.0999999999999996" customHeight="1" x14ac:dyDescent="0.25"/>
    <row r="9" spans="1:7" x14ac:dyDescent="0.25">
      <c r="B9" t="s">
        <v>39</v>
      </c>
      <c r="C9" s="13" t="s">
        <v>40</v>
      </c>
      <c r="D9" s="16">
        <v>128.4</v>
      </c>
      <c r="E9" s="15">
        <f>+D9</f>
        <v>128.4</v>
      </c>
      <c r="G9" t="s">
        <v>119</v>
      </c>
    </row>
    <row r="10" spans="1:7" x14ac:dyDescent="0.25">
      <c r="B10" t="s">
        <v>41</v>
      </c>
      <c r="C10" s="13" t="s">
        <v>42</v>
      </c>
      <c r="D10" s="57">
        <v>50012.690054150029</v>
      </c>
      <c r="E10" s="57">
        <v>59154.744290043665</v>
      </c>
      <c r="G10" t="s">
        <v>118</v>
      </c>
    </row>
    <row r="11" spans="1:7" x14ac:dyDescent="0.25">
      <c r="B11" t="s">
        <v>43</v>
      </c>
      <c r="C11" s="13" t="s">
        <v>42</v>
      </c>
      <c r="D11" s="57">
        <v>2817.934828899999</v>
      </c>
      <c r="E11" s="57">
        <v>4469.5159202500045</v>
      </c>
      <c r="G11" t="s">
        <v>113</v>
      </c>
    </row>
    <row r="12" spans="1:7" x14ac:dyDescent="0.25">
      <c r="B12" t="s">
        <v>44</v>
      </c>
      <c r="C12" s="13" t="s">
        <v>45</v>
      </c>
      <c r="D12" s="57">
        <v>64.114400000000003</v>
      </c>
      <c r="E12" s="18">
        <f>+D12</f>
        <v>64.114400000000003</v>
      </c>
      <c r="G12" t="s">
        <v>120</v>
      </c>
    </row>
    <row r="13" spans="1:7" x14ac:dyDescent="0.25">
      <c r="B13" t="s">
        <v>46</v>
      </c>
      <c r="C13" s="13" t="s">
        <v>47</v>
      </c>
      <c r="D13" s="17">
        <v>3.4196052618444127E-2</v>
      </c>
      <c r="E13" s="17">
        <v>7.6190665310756217E-2</v>
      </c>
      <c r="G13" t="s">
        <v>121</v>
      </c>
    </row>
    <row r="14" spans="1:7" x14ac:dyDescent="0.25">
      <c r="B14" t="s">
        <v>49</v>
      </c>
      <c r="C14" s="13" t="s">
        <v>47</v>
      </c>
      <c r="D14" s="17">
        <v>6.1788269028481405E-2</v>
      </c>
      <c r="E14" s="17">
        <v>0.10311269910594181</v>
      </c>
      <c r="G14" t="s">
        <v>121</v>
      </c>
    </row>
    <row r="15" spans="1:7" x14ac:dyDescent="0.25">
      <c r="B15" t="s">
        <v>48</v>
      </c>
      <c r="C15" s="13" t="s">
        <v>47</v>
      </c>
      <c r="D15" s="17">
        <v>3.4196052618444127E-2</v>
      </c>
      <c r="E15" s="17">
        <v>7.6190665310756217E-2</v>
      </c>
      <c r="G15" t="s">
        <v>121</v>
      </c>
    </row>
    <row r="16" spans="1:7" x14ac:dyDescent="0.25">
      <c r="B16" t="s">
        <v>50</v>
      </c>
      <c r="C16" s="13" t="s">
        <v>47</v>
      </c>
      <c r="D16" s="17">
        <v>6.1788269028481405E-2</v>
      </c>
      <c r="E16" s="17">
        <v>0.10311269910594181</v>
      </c>
      <c r="G16" t="s">
        <v>121</v>
      </c>
    </row>
    <row r="18" spans="2:7" ht="17.25" x14ac:dyDescent="0.4">
      <c r="B18" s="9" t="s">
        <v>51</v>
      </c>
    </row>
    <row r="19" spans="2:7" x14ac:dyDescent="0.25">
      <c r="B19" t="s">
        <v>52</v>
      </c>
      <c r="C19" s="13" t="s">
        <v>3</v>
      </c>
      <c r="D19" s="15">
        <f>+(D13*D$12*D$9*1000)/D10</f>
        <v>5.6288071315819366</v>
      </c>
      <c r="E19" s="15">
        <f>+(E13*E$12*E$9*1000)/E10</f>
        <v>10.603098372252816</v>
      </c>
      <c r="G19" t="s">
        <v>53</v>
      </c>
    </row>
    <row r="20" spans="2:7" x14ac:dyDescent="0.25">
      <c r="B20" t="s">
        <v>56</v>
      </c>
      <c r="C20" s="13" t="s">
        <v>3</v>
      </c>
      <c r="D20" s="15">
        <f>+(D14*D$12*D$9*1000)/D10</f>
        <v>10.170596391234692</v>
      </c>
      <c r="E20" s="15">
        <f>+(E14*E$12*E$9*1000)/E10</f>
        <v>14.349711839233109</v>
      </c>
      <c r="G20" t="s">
        <v>53</v>
      </c>
    </row>
    <row r="21" spans="2:7" x14ac:dyDescent="0.25">
      <c r="B21" t="s">
        <v>54</v>
      </c>
      <c r="C21" s="13" t="s">
        <v>3</v>
      </c>
      <c r="D21" s="15">
        <f>+(D15*D$12*D$9*1000)/D11</f>
        <v>99.900034436313348</v>
      </c>
      <c r="E21" s="15">
        <f>+(E15*E$12*E$9*1000)/E11</f>
        <v>140.33367015229459</v>
      </c>
      <c r="G21" t="s">
        <v>55</v>
      </c>
    </row>
    <row r="22" spans="2:7" x14ac:dyDescent="0.25">
      <c r="B22" t="s">
        <v>57</v>
      </c>
      <c r="C22" s="13" t="s">
        <v>3</v>
      </c>
      <c r="D22" s="15">
        <f>+(D16*D$12*D$9*1000)/D11</f>
        <v>180.50768235092082</v>
      </c>
      <c r="E22" s="15">
        <f>+(E16*E$12*E$9*1000)/E11</f>
        <v>189.92068707927675</v>
      </c>
      <c r="G22" t="s">
        <v>55</v>
      </c>
    </row>
  </sheetData>
  <pageMargins left="0.7" right="0.7" top="0.75" bottom="0.75" header="0.3" footer="0.3"/>
  <pageSetup scale="82" fitToHeight="0" orientation="landscape" r:id="rId1"/>
  <headerFooter scaleWithDoc="0">
    <oddFooter>&amp;L&amp;A&amp;RPage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BFCB3-C353-44CC-A2D3-31FDEC899DFC}">
  <sheetPr>
    <tabColor theme="3"/>
    <pageSetUpPr fitToPage="1"/>
  </sheetPr>
  <dimension ref="A1:G18"/>
  <sheetViews>
    <sheetView showGridLines="0" zoomScaleNormal="100" zoomScaleSheetLayoutView="100" workbookViewId="0"/>
  </sheetViews>
  <sheetFormatPr defaultRowHeight="15" x14ac:dyDescent="0.25"/>
  <cols>
    <col min="1" max="1" width="1.7109375" customWidth="1"/>
    <col min="2" max="2" width="26.7109375" customWidth="1"/>
    <col min="3" max="5" width="13.7109375" customWidth="1"/>
    <col min="6" max="6" width="1.7109375" customWidth="1"/>
    <col min="7" max="7" width="75.7109375" customWidth="1"/>
    <col min="8" max="8" width="1.7109375" customWidth="1"/>
  </cols>
  <sheetData>
    <row r="1" spans="1:7" x14ac:dyDescent="0.25">
      <c r="A1" s="8" t="str">
        <f>Options!A1</f>
        <v>Appendix 4.18</v>
      </c>
    </row>
    <row r="2" spans="1:7" x14ac:dyDescent="0.25">
      <c r="A2" t="str">
        <f>Options!A2</f>
        <v>Export Credit Rate Summary</v>
      </c>
    </row>
    <row r="3" spans="1:7" ht="4.9000000000000004" customHeight="1" x14ac:dyDescent="0.25"/>
    <row r="4" spans="1:7" ht="18.75" x14ac:dyDescent="0.3">
      <c r="B4" s="11" t="s">
        <v>58</v>
      </c>
      <c r="C4" s="11"/>
      <c r="D4" s="11"/>
      <c r="E4" s="11"/>
      <c r="F4" s="11"/>
      <c r="G4" s="12" t="s">
        <v>19</v>
      </c>
    </row>
    <row r="7" spans="1:7" ht="17.25" x14ac:dyDescent="0.4">
      <c r="B7" s="9" t="s">
        <v>37</v>
      </c>
      <c r="C7" s="9" t="s">
        <v>38</v>
      </c>
      <c r="D7" s="9" t="s">
        <v>22</v>
      </c>
      <c r="E7" s="9" t="s">
        <v>23</v>
      </c>
      <c r="G7" s="9" t="s">
        <v>24</v>
      </c>
    </row>
    <row r="8" spans="1:7" ht="5.0999999999999996" customHeight="1" x14ac:dyDescent="0.25"/>
    <row r="9" spans="1:7" x14ac:dyDescent="0.25">
      <c r="B9" t="s">
        <v>41</v>
      </c>
      <c r="C9" s="13" t="s">
        <v>42</v>
      </c>
      <c r="D9" s="58">
        <f>'Generation Capacity'!D10</f>
        <v>50012.690054150029</v>
      </c>
      <c r="E9" s="58">
        <f>'Generation Capacity'!E10</f>
        <v>59154.744290043665</v>
      </c>
      <c r="G9" t="s">
        <v>111</v>
      </c>
    </row>
    <row r="10" spans="1:7" x14ac:dyDescent="0.25">
      <c r="B10" t="s">
        <v>43</v>
      </c>
      <c r="C10" s="13" t="s">
        <v>42</v>
      </c>
      <c r="D10" s="58">
        <f>'Generation Capacity'!D11</f>
        <v>2817.934828899999</v>
      </c>
      <c r="E10" s="58">
        <f>'Generation Capacity'!E11</f>
        <v>4469.5159202500045</v>
      </c>
      <c r="G10" t="s">
        <v>113</v>
      </c>
    </row>
    <row r="11" spans="1:7" x14ac:dyDescent="0.25">
      <c r="B11" t="s">
        <v>59</v>
      </c>
      <c r="C11" s="13" t="s">
        <v>60</v>
      </c>
      <c r="D11" s="59">
        <v>307263.30165128206</v>
      </c>
      <c r="E11" s="19">
        <f t="shared" ref="E11:E13" si="0">+D11</f>
        <v>307263.30165128206</v>
      </c>
      <c r="G11" t="s">
        <v>122</v>
      </c>
    </row>
    <row r="12" spans="1:7" x14ac:dyDescent="0.25">
      <c r="B12" t="s">
        <v>61</v>
      </c>
      <c r="C12" s="13" t="s">
        <v>60</v>
      </c>
      <c r="D12" s="59">
        <v>0</v>
      </c>
      <c r="E12" s="19">
        <f t="shared" si="0"/>
        <v>0</v>
      </c>
      <c r="G12" t="s">
        <v>122</v>
      </c>
    </row>
    <row r="13" spans="1:7" x14ac:dyDescent="0.25">
      <c r="B13" t="s">
        <v>62</v>
      </c>
      <c r="C13" s="13" t="s">
        <v>63</v>
      </c>
      <c r="D13" s="60">
        <v>20</v>
      </c>
      <c r="E13" s="20">
        <f t="shared" si="0"/>
        <v>20</v>
      </c>
      <c r="G13" t="s">
        <v>123</v>
      </c>
    </row>
    <row r="14" spans="1:7" x14ac:dyDescent="0.25">
      <c r="B14" t="s">
        <v>64</v>
      </c>
      <c r="C14" s="13" t="s">
        <v>65</v>
      </c>
      <c r="D14" s="19">
        <f>+SUM(D11:D12)/D13</f>
        <v>15363.165082564103</v>
      </c>
      <c r="E14" s="19">
        <f>+SUM(E11:E12)/E13</f>
        <v>15363.165082564103</v>
      </c>
      <c r="G14" t="s">
        <v>53</v>
      </c>
    </row>
    <row r="16" spans="1:7" ht="17.25" x14ac:dyDescent="0.4">
      <c r="B16" s="9" t="s">
        <v>66</v>
      </c>
    </row>
    <row r="17" spans="2:7" x14ac:dyDescent="0.25">
      <c r="B17" t="s">
        <v>13</v>
      </c>
      <c r="C17" s="13" t="s">
        <v>3</v>
      </c>
      <c r="D17" s="15">
        <f>+D$14/D9</f>
        <v>0.30718533767989697</v>
      </c>
      <c r="E17" s="15">
        <f>+E$14/E9</f>
        <v>0.25971146130285744</v>
      </c>
      <c r="G17" t="s">
        <v>67</v>
      </c>
    </row>
    <row r="18" spans="2:7" x14ac:dyDescent="0.25">
      <c r="B18" t="s">
        <v>68</v>
      </c>
      <c r="C18" s="13" t="s">
        <v>3</v>
      </c>
      <c r="D18" s="15">
        <f>+D$14/D10</f>
        <v>5.4519234884368224</v>
      </c>
      <c r="E18" s="15">
        <f>+E$14/E10</f>
        <v>3.4373219285243661</v>
      </c>
      <c r="G18" t="s">
        <v>69</v>
      </c>
    </row>
  </sheetData>
  <pageMargins left="0.7" right="0.7" top="0.75" bottom="0.75" header="0.3" footer="0.3"/>
  <pageSetup scale="82" fitToHeight="0" orientation="landscape" r:id="rId1"/>
  <headerFooter scaleWithDoc="0">
    <oddFooter>&amp;L&amp;A&amp;RPage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A6E9D-5529-4968-A215-AFA02F72CFBE}">
  <sheetPr>
    <tabColor theme="3"/>
    <pageSetUpPr fitToPage="1"/>
  </sheetPr>
  <dimension ref="A1:G10"/>
  <sheetViews>
    <sheetView showGridLines="0" zoomScaleNormal="100" workbookViewId="0"/>
  </sheetViews>
  <sheetFormatPr defaultRowHeight="15" x14ac:dyDescent="0.25"/>
  <cols>
    <col min="1" max="1" width="1.7109375" customWidth="1"/>
    <col min="2" max="2" width="26.7109375" customWidth="1"/>
    <col min="3" max="5" width="13.7109375" customWidth="1"/>
    <col min="6" max="6" width="1.7109375" customWidth="1"/>
    <col min="7" max="7" width="75.7109375" customWidth="1"/>
    <col min="8" max="8" width="1.7109375" customWidth="1"/>
  </cols>
  <sheetData>
    <row r="1" spans="1:7" x14ac:dyDescent="0.25">
      <c r="A1" s="8" t="str">
        <f>Options!A1</f>
        <v>Appendix 4.18</v>
      </c>
    </row>
    <row r="2" spans="1:7" x14ac:dyDescent="0.25">
      <c r="A2" t="str">
        <f>Options!A2</f>
        <v>Export Credit Rate Summary</v>
      </c>
    </row>
    <row r="3" spans="1:7" ht="4.9000000000000004" customHeight="1" x14ac:dyDescent="0.25"/>
    <row r="4" spans="1:7" ht="18.75" x14ac:dyDescent="0.3">
      <c r="B4" s="11" t="s">
        <v>70</v>
      </c>
      <c r="C4" s="11"/>
      <c r="D4" s="11"/>
      <c r="E4" s="11"/>
      <c r="F4" s="11"/>
      <c r="G4" s="12" t="s">
        <v>37</v>
      </c>
    </row>
    <row r="7" spans="1:7" ht="17.25" x14ac:dyDescent="0.4">
      <c r="B7" s="9" t="s">
        <v>37</v>
      </c>
      <c r="C7" s="9" t="s">
        <v>38</v>
      </c>
      <c r="D7" s="9" t="s">
        <v>71</v>
      </c>
      <c r="G7" s="9" t="s">
        <v>24</v>
      </c>
    </row>
    <row r="8" spans="1:7" ht="5.0999999999999996" customHeight="1" x14ac:dyDescent="0.25"/>
    <row r="9" spans="1:7" x14ac:dyDescent="0.25">
      <c r="B9" t="s">
        <v>72</v>
      </c>
      <c r="C9" s="13" t="s">
        <v>47</v>
      </c>
      <c r="D9" s="17">
        <v>5.8000000000000003E-2</v>
      </c>
      <c r="G9" t="s">
        <v>73</v>
      </c>
    </row>
    <row r="10" spans="1:7" x14ac:dyDescent="0.25">
      <c r="B10" t="s">
        <v>74</v>
      </c>
      <c r="C10" s="13" t="s">
        <v>3</v>
      </c>
      <c r="D10" s="16">
        <v>2.93</v>
      </c>
      <c r="G10" t="s">
        <v>114</v>
      </c>
    </row>
  </sheetData>
  <pageMargins left="0.7" right="0.7" top="0.75" bottom="0.75" header="0.3" footer="0.3"/>
  <pageSetup scale="82" fitToHeight="0" orientation="landscape" r:id="rId1"/>
  <headerFooter scaleWithDoc="0"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B9634-8692-4C57-AB90-C7C3310580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ADF842-5704-464F-98AF-ACFC42BB6BD6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85247408-4876-4c58-8512-699e0b1fe3a7"/>
    <ds:schemaRef ds:uri="http://www.w3.org/XML/1998/namespace"/>
    <ds:schemaRef ds:uri="http://schemas.microsoft.com/office/infopath/2007/PartnerControls"/>
    <ds:schemaRef ds:uri="530c9a66-7473-4e82-81fb-9d30d591927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15D7CA-C9D4-4FAD-A7AF-AC75865A0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Options</vt:lpstr>
      <vt:lpstr>ECR - Flat</vt:lpstr>
      <vt:lpstr>ECR - Time Variant</vt:lpstr>
      <vt:lpstr>Check</vt:lpstr>
      <vt:lpstr>Avoided Energy</vt:lpstr>
      <vt:lpstr>Generation Capacity</vt:lpstr>
      <vt:lpstr>T&amp;D Capacity</vt:lpstr>
      <vt:lpstr>Losses and Integration</vt:lpstr>
      <vt:lpstr>AvoidEnergy</vt:lpstr>
      <vt:lpstr>AvoidGenCap</vt:lpstr>
      <vt:lpstr>AvoidGenCapMethod</vt:lpstr>
      <vt:lpstr>AvoidLineLoss</vt:lpstr>
      <vt:lpstr>IntegCost</vt:lpstr>
      <vt:lpstr>'Avoided Energy'!Print_Area</vt:lpstr>
      <vt:lpstr>Check!Print_Area</vt:lpstr>
      <vt:lpstr>'ECR - Flat'!Print_Area</vt:lpstr>
      <vt:lpstr>'ECR - Time Variant'!Print_Area</vt:lpstr>
      <vt:lpstr>'Generation Capacity'!Print_Area</vt:lpstr>
      <vt:lpstr>'Losses and Integration'!Print_Area</vt:lpstr>
      <vt:lpstr>'T&amp;D Capacity'!Print_Area</vt:lpstr>
      <vt:lpstr>Check!Print_Titles</vt:lpstr>
      <vt:lpstr>'ECR - Flat'!Print_Titles</vt:lpstr>
      <vt:lpstr>'ECR - Time Variant'!Print_Titles</vt:lpstr>
      <vt:lpstr>TDdef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cp:lastPrinted>2022-06-27T23:08:36Z</cp:lastPrinted>
  <dcterms:created xsi:type="dcterms:W3CDTF">2022-06-10T16:31:47Z</dcterms:created>
  <dcterms:modified xsi:type="dcterms:W3CDTF">2022-10-26T00:24:08Z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2022-06-23T21:43:52Z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3d96af1b-2913-4987-a441-729c540e8d0a</vt:lpwstr>
  </property>
  <property fmtid="{D5CDD505-2E9C-101B-9397-08002B2CF9AE}" pid="10" name="MSIP_Label_b4b49261-55b4-4c61-a7f3-ea1fabfcd5b2_ContentBits">
    <vt:lpwstr>0</vt:lpwstr>
  </property>
</Properties>
</file>